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-15" windowWidth="15480" windowHeight="8100" activeTab="11"/>
  </bookViews>
  <sheets>
    <sheet name="01.19" sheetId="38" r:id="rId1"/>
    <sheet name="02.19" sheetId="39" r:id="rId2"/>
    <sheet name="03.19" sheetId="40" r:id="rId3"/>
    <sheet name="04.19" sheetId="41" r:id="rId4"/>
    <sheet name="05.19" sheetId="30" r:id="rId5"/>
    <sheet name="06.19" sheetId="31" r:id="rId6"/>
    <sheet name="07.19" sheetId="32" r:id="rId7"/>
    <sheet name="08.19" sheetId="33" r:id="rId8"/>
    <sheet name="09.19" sheetId="34" r:id="rId9"/>
    <sheet name="10.19" sheetId="35" r:id="rId10"/>
    <sheet name="11.19" sheetId="36" r:id="rId11"/>
    <sheet name="12.19" sheetId="37" r:id="rId12"/>
  </sheets>
  <definedNames>
    <definedName name="_xlnm._FilterDatabase" localSheetId="0" hidden="1">'01.19'!$I$12:$I$105</definedName>
    <definedName name="_xlnm._FilterDatabase" localSheetId="1" hidden="1">'02.19'!$I$12:$I$112</definedName>
    <definedName name="_xlnm._FilterDatabase" localSheetId="2" hidden="1">'03.19'!$I$12:$I$103</definedName>
    <definedName name="_xlnm._FilterDatabase" localSheetId="4" hidden="1">'05.19'!$I$12:$I$101</definedName>
    <definedName name="_xlnm._FilterDatabase" localSheetId="5" hidden="1">'06.19'!$I$12:$I$98</definedName>
    <definedName name="_xlnm._FilterDatabase" localSheetId="6" hidden="1">'07.19'!$I$12:$I$98</definedName>
    <definedName name="_xlnm._FilterDatabase" localSheetId="7" hidden="1">'08.19'!$I$12:$I$98</definedName>
    <definedName name="_xlnm._FilterDatabase" localSheetId="8" hidden="1">'09.19'!$I$12:$I$102</definedName>
    <definedName name="_xlnm._FilterDatabase" localSheetId="9" hidden="1">'10.19'!$I$12:$I$103</definedName>
    <definedName name="_xlnm._FilterDatabase" localSheetId="10" hidden="1">'11.19'!$I$12:$I$104</definedName>
    <definedName name="_xlnm._FilterDatabase" localSheetId="11" hidden="1">'12.19'!$I$12:$I$102</definedName>
    <definedName name="_xlnm.Print_Area" localSheetId="0">'01.19'!$A$1:$I$119</definedName>
    <definedName name="_xlnm.Print_Area" localSheetId="1">'02.19'!$A$1:$I$126</definedName>
    <definedName name="_xlnm.Print_Area" localSheetId="2">'03.19'!$A$1:$I$117</definedName>
    <definedName name="_xlnm.Print_Area" localSheetId="4">'05.19'!$A$1:$I$115</definedName>
    <definedName name="_xlnm.Print_Area" localSheetId="5">'06.19'!$A$1:$I$112</definedName>
    <definedName name="_xlnm.Print_Area" localSheetId="6">'07.19'!$A$1:$I$112</definedName>
    <definedName name="_xlnm.Print_Area" localSheetId="7">'08.19'!$A$1:$I$112</definedName>
    <definedName name="_xlnm.Print_Area" localSheetId="8">'09.19'!$A$1:$I$116</definedName>
    <definedName name="_xlnm.Print_Area" localSheetId="9">'10.19'!$A$1:$I$117</definedName>
    <definedName name="_xlnm.Print_Area" localSheetId="10">'11.19'!$A$1:$I$118</definedName>
    <definedName name="_xlnm.Print_Area" localSheetId="11">'12.19'!$A$1:$I$116</definedName>
  </definedNames>
  <calcPr calcId="124519"/>
</workbook>
</file>

<file path=xl/calcChain.xml><?xml version="1.0" encoding="utf-8"?>
<calcChain xmlns="http://schemas.openxmlformats.org/spreadsheetml/2006/main">
  <c r="I93" i="37"/>
  <c r="I92"/>
  <c r="I86"/>
  <c r="I91"/>
  <c r="I90"/>
  <c r="I89"/>
  <c r="H89"/>
  <c r="I43"/>
  <c r="H43"/>
  <c r="E42"/>
  <c r="F42" s="1"/>
  <c r="F41"/>
  <c r="H41" s="1"/>
  <c r="E40"/>
  <c r="F40" s="1"/>
  <c r="I39"/>
  <c r="H39"/>
  <c r="F38"/>
  <c r="I38" s="1"/>
  <c r="F26"/>
  <c r="H26" s="1"/>
  <c r="H25"/>
  <c r="F25"/>
  <c r="I25" s="1"/>
  <c r="F24"/>
  <c r="H24" s="1"/>
  <c r="H23"/>
  <c r="F23"/>
  <c r="I23" s="1"/>
  <c r="F22"/>
  <c r="H22" s="1"/>
  <c r="H21"/>
  <c r="F21"/>
  <c r="I21" s="1"/>
  <c r="F20"/>
  <c r="H20" s="1"/>
  <c r="H19"/>
  <c r="F19"/>
  <c r="I19" s="1"/>
  <c r="F18"/>
  <c r="H18" s="1"/>
  <c r="E18"/>
  <c r="F17"/>
  <c r="H17" s="1"/>
  <c r="H16"/>
  <c r="F16"/>
  <c r="I16" s="1"/>
  <c r="I94" i="36"/>
  <c r="I93"/>
  <c r="I92"/>
  <c r="I91"/>
  <c r="I90"/>
  <c r="I89"/>
  <c r="I37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40" i="37" l="1"/>
  <c r="H40"/>
  <c r="H42"/>
  <c r="I42"/>
  <c r="H38"/>
  <c r="I41"/>
  <c r="I17"/>
  <c r="I18"/>
  <c r="I20"/>
  <c r="I22"/>
  <c r="I24"/>
  <c r="I26"/>
  <c r="H16" i="36"/>
  <c r="H21"/>
  <c r="H25"/>
  <c r="H19"/>
  <c r="H23"/>
  <c r="I17"/>
  <c r="I18"/>
  <c r="I20"/>
  <c r="I22"/>
  <c r="I24"/>
  <c r="I26"/>
  <c r="I94" i="35" l="1"/>
  <c r="I93"/>
  <c r="I92" l="1"/>
  <c r="I91"/>
  <c r="I84" i="31"/>
  <c r="I80"/>
  <c r="I84" i="35"/>
  <c r="I93" i="34"/>
  <c r="I92"/>
  <c r="I90" i="35" l="1"/>
  <c r="I89"/>
  <c r="I88"/>
  <c r="I87"/>
  <c r="I60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91" i="34"/>
  <c r="I90"/>
  <c r="I89"/>
  <c r="I87" i="33"/>
  <c r="I88" i="34"/>
  <c r="I87"/>
  <c r="F30"/>
  <c r="H30" s="1"/>
  <c r="F29"/>
  <c r="I29" s="1"/>
  <c r="F26"/>
  <c r="H26" s="1"/>
  <c r="E18"/>
  <c r="F18" s="1"/>
  <c r="F17"/>
  <c r="I17" s="1"/>
  <c r="F16"/>
  <c r="I16" s="1"/>
  <c r="F30" i="33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9" i="32"/>
  <c r="I88"/>
  <c r="I87"/>
  <c r="F26"/>
  <c r="H26" s="1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F17"/>
  <c r="I17" s="1"/>
  <c r="F16"/>
  <c r="I16" s="1"/>
  <c r="F26" i="31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4" i="30"/>
  <c r="F26"/>
  <c r="H26" s="1"/>
  <c r="E18"/>
  <c r="F18" s="1"/>
  <c r="F17"/>
  <c r="H17" s="1"/>
  <c r="F16"/>
  <c r="I16" s="1"/>
  <c r="F26" i="41"/>
  <c r="H26" s="1"/>
  <c r="H25"/>
  <c r="F25"/>
  <c r="I25" s="1"/>
  <c r="F24"/>
  <c r="H24" s="1"/>
  <c r="H23"/>
  <c r="F23"/>
  <c r="I23" s="1"/>
  <c r="F22"/>
  <c r="H22" s="1"/>
  <c r="H21"/>
  <c r="F21"/>
  <c r="I21" s="1"/>
  <c r="F20"/>
  <c r="H20" s="1"/>
  <c r="H19"/>
  <c r="F19"/>
  <c r="I19" s="1"/>
  <c r="F18"/>
  <c r="H18" s="1"/>
  <c r="E18"/>
  <c r="F17"/>
  <c r="H17" s="1"/>
  <c r="H16"/>
  <c r="F16"/>
  <c r="I16" s="1"/>
  <c r="F26" i="40"/>
  <c r="H26" s="1"/>
  <c r="H25"/>
  <c r="F25"/>
  <c r="I25" s="1"/>
  <c r="F24"/>
  <c r="H24" s="1"/>
  <c r="H23"/>
  <c r="F23"/>
  <c r="I23" s="1"/>
  <c r="F22"/>
  <c r="H22" s="1"/>
  <c r="H21"/>
  <c r="F21"/>
  <c r="I21" s="1"/>
  <c r="F20"/>
  <c r="H20" s="1"/>
  <c r="H19"/>
  <c r="F19"/>
  <c r="I19" s="1"/>
  <c r="F18"/>
  <c r="H18" s="1"/>
  <c r="E18"/>
  <c r="F17"/>
  <c r="H17" s="1"/>
  <c r="H16"/>
  <c r="F16"/>
  <c r="I16" s="1"/>
  <c r="F26" i="39"/>
  <c r="H26" s="1"/>
  <c r="H25"/>
  <c r="F25"/>
  <c r="I25" s="1"/>
  <c r="F24"/>
  <c r="H24" s="1"/>
  <c r="H23"/>
  <c r="F23"/>
  <c r="I23" s="1"/>
  <c r="F22"/>
  <c r="H22" s="1"/>
  <c r="H21"/>
  <c r="F21"/>
  <c r="I21" s="1"/>
  <c r="F20"/>
  <c r="H20" s="1"/>
  <c r="H19"/>
  <c r="F19"/>
  <c r="I19" s="1"/>
  <c r="F18"/>
  <c r="H18" s="1"/>
  <c r="E18"/>
  <c r="F17"/>
  <c r="H17" s="1"/>
  <c r="H16"/>
  <c r="F16"/>
  <c r="I16" s="1"/>
  <c r="F26" i="38"/>
  <c r="I88" i="31"/>
  <c r="I87"/>
  <c r="I89" i="40"/>
  <c r="I91" i="30"/>
  <c r="I90"/>
  <c r="I89"/>
  <c r="I88"/>
  <c r="I87"/>
  <c r="I92" i="41"/>
  <c r="I91"/>
  <c r="I90"/>
  <c r="I89"/>
  <c r="I88"/>
  <c r="I61"/>
  <c r="I38"/>
  <c r="I92" i="40"/>
  <c r="I91"/>
  <c r="I93"/>
  <c r="I90"/>
  <c r="I88"/>
  <c r="I74"/>
  <c r="I56"/>
  <c r="I36"/>
  <c r="I57" i="39"/>
  <c r="I103"/>
  <c r="I102"/>
  <c r="I101"/>
  <c r="I100"/>
  <c r="I99"/>
  <c r="I98"/>
  <c r="I97"/>
  <c r="I96"/>
  <c r="I95"/>
  <c r="I94"/>
  <c r="I93"/>
  <c r="I92"/>
  <c r="I91"/>
  <c r="I90"/>
  <c r="I89"/>
  <c r="I88"/>
  <c r="I78"/>
  <c r="I73"/>
  <c r="I37" i="38"/>
  <c r="H29" i="35" l="1"/>
  <c r="I30"/>
  <c r="H19"/>
  <c r="H23"/>
  <c r="H16"/>
  <c r="H21"/>
  <c r="H25"/>
  <c r="I17"/>
  <c r="I18"/>
  <c r="I20"/>
  <c r="I22"/>
  <c r="I24"/>
  <c r="I26"/>
  <c r="H17" i="34"/>
  <c r="H29"/>
  <c r="I30"/>
  <c r="I26"/>
  <c r="H18"/>
  <c r="I18"/>
  <c r="H16"/>
  <c r="H19" i="33"/>
  <c r="H23"/>
  <c r="H21"/>
  <c r="H29"/>
  <c r="I30"/>
  <c r="H18"/>
  <c r="I18"/>
  <c r="H16"/>
  <c r="I17"/>
  <c r="I20"/>
  <c r="I22"/>
  <c r="I24"/>
  <c r="H25"/>
  <c r="I26"/>
  <c r="H17" i="32"/>
  <c r="H20"/>
  <c r="H24"/>
  <c r="H22"/>
  <c r="H18"/>
  <c r="I18"/>
  <c r="H16"/>
  <c r="H19"/>
  <c r="H21"/>
  <c r="H23"/>
  <c r="H25"/>
  <c r="I26"/>
  <c r="H19" i="31"/>
  <c r="H23"/>
  <c r="H21"/>
  <c r="H25"/>
  <c r="H18"/>
  <c r="I18"/>
  <c r="H16"/>
  <c r="I17"/>
  <c r="I20"/>
  <c r="I22"/>
  <c r="I24"/>
  <c r="I26"/>
  <c r="H16" i="30"/>
  <c r="I26"/>
  <c r="H18"/>
  <c r="I18"/>
  <c r="I17"/>
  <c r="I17" i="41"/>
  <c r="I18"/>
  <c r="I20"/>
  <c r="I22"/>
  <c r="I24"/>
  <c r="I26"/>
  <c r="I85" s="1"/>
  <c r="I17" i="40"/>
  <c r="I18"/>
  <c r="I20"/>
  <c r="I22"/>
  <c r="I24"/>
  <c r="I26"/>
  <c r="I17" i="39"/>
  <c r="I18"/>
  <c r="I20"/>
  <c r="I22"/>
  <c r="I24"/>
  <c r="I26"/>
  <c r="I85" s="1"/>
  <c r="I94" i="40"/>
  <c r="I96" i="38"/>
  <c r="I57"/>
  <c r="I94"/>
  <c r="I93"/>
  <c r="I95"/>
  <c r="I92"/>
  <c r="I91"/>
  <c r="I90"/>
  <c r="I89"/>
  <c r="I58"/>
  <c r="I85" i="40" l="1"/>
  <c r="I77" i="37"/>
  <c r="I58"/>
  <c r="I88"/>
  <c r="H88"/>
  <c r="I77" i="36" l="1"/>
  <c r="H89"/>
  <c r="I88"/>
  <c r="I95" s="1"/>
  <c r="H88"/>
  <c r="I43"/>
  <c r="I75" i="35" l="1"/>
  <c r="H87"/>
  <c r="I86"/>
  <c r="H86"/>
  <c r="I75" i="34" l="1"/>
  <c r="I86"/>
  <c r="H86"/>
  <c r="I75" i="33" l="1"/>
  <c r="I86"/>
  <c r="I89" s="1"/>
  <c r="H86"/>
  <c r="I75" i="32"/>
  <c r="I86"/>
  <c r="H86"/>
  <c r="I75" i="31"/>
  <c r="I75" i="30"/>
  <c r="I76" i="41"/>
  <c r="I76" i="40"/>
  <c r="I76" i="39"/>
  <c r="I77" i="38"/>
  <c r="I86" i="31"/>
  <c r="I89" s="1"/>
  <c r="H86"/>
  <c r="I60" i="30"/>
  <c r="I86"/>
  <c r="I92" s="1"/>
  <c r="H86"/>
  <c r="H88" i="41" l="1"/>
  <c r="I87"/>
  <c r="H87"/>
  <c r="F84"/>
  <c r="H84" s="1"/>
  <c r="H85" s="1"/>
  <c r="F83"/>
  <c r="I83" s="1"/>
  <c r="H81"/>
  <c r="I80"/>
  <c r="H80"/>
  <c r="H78"/>
  <c r="F76"/>
  <c r="H76" s="1"/>
  <c r="F75"/>
  <c r="H75" s="1"/>
  <c r="F74"/>
  <c r="H74" s="1"/>
  <c r="I73"/>
  <c r="F73"/>
  <c r="H73" s="1"/>
  <c r="I72"/>
  <c r="F72"/>
  <c r="H72" s="1"/>
  <c r="F71"/>
  <c r="H71" s="1"/>
  <c r="F69"/>
  <c r="H69" s="1"/>
  <c r="I68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I62"/>
  <c r="F62"/>
  <c r="H62" s="1"/>
  <c r="F61"/>
  <c r="H61" s="1"/>
  <c r="H59"/>
  <c r="I57"/>
  <c r="H57"/>
  <c r="F56"/>
  <c r="H56" s="1"/>
  <c r="I53"/>
  <c r="F53"/>
  <c r="H53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E41"/>
  <c r="F41" s="1"/>
  <c r="H41" s="1"/>
  <c r="F40"/>
  <c r="H40" s="1"/>
  <c r="E39"/>
  <c r="F39" s="1"/>
  <c r="H38"/>
  <c r="F37"/>
  <c r="I37" s="1"/>
  <c r="I36"/>
  <c r="H36"/>
  <c r="H34"/>
  <c r="H33"/>
  <c r="F32"/>
  <c r="H32" s="1"/>
  <c r="E32"/>
  <c r="E31"/>
  <c r="F31" s="1"/>
  <c r="H31" s="1"/>
  <c r="F30"/>
  <c r="H30" s="1"/>
  <c r="F29"/>
  <c r="I29" s="1"/>
  <c r="H88" i="40"/>
  <c r="I72"/>
  <c r="I73"/>
  <c r="I61"/>
  <c r="I57"/>
  <c r="I42"/>
  <c r="I87"/>
  <c r="H87"/>
  <c r="F84"/>
  <c r="I84" s="1"/>
  <c r="F83"/>
  <c r="I83" s="1"/>
  <c r="H81"/>
  <c r="I80"/>
  <c r="H80"/>
  <c r="H78"/>
  <c r="F76"/>
  <c r="H76" s="1"/>
  <c r="F75"/>
  <c r="H75" s="1"/>
  <c r="F74"/>
  <c r="H74" s="1"/>
  <c r="F73"/>
  <c r="H73" s="1"/>
  <c r="F72"/>
  <c r="H72" s="1"/>
  <c r="F71"/>
  <c r="H71" s="1"/>
  <c r="F69"/>
  <c r="H69" s="1"/>
  <c r="I68"/>
  <c r="F68"/>
  <c r="H68" s="1"/>
  <c r="I67"/>
  <c r="F67"/>
  <c r="H67" s="1"/>
  <c r="I66"/>
  <c r="F66"/>
  <c r="H66" s="1"/>
  <c r="I65"/>
  <c r="F65"/>
  <c r="H65" s="1"/>
  <c r="I64"/>
  <c r="H64"/>
  <c r="F64"/>
  <c r="I63"/>
  <c r="F63"/>
  <c r="H63" s="1"/>
  <c r="I62"/>
  <c r="F62"/>
  <c r="H62" s="1"/>
  <c r="F61"/>
  <c r="H61" s="1"/>
  <c r="H59"/>
  <c r="H57"/>
  <c r="F56"/>
  <c r="H56" s="1"/>
  <c r="I53"/>
  <c r="F53"/>
  <c r="H53" s="1"/>
  <c r="I52"/>
  <c r="F52"/>
  <c r="H52" s="1"/>
  <c r="I51"/>
  <c r="H51"/>
  <c r="F50"/>
  <c r="I50" s="1"/>
  <c r="F49"/>
  <c r="H49" s="1"/>
  <c r="H48"/>
  <c r="F48"/>
  <c r="I48" s="1"/>
  <c r="F47"/>
  <c r="H47" s="1"/>
  <c r="F46"/>
  <c r="I46" s="1"/>
  <c r="F45"/>
  <c r="H45" s="1"/>
  <c r="F44"/>
  <c r="I44" s="1"/>
  <c r="H42"/>
  <c r="E41"/>
  <c r="F41" s="1"/>
  <c r="H41" s="1"/>
  <c r="F40"/>
  <c r="H40" s="1"/>
  <c r="E39"/>
  <c r="F39" s="1"/>
  <c r="I38"/>
  <c r="H38"/>
  <c r="F37"/>
  <c r="I37" s="1"/>
  <c r="H36"/>
  <c r="H34"/>
  <c r="H33"/>
  <c r="F32"/>
  <c r="H32" s="1"/>
  <c r="E32"/>
  <c r="E31"/>
  <c r="F31" s="1"/>
  <c r="H31" s="1"/>
  <c r="F30"/>
  <c r="H30" s="1"/>
  <c r="F29"/>
  <c r="I29" s="1"/>
  <c r="I42" i="39"/>
  <c r="I43" i="38"/>
  <c r="H37" i="41" l="1"/>
  <c r="H37" i="40"/>
  <c r="H29"/>
  <c r="H44"/>
  <c r="H84"/>
  <c r="H85" s="1"/>
  <c r="I41"/>
  <c r="H83" i="41"/>
  <c r="H79"/>
  <c r="H46"/>
  <c r="H44"/>
  <c r="H48"/>
  <c r="H50"/>
  <c r="H29"/>
  <c r="I39"/>
  <c r="H39"/>
  <c r="I30"/>
  <c r="I31"/>
  <c r="I32"/>
  <c r="I40"/>
  <c r="I41"/>
  <c r="I45"/>
  <c r="I47"/>
  <c r="I49"/>
  <c r="I56"/>
  <c r="I69"/>
  <c r="I84"/>
  <c r="H79" i="40"/>
  <c r="I69"/>
  <c r="H46"/>
  <c r="H50"/>
  <c r="I39"/>
  <c r="H39"/>
  <c r="I30"/>
  <c r="I31"/>
  <c r="I32"/>
  <c r="I40"/>
  <c r="I45"/>
  <c r="I47"/>
  <c r="I49"/>
  <c r="H83"/>
  <c r="I94" i="41" l="1"/>
  <c r="I96" i="40"/>
  <c r="H102" i="39" l="1"/>
  <c r="H88"/>
  <c r="H87"/>
  <c r="I87"/>
  <c r="I72" l="1"/>
  <c r="F84"/>
  <c r="I84" s="1"/>
  <c r="F83"/>
  <c r="I83" s="1"/>
  <c r="H81"/>
  <c r="I80"/>
  <c r="H80"/>
  <c r="H78"/>
  <c r="F76"/>
  <c r="H76" s="1"/>
  <c r="F75"/>
  <c r="H75" s="1"/>
  <c r="F74"/>
  <c r="H74" s="1"/>
  <c r="F73"/>
  <c r="H73" s="1"/>
  <c r="F72"/>
  <c r="H72" s="1"/>
  <c r="F71"/>
  <c r="H71" s="1"/>
  <c r="F69"/>
  <c r="I69" s="1"/>
  <c r="I68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I62"/>
  <c r="H62"/>
  <c r="F62"/>
  <c r="I61"/>
  <c r="F61"/>
  <c r="H61" s="1"/>
  <c r="H59"/>
  <c r="H57"/>
  <c r="F56"/>
  <c r="I56" s="1"/>
  <c r="I53"/>
  <c r="F53"/>
  <c r="H53" s="1"/>
  <c r="I52"/>
  <c r="F52"/>
  <c r="H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H42"/>
  <c r="E41"/>
  <c r="F41" s="1"/>
  <c r="I41" s="1"/>
  <c r="F40"/>
  <c r="I40" s="1"/>
  <c r="E39"/>
  <c r="F39" s="1"/>
  <c r="I38"/>
  <c r="H38"/>
  <c r="F37"/>
  <c r="H37" s="1"/>
  <c r="I36"/>
  <c r="H36"/>
  <c r="H34"/>
  <c r="H33"/>
  <c r="F32"/>
  <c r="I32" s="1"/>
  <c r="E32"/>
  <c r="E31"/>
  <c r="F31" s="1"/>
  <c r="F30"/>
  <c r="I30" s="1"/>
  <c r="F29"/>
  <c r="H29" s="1"/>
  <c r="H89" i="38"/>
  <c r="I88"/>
  <c r="H88"/>
  <c r="H84" i="39" l="1"/>
  <c r="H85" s="1"/>
  <c r="I31"/>
  <c r="H31"/>
  <c r="H39"/>
  <c r="I39"/>
  <c r="H41"/>
  <c r="I29"/>
  <c r="H30"/>
  <c r="H32"/>
  <c r="I37"/>
  <c r="H40"/>
  <c r="I44"/>
  <c r="H45"/>
  <c r="I46"/>
  <c r="H47"/>
  <c r="I48"/>
  <c r="H49"/>
  <c r="I50"/>
  <c r="H56"/>
  <c r="H69"/>
  <c r="H83"/>
  <c r="H79" l="1"/>
  <c r="I105"/>
  <c r="H85" i="38" l="1"/>
  <c r="H86" s="1"/>
  <c r="F85"/>
  <c r="I85" s="1"/>
  <c r="F84"/>
  <c r="H84" s="1"/>
  <c r="H82"/>
  <c r="I81"/>
  <c r="H81"/>
  <c r="H79"/>
  <c r="F77"/>
  <c r="H77" s="1"/>
  <c r="F76"/>
  <c r="H76" s="1"/>
  <c r="F75"/>
  <c r="H75" s="1"/>
  <c r="F74"/>
  <c r="H74" s="1"/>
  <c r="F73"/>
  <c r="H73" s="1"/>
  <c r="F72"/>
  <c r="H72" s="1"/>
  <c r="F70"/>
  <c r="H70" s="1"/>
  <c r="I69"/>
  <c r="F69"/>
  <c r="H69" s="1"/>
  <c r="I68"/>
  <c r="F68"/>
  <c r="H68" s="1"/>
  <c r="I67"/>
  <c r="H67"/>
  <c r="F67"/>
  <c r="I66"/>
  <c r="F66"/>
  <c r="H66" s="1"/>
  <c r="I65"/>
  <c r="F65"/>
  <c r="H65" s="1"/>
  <c r="I64"/>
  <c r="F64"/>
  <c r="H64" s="1"/>
  <c r="I63"/>
  <c r="H63"/>
  <c r="F63"/>
  <c r="I62"/>
  <c r="F62"/>
  <c r="H62" s="1"/>
  <c r="H60"/>
  <c r="H58"/>
  <c r="F57"/>
  <c r="I54"/>
  <c r="F54"/>
  <c r="H54" s="1"/>
  <c r="I53"/>
  <c r="F53"/>
  <c r="H53" s="1"/>
  <c r="I52"/>
  <c r="H52"/>
  <c r="F51"/>
  <c r="H51" s="1"/>
  <c r="F50"/>
  <c r="I50" s="1"/>
  <c r="F49"/>
  <c r="H49" s="1"/>
  <c r="H48"/>
  <c r="F48"/>
  <c r="I48" s="1"/>
  <c r="F47"/>
  <c r="H47" s="1"/>
  <c r="F46"/>
  <c r="I46" s="1"/>
  <c r="F45"/>
  <c r="H45" s="1"/>
  <c r="H43"/>
  <c r="E42"/>
  <c r="F42" s="1"/>
  <c r="I42" s="1"/>
  <c r="H41"/>
  <c r="F41"/>
  <c r="I41" s="1"/>
  <c r="F40"/>
  <c r="H40" s="1"/>
  <c r="E40"/>
  <c r="I39"/>
  <c r="H39"/>
  <c r="F38"/>
  <c r="H38" s="1"/>
  <c r="H37"/>
  <c r="H35"/>
  <c r="H34"/>
  <c r="F33"/>
  <c r="I33" s="1"/>
  <c r="E33"/>
  <c r="E32"/>
  <c r="F32" s="1"/>
  <c r="F31"/>
  <c r="I31" s="1"/>
  <c r="F30"/>
  <c r="H30" s="1"/>
  <c r="F27"/>
  <c r="I27" s="1"/>
  <c r="H26"/>
  <c r="H25"/>
  <c r="F25"/>
  <c r="I25" s="1"/>
  <c r="F24"/>
  <c r="H24" s="1"/>
  <c r="F23"/>
  <c r="I23" s="1"/>
  <c r="F22"/>
  <c r="H22" s="1"/>
  <c r="H21"/>
  <c r="F21"/>
  <c r="I21" s="1"/>
  <c r="F20"/>
  <c r="H20" s="1"/>
  <c r="F19"/>
  <c r="I19" s="1"/>
  <c r="E18"/>
  <c r="F18" s="1"/>
  <c r="H18" s="1"/>
  <c r="F17"/>
  <c r="H17" s="1"/>
  <c r="H16"/>
  <c r="F16"/>
  <c r="I16" s="1"/>
  <c r="F85" i="37"/>
  <c r="I85" s="1"/>
  <c r="F84"/>
  <c r="H84" s="1"/>
  <c r="H82"/>
  <c r="I81"/>
  <c r="H81"/>
  <c r="H79"/>
  <c r="F77"/>
  <c r="H77" s="1"/>
  <c r="F76"/>
  <c r="H76" s="1"/>
  <c r="F75"/>
  <c r="H75" s="1"/>
  <c r="F74"/>
  <c r="H74" s="1"/>
  <c r="F73"/>
  <c r="H73" s="1"/>
  <c r="F72"/>
  <c r="H72" s="1"/>
  <c r="F70"/>
  <c r="H70" s="1"/>
  <c r="I69"/>
  <c r="H69"/>
  <c r="F69"/>
  <c r="I68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I62"/>
  <c r="F62"/>
  <c r="H62" s="1"/>
  <c r="H60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37"/>
  <c r="H37"/>
  <c r="H35"/>
  <c r="H34"/>
  <c r="F33"/>
  <c r="I33" s="1"/>
  <c r="E33"/>
  <c r="E32"/>
  <c r="F32" s="1"/>
  <c r="F31"/>
  <c r="I31" s="1"/>
  <c r="F30"/>
  <c r="H30" s="1"/>
  <c r="F27"/>
  <c r="I27" s="1"/>
  <c r="H19" i="38" l="1"/>
  <c r="H23"/>
  <c r="H31"/>
  <c r="H33"/>
  <c r="H46"/>
  <c r="H27"/>
  <c r="H57"/>
  <c r="H80" s="1"/>
  <c r="H50"/>
  <c r="I32"/>
  <c r="H32"/>
  <c r="H42"/>
  <c r="I17"/>
  <c r="I18"/>
  <c r="I20"/>
  <c r="I22"/>
  <c r="I24"/>
  <c r="I26"/>
  <c r="I86" s="1"/>
  <c r="I30"/>
  <c r="I38"/>
  <c r="I40"/>
  <c r="I45"/>
  <c r="I47"/>
  <c r="I49"/>
  <c r="I51"/>
  <c r="I70"/>
  <c r="I84"/>
  <c r="I32" i="37"/>
  <c r="H32"/>
  <c r="H27"/>
  <c r="I30"/>
  <c r="H31"/>
  <c r="H33"/>
  <c r="I45"/>
  <c r="H46"/>
  <c r="I47"/>
  <c r="H48"/>
  <c r="I49"/>
  <c r="H50"/>
  <c r="I51"/>
  <c r="H57"/>
  <c r="H80" s="1"/>
  <c r="I70"/>
  <c r="I84"/>
  <c r="H85"/>
  <c r="H86" s="1"/>
  <c r="I95" l="1"/>
  <c r="I98" i="38"/>
  <c r="H90" i="36" l="1"/>
  <c r="F85"/>
  <c r="I85" s="1"/>
  <c r="F84"/>
  <c r="H84" s="1"/>
  <c r="H82"/>
  <c r="I81"/>
  <c r="H81"/>
  <c r="H79"/>
  <c r="F77"/>
  <c r="H77" s="1"/>
  <c r="F76"/>
  <c r="H76" s="1"/>
  <c r="F75"/>
  <c r="H75" s="1"/>
  <c r="F74"/>
  <c r="H74" s="1"/>
  <c r="F73"/>
  <c r="H73" s="1"/>
  <c r="F72"/>
  <c r="H72" s="1"/>
  <c r="F70"/>
  <c r="H70" s="1"/>
  <c r="I69"/>
  <c r="H69"/>
  <c r="F69"/>
  <c r="I68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I62"/>
  <c r="F62"/>
  <c r="H62" s="1"/>
  <c r="H60"/>
  <c r="H58"/>
  <c r="F57"/>
  <c r="I57" s="1"/>
  <c r="I54"/>
  <c r="F54"/>
  <c r="H54" s="1"/>
  <c r="I53"/>
  <c r="H53"/>
  <c r="F53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H43"/>
  <c r="E42"/>
  <c r="F42" s="1"/>
  <c r="I42" s="1"/>
  <c r="F41"/>
  <c r="I41" s="1"/>
  <c r="E40"/>
  <c r="F40" s="1"/>
  <c r="H40" s="1"/>
  <c r="I39"/>
  <c r="H39"/>
  <c r="F38"/>
  <c r="H38" s="1"/>
  <c r="H37"/>
  <c r="H35"/>
  <c r="H34"/>
  <c r="F33"/>
  <c r="I33" s="1"/>
  <c r="E33"/>
  <c r="E32"/>
  <c r="F32" s="1"/>
  <c r="F31"/>
  <c r="I31" s="1"/>
  <c r="F30"/>
  <c r="H30" s="1"/>
  <c r="F27"/>
  <c r="I27" s="1"/>
  <c r="H27" l="1"/>
  <c r="H33"/>
  <c r="H57"/>
  <c r="H31"/>
  <c r="H48"/>
  <c r="H41"/>
  <c r="H46"/>
  <c r="H50"/>
  <c r="H42"/>
  <c r="I32"/>
  <c r="H32"/>
  <c r="H80"/>
  <c r="I30"/>
  <c r="I38"/>
  <c r="I40"/>
  <c r="I45"/>
  <c r="I47"/>
  <c r="I49"/>
  <c r="I51"/>
  <c r="I70"/>
  <c r="I84"/>
  <c r="I86" s="1"/>
  <c r="H85"/>
  <c r="H86" s="1"/>
  <c r="I97" l="1"/>
  <c r="F83" i="35" l="1"/>
  <c r="H83" s="1"/>
  <c r="H84" s="1"/>
  <c r="F82"/>
  <c r="I82" s="1"/>
  <c r="H80"/>
  <c r="I79"/>
  <c r="H79"/>
  <c r="H77"/>
  <c r="F75"/>
  <c r="H75" s="1"/>
  <c r="F74"/>
  <c r="H74" s="1"/>
  <c r="F73"/>
  <c r="H73" s="1"/>
  <c r="F72"/>
  <c r="H72" s="1"/>
  <c r="F71"/>
  <c r="H71" s="1"/>
  <c r="F70"/>
  <c r="H70" s="1"/>
  <c r="F68"/>
  <c r="I68" s="1"/>
  <c r="I67"/>
  <c r="F67"/>
  <c r="H67" s="1"/>
  <c r="I66"/>
  <c r="F66"/>
  <c r="H66" s="1"/>
  <c r="I65"/>
  <c r="F65"/>
  <c r="H65" s="1"/>
  <c r="I64"/>
  <c r="F64"/>
  <c r="H64" s="1"/>
  <c r="I63"/>
  <c r="F63"/>
  <c r="H63" s="1"/>
  <c r="I62"/>
  <c r="F62"/>
  <c r="H62" s="1"/>
  <c r="I61"/>
  <c r="F61"/>
  <c r="H61" s="1"/>
  <c r="F60"/>
  <c r="H60" s="1"/>
  <c r="H58"/>
  <c r="H56"/>
  <c r="F55"/>
  <c r="H55" s="1"/>
  <c r="I52"/>
  <c r="F52"/>
  <c r="H52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E40"/>
  <c r="F40" s="1"/>
  <c r="F39"/>
  <c r="H39" s="1"/>
  <c r="E38"/>
  <c r="F38" s="1"/>
  <c r="I37"/>
  <c r="H37"/>
  <c r="F36"/>
  <c r="I36" s="1"/>
  <c r="I35"/>
  <c r="H35"/>
  <c r="H33"/>
  <c r="H32"/>
  <c r="E31"/>
  <c r="F31" s="1"/>
  <c r="H87" i="34"/>
  <c r="I67"/>
  <c r="I61"/>
  <c r="I62"/>
  <c r="I63"/>
  <c r="I64"/>
  <c r="I65"/>
  <c r="I66"/>
  <c r="I60"/>
  <c r="F83"/>
  <c r="I83" s="1"/>
  <c r="F82"/>
  <c r="H82" s="1"/>
  <c r="H80"/>
  <c r="I79"/>
  <c r="H79"/>
  <c r="H77"/>
  <c r="F75"/>
  <c r="H75" s="1"/>
  <c r="F74"/>
  <c r="H74" s="1"/>
  <c r="F73"/>
  <c r="H73" s="1"/>
  <c r="F72"/>
  <c r="H72" s="1"/>
  <c r="F71"/>
  <c r="H71" s="1"/>
  <c r="F70"/>
  <c r="H70" s="1"/>
  <c r="F68"/>
  <c r="H68" s="1"/>
  <c r="F67"/>
  <c r="H67" s="1"/>
  <c r="F66"/>
  <c r="F65"/>
  <c r="H65" s="1"/>
  <c r="F64"/>
  <c r="F63"/>
  <c r="H63" s="1"/>
  <c r="F62"/>
  <c r="F61"/>
  <c r="H61" s="1"/>
  <c r="F60"/>
  <c r="H60" s="1"/>
  <c r="H58"/>
  <c r="H56"/>
  <c r="F55"/>
  <c r="I55" s="1"/>
  <c r="I52"/>
  <c r="F52"/>
  <c r="H52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E40"/>
  <c r="F40" s="1"/>
  <c r="F39"/>
  <c r="I39" s="1"/>
  <c r="E38"/>
  <c r="F38" s="1"/>
  <c r="H38" s="1"/>
  <c r="I37"/>
  <c r="H37"/>
  <c r="F36"/>
  <c r="H36" s="1"/>
  <c r="I35"/>
  <c r="H35"/>
  <c r="H33"/>
  <c r="H32"/>
  <c r="E31"/>
  <c r="F31" s="1"/>
  <c r="F25"/>
  <c r="I25" s="1"/>
  <c r="F24"/>
  <c r="H24" s="1"/>
  <c r="F23"/>
  <c r="I23" s="1"/>
  <c r="F22"/>
  <c r="H22" s="1"/>
  <c r="F21"/>
  <c r="I21" s="1"/>
  <c r="F20"/>
  <c r="H20" s="1"/>
  <c r="F19"/>
  <c r="I19" s="1"/>
  <c r="H87" i="33"/>
  <c r="F83"/>
  <c r="I83" s="1"/>
  <c r="F82"/>
  <c r="H82" s="1"/>
  <c r="H80"/>
  <c r="I79"/>
  <c r="H79"/>
  <c r="H77"/>
  <c r="F75"/>
  <c r="H75" s="1"/>
  <c r="F74"/>
  <c r="H74" s="1"/>
  <c r="F73"/>
  <c r="H73" s="1"/>
  <c r="F72"/>
  <c r="H72" s="1"/>
  <c r="F71"/>
  <c r="H71" s="1"/>
  <c r="F70"/>
  <c r="H70" s="1"/>
  <c r="F68"/>
  <c r="H68" s="1"/>
  <c r="F67"/>
  <c r="H67" s="1"/>
  <c r="F66"/>
  <c r="I66" s="1"/>
  <c r="F65"/>
  <c r="H65" s="1"/>
  <c r="F64"/>
  <c r="I64" s="1"/>
  <c r="F63"/>
  <c r="H63" s="1"/>
  <c r="F62"/>
  <c r="I62" s="1"/>
  <c r="F61"/>
  <c r="H61" s="1"/>
  <c r="I60"/>
  <c r="F60"/>
  <c r="H60" s="1"/>
  <c r="H58"/>
  <c r="H56"/>
  <c r="F55"/>
  <c r="I55" s="1"/>
  <c r="I52"/>
  <c r="F52"/>
  <c r="H52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E40"/>
  <c r="F40" s="1"/>
  <c r="F39"/>
  <c r="I39" s="1"/>
  <c r="E38"/>
  <c r="F38" s="1"/>
  <c r="H38" s="1"/>
  <c r="I37"/>
  <c r="H37"/>
  <c r="F36"/>
  <c r="H36" s="1"/>
  <c r="I35"/>
  <c r="H35"/>
  <c r="H33"/>
  <c r="H32"/>
  <c r="E31"/>
  <c r="F31" s="1"/>
  <c r="F83" i="32"/>
  <c r="I83" s="1"/>
  <c r="F82"/>
  <c r="H82" s="1"/>
  <c r="H80"/>
  <c r="I79"/>
  <c r="H79"/>
  <c r="H77"/>
  <c r="F75"/>
  <c r="H75" s="1"/>
  <c r="F74"/>
  <c r="H74" s="1"/>
  <c r="F73"/>
  <c r="H73" s="1"/>
  <c r="F72"/>
  <c r="H72" s="1"/>
  <c r="F71"/>
  <c r="H71" s="1"/>
  <c r="F70"/>
  <c r="H70" s="1"/>
  <c r="F68"/>
  <c r="H68" s="1"/>
  <c r="F67"/>
  <c r="H67" s="1"/>
  <c r="F66"/>
  <c r="I66" s="1"/>
  <c r="F65"/>
  <c r="H65" s="1"/>
  <c r="F64"/>
  <c r="I64" s="1"/>
  <c r="F63"/>
  <c r="H63" s="1"/>
  <c r="F62"/>
  <c r="I62" s="1"/>
  <c r="F61"/>
  <c r="H61" s="1"/>
  <c r="I60"/>
  <c r="F60"/>
  <c r="H60" s="1"/>
  <c r="H58"/>
  <c r="H56"/>
  <c r="F55"/>
  <c r="I55" s="1"/>
  <c r="I52"/>
  <c r="F52"/>
  <c r="H52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E40"/>
  <c r="F40" s="1"/>
  <c r="F39"/>
  <c r="I39" s="1"/>
  <c r="E38"/>
  <c r="F38" s="1"/>
  <c r="H38" s="1"/>
  <c r="I37"/>
  <c r="H37"/>
  <c r="F36"/>
  <c r="H36" s="1"/>
  <c r="I35"/>
  <c r="H35"/>
  <c r="H33"/>
  <c r="H32"/>
  <c r="E31"/>
  <c r="F31" s="1"/>
  <c r="F30"/>
  <c r="I30" s="1"/>
  <c r="F29"/>
  <c r="H29" s="1"/>
  <c r="H88" i="31"/>
  <c r="I60"/>
  <c r="F83"/>
  <c r="I83" s="1"/>
  <c r="F82"/>
  <c r="H82" s="1"/>
  <c r="H80"/>
  <c r="H79"/>
  <c r="H77"/>
  <c r="F75"/>
  <c r="H75" s="1"/>
  <c r="F74"/>
  <c r="H74" s="1"/>
  <c r="F73"/>
  <c r="H73" s="1"/>
  <c r="F72"/>
  <c r="H72" s="1"/>
  <c r="F71"/>
  <c r="H71" s="1"/>
  <c r="F70"/>
  <c r="H70" s="1"/>
  <c r="F68"/>
  <c r="H68" s="1"/>
  <c r="F67"/>
  <c r="H67" s="1"/>
  <c r="F66"/>
  <c r="I66" s="1"/>
  <c r="F65"/>
  <c r="H65" s="1"/>
  <c r="F64"/>
  <c r="I64" s="1"/>
  <c r="F63"/>
  <c r="H63" s="1"/>
  <c r="F62"/>
  <c r="I62" s="1"/>
  <c r="F61"/>
  <c r="H61" s="1"/>
  <c r="F60"/>
  <c r="H60" s="1"/>
  <c r="H58"/>
  <c r="H56"/>
  <c r="F55"/>
  <c r="H55" s="1"/>
  <c r="I52"/>
  <c r="F52"/>
  <c r="H52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E40"/>
  <c r="F40" s="1"/>
  <c r="F39"/>
  <c r="H39" s="1"/>
  <c r="E38"/>
  <c r="F38" s="1"/>
  <c r="I37"/>
  <c r="H37"/>
  <c r="F36"/>
  <c r="I36" s="1"/>
  <c r="I35"/>
  <c r="H35"/>
  <c r="H33"/>
  <c r="H32"/>
  <c r="E31"/>
  <c r="F31" s="1"/>
  <c r="F30"/>
  <c r="H30" s="1"/>
  <c r="F29"/>
  <c r="I29" s="1"/>
  <c r="H62" i="33" l="1"/>
  <c r="H46"/>
  <c r="H66"/>
  <c r="H64"/>
  <c r="H83"/>
  <c r="H84" s="1"/>
  <c r="H39"/>
  <c r="H44"/>
  <c r="H48"/>
  <c r="H55"/>
  <c r="H31" i="35"/>
  <c r="I31"/>
  <c r="I38"/>
  <c r="H38"/>
  <c r="H40"/>
  <c r="I40"/>
  <c r="H36"/>
  <c r="I39"/>
  <c r="H43"/>
  <c r="I44"/>
  <c r="H45"/>
  <c r="I46"/>
  <c r="H47"/>
  <c r="I48"/>
  <c r="H49"/>
  <c r="I55"/>
  <c r="H68"/>
  <c r="H78" s="1"/>
  <c r="H82"/>
  <c r="I83"/>
  <c r="H21" i="34"/>
  <c r="H25"/>
  <c r="H55"/>
  <c r="H83"/>
  <c r="H84" s="1"/>
  <c r="H19"/>
  <c r="H23"/>
  <c r="H64"/>
  <c r="H62"/>
  <c r="H66"/>
  <c r="H46"/>
  <c r="H39"/>
  <c r="H44"/>
  <c r="H48"/>
  <c r="I40"/>
  <c r="H40"/>
  <c r="I31"/>
  <c r="H31"/>
  <c r="I20"/>
  <c r="I22"/>
  <c r="I24"/>
  <c r="I36"/>
  <c r="I38"/>
  <c r="I43"/>
  <c r="I45"/>
  <c r="I47"/>
  <c r="I49"/>
  <c r="I68"/>
  <c r="I82"/>
  <c r="I84" s="1"/>
  <c r="I40" i="33"/>
  <c r="H40"/>
  <c r="I31"/>
  <c r="H31"/>
  <c r="H78"/>
  <c r="I36"/>
  <c r="I38"/>
  <c r="I43"/>
  <c r="I45"/>
  <c r="I47"/>
  <c r="I49"/>
  <c r="I63"/>
  <c r="I65"/>
  <c r="I68"/>
  <c r="I82"/>
  <c r="I84" s="1"/>
  <c r="H39" i="32"/>
  <c r="H44"/>
  <c r="H48"/>
  <c r="H55"/>
  <c r="H62"/>
  <c r="H66"/>
  <c r="H30"/>
  <c r="H46"/>
  <c r="H64"/>
  <c r="H83"/>
  <c r="H84" s="1"/>
  <c r="I40"/>
  <c r="H40"/>
  <c r="I31"/>
  <c r="H31"/>
  <c r="H78"/>
  <c r="I29"/>
  <c r="I36"/>
  <c r="I38"/>
  <c r="I43"/>
  <c r="I45"/>
  <c r="I47"/>
  <c r="I49"/>
  <c r="I63"/>
  <c r="I65"/>
  <c r="I68"/>
  <c r="I82"/>
  <c r="H31" i="31"/>
  <c r="I31"/>
  <c r="I38"/>
  <c r="H38"/>
  <c r="H40"/>
  <c r="I40"/>
  <c r="H29"/>
  <c r="I30"/>
  <c r="H36"/>
  <c r="I39"/>
  <c r="H43"/>
  <c r="I44"/>
  <c r="H45"/>
  <c r="I46"/>
  <c r="H47"/>
  <c r="I48"/>
  <c r="H49"/>
  <c r="I55"/>
  <c r="H62"/>
  <c r="I63"/>
  <c r="H64"/>
  <c r="I65"/>
  <c r="H66"/>
  <c r="I68"/>
  <c r="I82"/>
  <c r="H83"/>
  <c r="H84" s="1"/>
  <c r="I91" i="33" l="1"/>
  <c r="I84" i="32"/>
  <c r="I91" s="1"/>
  <c r="I96" i="35"/>
  <c r="I95" i="34"/>
  <c r="H78"/>
  <c r="H78" i="31"/>
  <c r="I91"/>
  <c r="H89" i="30" l="1"/>
  <c r="H88"/>
  <c r="H87"/>
  <c r="F83"/>
  <c r="H83" s="1"/>
  <c r="F82"/>
  <c r="H82" s="1"/>
  <c r="H80"/>
  <c r="H79"/>
  <c r="H77"/>
  <c r="F75"/>
  <c r="H75" s="1"/>
  <c r="F74"/>
  <c r="H74" s="1"/>
  <c r="F73"/>
  <c r="H73" s="1"/>
  <c r="F72"/>
  <c r="H72" s="1"/>
  <c r="F71"/>
  <c r="H71" s="1"/>
  <c r="F70"/>
  <c r="H70" s="1"/>
  <c r="F68"/>
  <c r="H68" s="1"/>
  <c r="F67"/>
  <c r="H67" s="1"/>
  <c r="F66"/>
  <c r="F65"/>
  <c r="F64"/>
  <c r="F63"/>
  <c r="F62"/>
  <c r="F61"/>
  <c r="H61" s="1"/>
  <c r="F60"/>
  <c r="H60" s="1"/>
  <c r="H58"/>
  <c r="H56"/>
  <c r="F55"/>
  <c r="H55" s="1"/>
  <c r="I51"/>
  <c r="I50"/>
  <c r="F52"/>
  <c r="H52" s="1"/>
  <c r="F51"/>
  <c r="H51" s="1"/>
  <c r="H50"/>
  <c r="F49"/>
  <c r="H49" s="1"/>
  <c r="F48"/>
  <c r="H48" s="1"/>
  <c r="F47"/>
  <c r="H47" s="1"/>
  <c r="F46"/>
  <c r="H46" s="1"/>
  <c r="F45"/>
  <c r="H45" s="1"/>
  <c r="F44"/>
  <c r="H44" s="1"/>
  <c r="F43"/>
  <c r="H43" s="1"/>
  <c r="I37"/>
  <c r="H41"/>
  <c r="E40"/>
  <c r="F40" s="1"/>
  <c r="H40" s="1"/>
  <c r="F39"/>
  <c r="H39" s="1"/>
  <c r="E38"/>
  <c r="F38" s="1"/>
  <c r="H38" s="1"/>
  <c r="H37"/>
  <c r="F36"/>
  <c r="H36" s="1"/>
  <c r="H35"/>
  <c r="H33"/>
  <c r="H32"/>
  <c r="E31"/>
  <c r="F31" s="1"/>
  <c r="H31" s="1"/>
  <c r="F30"/>
  <c r="H30" s="1"/>
  <c r="F29"/>
  <c r="H29" s="1"/>
  <c r="F25"/>
  <c r="H25" s="1"/>
  <c r="F24"/>
  <c r="H24" s="1"/>
  <c r="F23"/>
  <c r="H23" s="1"/>
  <c r="F22"/>
  <c r="H22" s="1"/>
  <c r="F21"/>
  <c r="H21" s="1"/>
  <c r="F20"/>
  <c r="H20" s="1"/>
  <c r="F19"/>
  <c r="H19" l="1"/>
  <c r="I19"/>
  <c r="H62"/>
  <c r="I62"/>
  <c r="H64"/>
  <c r="I64"/>
  <c r="H66"/>
  <c r="I66"/>
  <c r="I47"/>
  <c r="I45"/>
  <c r="I43"/>
  <c r="H63"/>
  <c r="I63"/>
  <c r="H65"/>
  <c r="I65"/>
  <c r="I46"/>
  <c r="I44"/>
  <c r="I68"/>
  <c r="I48"/>
  <c r="I49"/>
  <c r="I39"/>
  <c r="I38"/>
  <c r="I21"/>
  <c r="I22"/>
  <c r="I24"/>
  <c r="I31"/>
  <c r="I20"/>
  <c r="I25"/>
  <c r="I23"/>
  <c r="I29"/>
  <c r="I30"/>
  <c r="I83" l="1"/>
  <c r="I79"/>
  <c r="I52"/>
  <c r="I40"/>
  <c r="I36"/>
  <c r="I35"/>
  <c r="H78" l="1"/>
  <c r="H84"/>
  <c r="I41"/>
  <c r="I55"/>
  <c r="I82"/>
  <c r="I94" l="1"/>
</calcChain>
</file>

<file path=xl/sharedStrings.xml><?xml version="1.0" encoding="utf-8"?>
<sst xmlns="http://schemas.openxmlformats.org/spreadsheetml/2006/main" count="2706" uniqueCount="274">
  <si>
    <t>№ позиции</t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</si>
  <si>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</si>
  <si>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</si>
  <si>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</si>
  <si>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</si>
  <si>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</si>
  <si>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</si>
  <si>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</si>
  <si>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</si>
  <si>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</si>
  <si>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</si>
  <si>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</si>
  <si>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</si>
  <si>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</si>
  <si>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</si>
  <si>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</si>
  <si>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</si>
  <si>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</si>
  <si>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</si>
  <si>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</si>
  <si>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</si>
  <si>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</si>
  <si>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</si>
  <si>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</si>
  <si>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</si>
  <si>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</si>
  <si>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</si>
  <si>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</si>
  <si>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</si>
  <si>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</si>
  <si>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</si>
  <si>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</si>
  <si>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</si>
  <si>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</si>
  <si>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</si>
  <si>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</si>
  <si>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</si>
  <si>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</si>
  <si>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</si>
  <si>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</si>
  <si>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</si>
  <si>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</si>
  <si>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</si>
  <si>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</si>
  <si>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</si>
  <si>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</si>
  <si>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</si>
  <si>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</si>
  <si>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</si>
  <si>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</si>
  <si>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</si>
  <si>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</si>
  <si>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</si>
  <si>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</si>
  <si>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</si>
  <si>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</si>
  <si>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</si>
  <si>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Работы по текущему ремонту и по заявкам</t>
  </si>
  <si>
    <t>пгт. Ярега</t>
  </si>
  <si>
    <t>155 раз</t>
  </si>
  <si>
    <t xml:space="preserve">Погрузка травы, ветвей </t>
  </si>
  <si>
    <t>по необходимости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</si>
  <si>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</si>
  <si>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</si>
  <si>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</si>
  <si>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</si>
  <si>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</si>
  <si>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</si>
  <si>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</si>
  <si>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</si>
  <si>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</si>
  <si>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</si>
  <si>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</si>
  <si>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</si>
  <si>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</si>
  <si>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</si>
  <si>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</si>
  <si>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Влажное подметание лестничных клеток 1 этажа</t>
  </si>
  <si>
    <t>III. Содержание общего имущества</t>
  </si>
  <si>
    <t>генеральный директор Куканов Ю.Л.</t>
  </si>
  <si>
    <t>Влажное подметание лестничных клеток 2-5 этажа</t>
  </si>
  <si>
    <t>Мытье лестничных  площадок и маршей 1-5 этаж.</t>
  </si>
  <si>
    <t xml:space="preserve">приемки оказанных услуг и выполненных работ по содержанию и текущему ремонту
общего имущества в многоквартирном доме №4 по ул.Космонавтов пгт.Ярега
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</si>
  <si>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</si>
  <si>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</si>
  <si>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</si>
  <si>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</si>
  <si>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</si>
  <si>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</si>
  <si>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</si>
  <si>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</si>
  <si>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</si>
  <si>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</si>
  <si>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1000м2</t>
  </si>
  <si>
    <t>шт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</si>
  <si>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</si>
  <si>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</si>
  <si>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</si>
  <si>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</si>
  <si>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</si>
  <si>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</si>
  <si>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</si>
  <si>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 xml:space="preserve"> </t>
  </si>
  <si>
    <t>АКТ №1</t>
  </si>
  <si>
    <t>Вывоз смета,травы,ветвей и т.п.- м/ч</t>
  </si>
  <si>
    <t>30 раз за сезон</t>
  </si>
  <si>
    <t>Вывоз снега с придомовой территории</t>
  </si>
  <si>
    <t>1м3</t>
  </si>
  <si>
    <t>155 раз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</si>
  <si>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</si>
  <si>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</si>
  <si>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</si>
  <si>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</si>
  <si>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</si>
  <si>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</si>
  <si>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</si>
  <si>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Аварийно-диспетчерское обслуживание</t>
  </si>
  <si>
    <t>Работа автовышки</t>
  </si>
  <si>
    <t>маш/час</t>
  </si>
  <si>
    <t>Внеплановый осмотр электросетей, армазуры и электрооборудования на лестничных клетках</t>
  </si>
  <si>
    <t>1 шт</t>
  </si>
  <si>
    <t>III. Плановые осмотры</t>
  </si>
  <si>
    <t>IV. Содержание общего имущества</t>
  </si>
  <si>
    <t>V. Прочие услуги</t>
  </si>
  <si>
    <t>АКТ №2</t>
  </si>
  <si>
    <t>АКТ №5</t>
  </si>
  <si>
    <t>АКТ №6</t>
  </si>
  <si>
    <t>АКТ №7</t>
  </si>
  <si>
    <t>АКТ №8</t>
  </si>
  <si>
    <t>IV. Прочие услуги</t>
  </si>
  <si>
    <t>АКТ №9</t>
  </si>
  <si>
    <t>АКТ №10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</si>
  <si>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</si>
  <si>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Обязательные работы по содержанию общего имущества собственников помещений в многоквартирном доме</t>
  </si>
  <si>
    <t>II. Уборка земельного участка</t>
  </si>
  <si>
    <t>Летняя уборка</t>
  </si>
  <si>
    <t>Уборка газонов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</si>
  <si>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</si>
  <si>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</si>
  <si>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52 раза в сезон</t>
  </si>
  <si>
    <t>78 раз за сезон</t>
  </si>
  <si>
    <t>5 раз в год</t>
  </si>
  <si>
    <t>Итого затраты за месяц</t>
  </si>
  <si>
    <t>Сдвигание снега в дни снегопада</t>
  </si>
  <si>
    <t>35 раз за сезон</t>
  </si>
  <si>
    <t>20 раз за сезон</t>
  </si>
  <si>
    <t>Техническое обслуживание внутренних сетей водопровода и канализации</t>
  </si>
  <si>
    <t>руб/м2 в мес</t>
  </si>
  <si>
    <t>Смена светодиодных светильников в.о. (со стоимостью светильника)</t>
  </si>
  <si>
    <t>Смена выключателей</t>
  </si>
  <si>
    <t>Смена светильника РКУ</t>
  </si>
  <si>
    <t>Снятие показаний с общедомовых приборов учёта электрической энергии и холодной воды</t>
  </si>
  <si>
    <t>Техническое диагностирование ВДГО</t>
  </si>
  <si>
    <t>АКТ №11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</si>
  <si>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</si>
  <si>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д.4</t>
    </r>
  </si>
  <si>
    <t>Дератизация</t>
  </si>
  <si>
    <t>м2</t>
  </si>
  <si>
    <t>АКТ №3</t>
  </si>
  <si>
    <t>1 м</t>
  </si>
  <si>
    <t>Внеплановый осмотр вводных электрических щитков</t>
  </si>
  <si>
    <t>ООО «Движение»</t>
  </si>
  <si>
    <r>
      <t xml:space="preserve">    Собственники   помещений   в многоквартирном доме, расположенном по адресу:  пгт.Ярега, ул.Космонавтов, д.4,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28.04.2017г. стороны,  и ООО «Движение»,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</si>
  <si>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Внеплановая проверка вентканалов</t>
  </si>
  <si>
    <t>АКТ №4</t>
  </si>
  <si>
    <t>за период с 01.01.2019 г. по 31.01.2019 г.</t>
  </si>
  <si>
    <t>Ремонт двери</t>
  </si>
  <si>
    <t>Очистка от снега люков канализационных и водопроводных колодцев</t>
  </si>
  <si>
    <t xml:space="preserve">Внеплановый осмотр водопроводов, канализации, отопления </t>
  </si>
  <si>
    <t>Хлор</t>
  </si>
  <si>
    <t>за период с 01.02.2019 г. по 28.02.2019 г.</t>
  </si>
  <si>
    <t>Ремонт предохранительных колодок</t>
  </si>
  <si>
    <t>Очистка  снега с трапа</t>
  </si>
  <si>
    <t>Очистка канализационной сети внутренней</t>
  </si>
  <si>
    <t>м</t>
  </si>
  <si>
    <t>Водоотлив из подвала электрическими (механическими) насосами (100 м3 воды)</t>
  </si>
  <si>
    <t>10 м3</t>
  </si>
  <si>
    <t>Установка насоса в подвале для откачки воды</t>
  </si>
  <si>
    <t>подвал</t>
  </si>
  <si>
    <t>Очистка оголовка от наледи снега</t>
  </si>
  <si>
    <t>Внеплановый осмотр элекгросетей, арматуры и электрооборудования на чердаках и подвалах</t>
  </si>
  <si>
    <t>Ремонт поверхности кирпичных стен при глубине заделки в 1 кирпич площадью в одном месте до 1 м2</t>
  </si>
  <si>
    <t>Внеплановый осмотр кровли</t>
  </si>
  <si>
    <t>Повесли почтовые ящики</t>
  </si>
  <si>
    <t>Прочистка фильтров</t>
  </si>
  <si>
    <t>3м</t>
  </si>
  <si>
    <t>за период с 01.03.2019 г. по 31.03.2019 г.</t>
  </si>
  <si>
    <t>100шт</t>
  </si>
  <si>
    <t>за период с 01.04.2019 г. по 31.04.2019 г.</t>
  </si>
  <si>
    <t>Смена полиэтиленовых канализационных труб диаметром до 50 мм (50*8,4)</t>
  </si>
  <si>
    <t>Смена дверных приборов /замки навесные)</t>
  </si>
  <si>
    <t>Восстановление ДВП после работ  ВДИС</t>
  </si>
  <si>
    <t>Закрыли слуховое окно</t>
  </si>
  <si>
    <t>за период с 01.05.2019 г. по 31.05.2019 г.</t>
  </si>
  <si>
    <t>Смена плавкой вставки на электрощите ( без материадов)</t>
  </si>
  <si>
    <t>Смена внутренних трубопроводов на полипропиленовые трубы PN 25 Dу 20 (кв 17)</t>
  </si>
  <si>
    <t>12 м</t>
  </si>
  <si>
    <t>Положили траппы</t>
  </si>
  <si>
    <t>100 м</t>
  </si>
  <si>
    <t>Положили траппы (под.№1)</t>
  </si>
  <si>
    <t>за период с 01.06.2019 г. по 30.06.2019 г.</t>
  </si>
  <si>
    <t>руб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</si>
  <si>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</si>
  <si>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</si>
  <si>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</si>
  <si>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</si>
  <si>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</si>
  <si>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</si>
  <si>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</si>
  <si>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6 раз</t>
  </si>
  <si>
    <t>3 раза</t>
  </si>
  <si>
    <t>1 раз</t>
  </si>
  <si>
    <t>1,5 м/час</t>
  </si>
  <si>
    <t>2. Всего за период с 01.01.2019 г. по 31.01.2019 г. выполнено работ (оказано услуг) на общую сумму: 70264,60 руб.</t>
  </si>
  <si>
    <t>(семьдесят тысяч двести шестьдесят четыре рубля 60 копеек)</t>
  </si>
  <si>
    <t>2 маш/час</t>
  </si>
  <si>
    <t>12 шт</t>
  </si>
  <si>
    <t>2. Всего за период с 01.02.2019 г. по 28.02.2019 г. выполнено работ (оказано услуг) на общую сумму: 84953,23 руб.</t>
  </si>
  <si>
    <t>(восемьдесят четыре тысячи девятьсот пятьдесят три рубля 23 копейки)</t>
  </si>
  <si>
    <t>2 шт</t>
  </si>
  <si>
    <t xml:space="preserve">1 раз </t>
  </si>
  <si>
    <t>2. Всего за период с 01.03.2019 г. по 31.03.2019 г. выполнено работ (оказано услуг) на общую сумму: 56902,60 руб.</t>
  </si>
  <si>
    <t>(пятьдесят шесть тысяч девятьсот два рубля 60 копеек)</t>
  </si>
  <si>
    <t>2. Всего за период с 01.04.2019 г. по 30.04.2019 г. выполнено работ (оказано услуг) на общую сумму: 63054,98 руб.</t>
  </si>
  <si>
    <t>(шестьдесят три тысячи пятьдесят четыре рубля 98 копеек)</t>
  </si>
  <si>
    <t xml:space="preserve">1 раз    </t>
  </si>
  <si>
    <t xml:space="preserve">1 раз      </t>
  </si>
  <si>
    <t xml:space="preserve">1 раз     </t>
  </si>
  <si>
    <t>2. Всего за период с 01.05.2019 г. по 31.05.2019 г. выполнено работ (оказано услуг) на общую сумму: 80971,38 руб.</t>
  </si>
  <si>
    <t>(восемьдесят тысяч девятьсот семьдесят один рубль 38 копеек)</t>
  </si>
  <si>
    <t>2. Всего за период с 01.06.2019 г. по 30.06.2019 г. выполнено работ (оказано услуг) на общую сумму: 87614,85 руб.</t>
  </si>
  <si>
    <t>(восемьдесят семь тысяч шестьсот четырнадцать рублей 85 копеек)</t>
  </si>
  <si>
    <t>за период с 01.07.2019 г. по 31.07.2019 г.</t>
  </si>
  <si>
    <t>Покраска газопровода (96 м.п.)</t>
  </si>
  <si>
    <t>2. Всего за период с 01.07.2019 г. по 31.07.2019 г. выполнено работ (оказано услуг) на общую сумму: 148065,64 руб.</t>
  </si>
  <si>
    <t>(сто сорок восемь тысяч шестьдесят пять рублей 64 копейки)</t>
  </si>
  <si>
    <t>за период с 01.08.2019 г. по 31.08.2019 г.</t>
  </si>
  <si>
    <t>за период с 01.09.2019 г. по 30.09.2019 г.</t>
  </si>
  <si>
    <t>Смена внутренних трубопроводов из стальных труб диаметром до 32 мм (без стоимости креплений)</t>
  </si>
  <si>
    <t>кв.15</t>
  </si>
  <si>
    <t>Смена арматуры - вентилей и клапанов обратных муфтовых диаметром до 20 мм</t>
  </si>
  <si>
    <t>кв.67</t>
  </si>
  <si>
    <t>Заменили муфту</t>
  </si>
  <si>
    <t>кв.64</t>
  </si>
  <si>
    <t>2. Всего за период с 01.08.2019 г. по 31.08.2019 г. выполнено работ (оказано услуг) на общую сумму: 40829,11 руб.</t>
  </si>
  <si>
    <t>(сорок тысяч восемьсот двадцать девять рублей 11 копеек  )</t>
  </si>
  <si>
    <t>за период с 01.10.2019 г. по 31.10.2019 г.</t>
  </si>
  <si>
    <t>Смена внутренних трубопроводов на полипропиленовые трубы PN 25 Dу 25</t>
  </si>
  <si>
    <t>Смена санитарных приборов -водосчетчиов ХВС( без стоимости водосчетчика)</t>
  </si>
  <si>
    <t>Счетчик ВСКМ 90-32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</si>
  <si>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</si>
  <si>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</si>
  <si>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2. Всего за период с 01.09.2019 г. по 30.09.2019 г. выполнено работ (оказано услуг) на общую сумму: 88119,24 руб.</t>
  </si>
  <si>
    <t>(восемьдесят восемь тысяч сто девятнадцать рублей 24 копейи)</t>
  </si>
  <si>
    <t>Смена внутренних трубопроводов на полипропиленовые трубы PN 25 Dу 20</t>
  </si>
  <si>
    <t>Разборка оснований покрытия полов - простильных полов для работ ВДИС</t>
  </si>
  <si>
    <t>с/о кв 4</t>
  </si>
  <si>
    <t>кв.4</t>
  </si>
  <si>
    <t>2. Всего за период с 01.10.2019 г. по 31.10.2019 г. выполнено работ (оказано услуг) на общую сумму: 51278,87 руб.</t>
  </si>
  <si>
    <t>(пятьдесят одна тысяча двести семьдесят восемь рублей 87 копеек)</t>
  </si>
  <si>
    <t>за период с 01.11.2019 г. по 30.11.2019 г.</t>
  </si>
  <si>
    <t xml:space="preserve">Смена сгонов у трубопроводов диаметром до 20 мм </t>
  </si>
  <si>
    <t>1 сгон</t>
  </si>
  <si>
    <t>Установка хомута диаметром до 50 мм</t>
  </si>
  <si>
    <t>место</t>
  </si>
  <si>
    <t>кв.63</t>
  </si>
  <si>
    <t>с/о кв.3</t>
  </si>
  <si>
    <t>кв.3</t>
  </si>
  <si>
    <t>2. Всего за период с 01.11.2019 г. по 30.11.2019 г. выполнено работ (оказано услуг) на общую сумму: 52141,73 руб.</t>
  </si>
  <si>
    <t>(пятьдесят две тысячи сто сорок один рубль 73 копейки )</t>
  </si>
  <si>
    <t>за период с 01.12.2019 г. по 31.12.2019 г.</t>
  </si>
  <si>
    <t>Ремонт перил ( наращивание обрешетки) 2 под.</t>
  </si>
  <si>
    <t>2. Всего за период с 01.12.2019 г. по 31.12.2019 г. выполнено работ (оказано услуг) на общую сумму: 53950,48 руб.</t>
  </si>
  <si>
    <t>(пятьдесят три тысячи девятьсот пятьдесят рублей 48 копеек)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</si>
</sst>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9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0" fillId="0" borderId="0" xfId="0" applyFill="1"/>
    <xf numFmtId="0" fontId="0" fillId="0" borderId="0" xfId="0" applyBorder="1"/>
    <xf numFmtId="0" fontId="2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right" vertical="top"/>
    </xf>
    <xf numFmtId="14" fontId="1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8" fillId="0" borderId="0" xfId="0" applyFont="1"/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8" fillId="0" borderId="0" xfId="0" applyFont="1" applyFill="1"/>
    <xf numFmtId="0" fontId="13" fillId="0" borderId="0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left" vertical="center" wrapText="1"/>
    </xf>
    <xf numFmtId="4" fontId="11" fillId="4" borderId="13" xfId="0" applyNumberFormat="1" applyFont="1" applyFill="1" applyBorder="1" applyAlignment="1">
      <alignment horizontal="center" vertical="center"/>
    </xf>
    <xf numFmtId="4" fontId="11" fillId="2" borderId="20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2" fontId="11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5" fillId="0" borderId="0" xfId="0" applyFont="1" applyAlignment="1"/>
    <xf numFmtId="4" fontId="21" fillId="2" borderId="3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21" fillId="2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/>
    <xf numFmtId="0" fontId="15" fillId="0" borderId="0" xfId="0" applyFont="1" applyAlignment="1"/>
    <xf numFmtId="0" fontId="11" fillId="2" borderId="13" xfId="0" applyNumberFormat="1" applyFont="1" applyFill="1" applyBorder="1" applyAlignment="1" applyProtection="1">
      <alignment horizontal="left" vertical="center" wrapText="1"/>
    </xf>
    <xf numFmtId="0" fontId="11" fillId="2" borderId="13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4" fontId="11" fillId="3" borderId="9" xfId="0" applyNumberFormat="1" applyFont="1" applyFill="1" applyBorder="1" applyAlignment="1">
      <alignment horizontal="center" vertical="center" wrapText="1"/>
    </xf>
    <xf numFmtId="14" fontId="11" fillId="2" borderId="9" xfId="0" applyNumberFormat="1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D38" sqref="D38:D4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8" t="s">
        <v>161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62" t="s">
        <v>103</v>
      </c>
      <c r="B3" s="162"/>
      <c r="C3" s="162"/>
      <c r="D3" s="162"/>
      <c r="E3" s="162"/>
      <c r="F3" s="162"/>
      <c r="G3" s="162"/>
      <c r="H3" s="162"/>
      <c r="I3" s="162"/>
      <c r="J3" s="2"/>
      <c r="K3" s="2"/>
      <c r="L3" s="2"/>
      <c r="M3" s="2"/>
    </row>
    <row r="4" spans="1:15" s="25" customFormat="1" ht="31.5" customHeight="1">
      <c r="A4" s="163" t="s">
        <v>82</v>
      </c>
      <c r="B4" s="163"/>
      <c r="C4" s="163"/>
      <c r="D4" s="163"/>
      <c r="E4" s="163"/>
      <c r="F4" s="163"/>
      <c r="G4" s="163"/>
      <c r="H4" s="163"/>
      <c r="I4" s="163"/>
      <c r="J4" s="3"/>
      <c r="K4" s="3"/>
      <c r="L4" s="3"/>
    </row>
    <row r="5" spans="1:15" s="25" customFormat="1" ht="15.75" customHeight="1">
      <c r="A5" s="162" t="s">
        <v>165</v>
      </c>
      <c r="B5" s="164"/>
      <c r="C5" s="164"/>
      <c r="D5" s="164"/>
      <c r="E5" s="164"/>
      <c r="F5" s="164"/>
      <c r="G5" s="164"/>
      <c r="H5" s="164"/>
      <c r="I5" s="164"/>
    </row>
    <row r="6" spans="1:15" s="25" customFormat="1" ht="15.75">
      <c r="A6" s="2"/>
      <c r="B6" s="117"/>
      <c r="C6" s="117"/>
      <c r="D6" s="117"/>
      <c r="E6" s="117"/>
      <c r="F6" s="117"/>
      <c r="G6" s="117"/>
      <c r="H6" s="117"/>
      <c r="I6" s="29">
        <v>43496</v>
      </c>
      <c r="J6" s="2"/>
      <c r="K6" s="2"/>
      <c r="L6" s="2"/>
      <c r="M6" s="2"/>
    </row>
    <row r="7" spans="1:15" ht="15.75">
      <c r="B7" s="120"/>
      <c r="C7" s="120"/>
      <c r="D7" s="120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65" t="s">
        <v>162</v>
      </c>
      <c r="B8" s="165"/>
      <c r="C8" s="165"/>
      <c r="D8" s="165"/>
      <c r="E8" s="165"/>
      <c r="F8" s="165"/>
      <c r="G8" s="165"/>
      <c r="H8" s="165"/>
      <c r="I8" s="16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66" t="s">
        <v>155</v>
      </c>
      <c r="B10" s="166"/>
      <c r="C10" s="166"/>
      <c r="D10" s="166"/>
      <c r="E10" s="166"/>
      <c r="F10" s="166"/>
      <c r="G10" s="166"/>
      <c r="H10" s="166"/>
      <c r="I10" s="166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132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59" t="s">
        <v>133</v>
      </c>
      <c r="B14" s="160"/>
      <c r="C14" s="160"/>
      <c r="D14" s="160"/>
      <c r="E14" s="160"/>
      <c r="F14" s="160"/>
      <c r="G14" s="160"/>
      <c r="H14" s="160"/>
      <c r="I14" s="161"/>
      <c r="J14" s="99"/>
      <c r="K14" s="99"/>
      <c r="L14" s="6"/>
      <c r="M14" s="6"/>
      <c r="N14" s="6"/>
      <c r="O14" s="6"/>
    </row>
    <row r="15" spans="1:15" ht="15.75" customHeight="1">
      <c r="A15" s="168" t="s">
        <v>3</v>
      </c>
      <c r="B15" s="169"/>
      <c r="C15" s="169"/>
      <c r="D15" s="169"/>
      <c r="E15" s="169"/>
      <c r="F15" s="169"/>
      <c r="G15" s="169"/>
      <c r="H15" s="169"/>
      <c r="I15" s="170"/>
      <c r="J15" s="6"/>
      <c r="K15" s="6"/>
      <c r="L15" s="6"/>
      <c r="M15" s="6"/>
    </row>
    <row r="16" spans="1:15" ht="15.75" customHeight="1">
      <c r="A16" s="26">
        <v>1</v>
      </c>
      <c r="B16" s="51" t="s">
        <v>77</v>
      </c>
      <c r="C16" s="59" t="s">
        <v>83</v>
      </c>
      <c r="D16" s="51" t="s">
        <v>203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80</v>
      </c>
      <c r="C17" s="59" t="s">
        <v>83</v>
      </c>
      <c r="D17" s="51" t="s">
        <v>204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81</v>
      </c>
      <c r="C18" s="59" t="s">
        <v>83</v>
      </c>
      <c r="D18" s="51" t="s">
        <v>205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84</v>
      </c>
      <c r="C19" s="59" t="s">
        <v>85</v>
      </c>
      <c r="D19" s="51" t="s">
        <v>86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1" t="s">
        <v>87</v>
      </c>
      <c r="C20" s="59" t="s">
        <v>83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1" t="s">
        <v>88</v>
      </c>
      <c r="C21" s="59" t="s">
        <v>83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89</v>
      </c>
      <c r="C22" s="59" t="s">
        <v>50</v>
      </c>
      <c r="D22" s="51" t="s">
        <v>86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90</v>
      </c>
      <c r="C23" s="59" t="s">
        <v>50</v>
      </c>
      <c r="D23" s="51" t="s">
        <v>86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91</v>
      </c>
      <c r="C24" s="59" t="s">
        <v>50</v>
      </c>
      <c r="D24" s="52" t="s">
        <v>86</v>
      </c>
      <c r="E24" s="17">
        <v>15</v>
      </c>
      <c r="F24" s="64">
        <f t="shared" si="2"/>
        <v>0.15</v>
      </c>
      <c r="G24" s="61">
        <v>511.12</v>
      </c>
      <c r="H24" s="62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92</v>
      </c>
      <c r="C25" s="59" t="s">
        <v>50</v>
      </c>
      <c r="D25" s="51" t="s">
        <v>86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202</v>
      </c>
      <c r="C26" s="39" t="s">
        <v>157</v>
      </c>
      <c r="D26" s="32" t="s">
        <v>206</v>
      </c>
      <c r="E26" s="157">
        <v>4.5999999999999996</v>
      </c>
      <c r="F26" s="31">
        <f>E26*258</f>
        <v>1186.8</v>
      </c>
      <c r="G26" s="31">
        <v>10.39</v>
      </c>
      <c r="H26" s="62">
        <f t="shared" ref="H26:H27" si="5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hidden="1" customHeight="1">
      <c r="A27" s="26">
        <v>5</v>
      </c>
      <c r="B27" s="68" t="s">
        <v>23</v>
      </c>
      <c r="C27" s="59" t="s">
        <v>24</v>
      </c>
      <c r="D27" s="51"/>
      <c r="E27" s="60">
        <v>3181</v>
      </c>
      <c r="F27" s="61">
        <f>SUM(E27*12)</f>
        <v>38172</v>
      </c>
      <c r="G27" s="61">
        <v>2.67</v>
      </c>
      <c r="H27" s="62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68" t="s">
        <v>134</v>
      </c>
      <c r="B28" s="169"/>
      <c r="C28" s="169"/>
      <c r="D28" s="169"/>
      <c r="E28" s="169"/>
      <c r="F28" s="169"/>
      <c r="G28" s="169"/>
      <c r="H28" s="169"/>
      <c r="I28" s="170"/>
      <c r="J28" s="21"/>
      <c r="K28" s="6"/>
      <c r="L28" s="6"/>
      <c r="M28" s="6"/>
    </row>
    <row r="29" spans="1:13" ht="15.75" hidden="1" customHeight="1">
      <c r="A29" s="102"/>
      <c r="B29" s="55" t="s">
        <v>135</v>
      </c>
      <c r="C29" s="103"/>
      <c r="D29" s="103"/>
      <c r="E29" s="103"/>
      <c r="F29" s="103"/>
      <c r="G29" s="103"/>
      <c r="H29" s="103"/>
      <c r="I29" s="103"/>
      <c r="J29" s="21"/>
      <c r="K29" s="6"/>
      <c r="L29" s="6"/>
      <c r="M29" s="6"/>
    </row>
    <row r="30" spans="1:13" ht="15.75" hidden="1" customHeight="1">
      <c r="A30" s="100">
        <v>6</v>
      </c>
      <c r="B30" s="51" t="s">
        <v>136</v>
      </c>
      <c r="C30" s="59" t="s">
        <v>93</v>
      </c>
      <c r="D30" s="51" t="s">
        <v>139</v>
      </c>
      <c r="E30" s="61">
        <v>210.2</v>
      </c>
      <c r="F30" s="61">
        <f>SUM(E30*52/1000)</f>
        <v>10.930399999999999</v>
      </c>
      <c r="G30" s="61">
        <v>204.44</v>
      </c>
      <c r="H30" s="62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hidden="1" customHeight="1">
      <c r="A31" s="26">
        <v>7</v>
      </c>
      <c r="B31" s="51" t="s">
        <v>137</v>
      </c>
      <c r="C31" s="59" t="s">
        <v>93</v>
      </c>
      <c r="D31" s="51" t="s">
        <v>140</v>
      </c>
      <c r="E31" s="61">
        <v>92</v>
      </c>
      <c r="F31" s="61">
        <f>SUM(E31*78/1000)</f>
        <v>7.1760000000000002</v>
      </c>
      <c r="G31" s="61">
        <v>339.21</v>
      </c>
      <c r="H31" s="62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1" t="s">
        <v>26</v>
      </c>
      <c r="C32" s="59" t="s">
        <v>93</v>
      </c>
      <c r="D32" s="51" t="s">
        <v>51</v>
      </c>
      <c r="E32" s="61">
        <f>E30</f>
        <v>210.2</v>
      </c>
      <c r="F32" s="61">
        <f>SUM(E32/1000)</f>
        <v>0.2102</v>
      </c>
      <c r="G32" s="61">
        <v>3961.23</v>
      </c>
      <c r="H32" s="62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hidden="1" customHeight="1">
      <c r="A33" s="26">
        <v>8</v>
      </c>
      <c r="B33" s="51" t="s">
        <v>138</v>
      </c>
      <c r="C33" s="59" t="s">
        <v>28</v>
      </c>
      <c r="D33" s="51" t="s">
        <v>59</v>
      </c>
      <c r="E33" s="67">
        <f>1/3</f>
        <v>0.33333333333333331</v>
      </c>
      <c r="F33" s="61">
        <f>155/3</f>
        <v>51.666666666666664</v>
      </c>
      <c r="G33" s="61">
        <v>74.349999999999994</v>
      </c>
      <c r="H33" s="62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1" t="s">
        <v>60</v>
      </c>
      <c r="C34" s="59" t="s">
        <v>30</v>
      </c>
      <c r="D34" s="51" t="s">
        <v>61</v>
      </c>
      <c r="E34" s="60"/>
      <c r="F34" s="61">
        <v>1</v>
      </c>
      <c r="G34" s="61">
        <v>250.92</v>
      </c>
      <c r="H34" s="62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5"/>
      <c r="B35" s="51" t="s">
        <v>104</v>
      </c>
      <c r="C35" s="59" t="s">
        <v>29</v>
      </c>
      <c r="D35" s="51" t="s">
        <v>61</v>
      </c>
      <c r="E35" s="60"/>
      <c r="F35" s="61">
        <v>1</v>
      </c>
      <c r="G35" s="61">
        <v>1490.31</v>
      </c>
      <c r="H35" s="62">
        <f t="shared" si="6"/>
        <v>1.49031</v>
      </c>
      <c r="I35" s="12">
        <v>0</v>
      </c>
      <c r="J35" s="21"/>
      <c r="K35" s="6"/>
      <c r="L35" s="6"/>
      <c r="M35" s="6"/>
    </row>
    <row r="36" spans="1:14" ht="15.75" customHeight="1">
      <c r="A36" s="102"/>
      <c r="B36" s="55" t="s">
        <v>4</v>
      </c>
      <c r="C36" s="104"/>
      <c r="D36" s="104"/>
      <c r="E36" s="104"/>
      <c r="F36" s="104"/>
      <c r="G36" s="104"/>
      <c r="H36" s="104"/>
      <c r="I36" s="104"/>
      <c r="J36" s="21"/>
      <c r="K36" s="6"/>
      <c r="L36" s="6"/>
      <c r="M36" s="6"/>
    </row>
    <row r="37" spans="1:14" ht="15.75" customHeight="1">
      <c r="A37" s="100">
        <v>5</v>
      </c>
      <c r="B37" s="51" t="s">
        <v>25</v>
      </c>
      <c r="C37" s="59" t="s">
        <v>29</v>
      </c>
      <c r="D37" s="51"/>
      <c r="E37" s="60"/>
      <c r="F37" s="61">
        <v>3</v>
      </c>
      <c r="G37" s="61">
        <v>2003</v>
      </c>
      <c r="H37" s="62">
        <f t="shared" ref="H37:H43" si="8">SUM(F37*G37/1000)</f>
        <v>6.0090000000000003</v>
      </c>
      <c r="I37" s="12">
        <f>G37*(1.2+1.22)</f>
        <v>4847.26</v>
      </c>
      <c r="J37" s="21"/>
      <c r="K37" s="6"/>
      <c r="L37" s="6"/>
      <c r="M37" s="6"/>
    </row>
    <row r="38" spans="1:14" ht="15.75" customHeight="1">
      <c r="A38" s="26">
        <v>6</v>
      </c>
      <c r="B38" s="51" t="s">
        <v>143</v>
      </c>
      <c r="C38" s="59" t="s">
        <v>27</v>
      </c>
      <c r="D38" s="51" t="s">
        <v>207</v>
      </c>
      <c r="E38" s="60">
        <v>92</v>
      </c>
      <c r="F38" s="61">
        <f>E38*30/1000</f>
        <v>2.76</v>
      </c>
      <c r="G38" s="61">
        <v>2757.78</v>
      </c>
      <c r="H38" s="62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1" t="s">
        <v>106</v>
      </c>
      <c r="C39" s="59" t="s">
        <v>107</v>
      </c>
      <c r="D39" s="51" t="s">
        <v>61</v>
      </c>
      <c r="E39" s="60"/>
      <c r="F39" s="61">
        <v>52</v>
      </c>
      <c r="G39" s="61">
        <v>239.09</v>
      </c>
      <c r="H39" s="62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customHeight="1">
      <c r="A40" s="26">
        <v>7</v>
      </c>
      <c r="B40" s="51" t="s">
        <v>62</v>
      </c>
      <c r="C40" s="59" t="s">
        <v>27</v>
      </c>
      <c r="D40" s="51" t="s">
        <v>208</v>
      </c>
      <c r="E40" s="61">
        <f>E38</f>
        <v>92</v>
      </c>
      <c r="F40" s="61">
        <f>SUM(E40*155/1000)</f>
        <v>14.26</v>
      </c>
      <c r="G40" s="61">
        <v>460.02</v>
      </c>
      <c r="H40" s="62">
        <f t="shared" si="8"/>
        <v>6.5598852000000001</v>
      </c>
      <c r="I40" s="12">
        <f t="shared" si="9"/>
        <v>1093.3141999999998</v>
      </c>
      <c r="J40" s="22"/>
    </row>
    <row r="41" spans="1:14" ht="48" customHeight="1">
      <c r="A41" s="26">
        <v>8</v>
      </c>
      <c r="B41" s="51" t="s">
        <v>76</v>
      </c>
      <c r="C41" s="59" t="s">
        <v>93</v>
      </c>
      <c r="D41" s="51" t="s">
        <v>209</v>
      </c>
      <c r="E41" s="61">
        <v>92</v>
      </c>
      <c r="F41" s="61">
        <f>SUM(E41*35/1000)</f>
        <v>3.22</v>
      </c>
      <c r="G41" s="61">
        <v>7611.16</v>
      </c>
      <c r="H41" s="62">
        <f t="shared" si="8"/>
        <v>24.507935199999999</v>
      </c>
      <c r="I41" s="12">
        <f t="shared" si="9"/>
        <v>4084.655866666667</v>
      </c>
      <c r="J41" s="22"/>
    </row>
    <row r="42" spans="1:14" ht="15.75" customHeight="1">
      <c r="A42" s="26">
        <v>9</v>
      </c>
      <c r="B42" s="51" t="s">
        <v>109</v>
      </c>
      <c r="C42" s="59" t="s">
        <v>93</v>
      </c>
      <c r="D42" s="51" t="s">
        <v>210</v>
      </c>
      <c r="E42" s="61">
        <f>E38</f>
        <v>92</v>
      </c>
      <c r="F42" s="61">
        <f>SUM(E42*20/1000)</f>
        <v>1.84</v>
      </c>
      <c r="G42" s="61">
        <v>562.25</v>
      </c>
      <c r="H42" s="62">
        <f t="shared" si="8"/>
        <v>1.03454</v>
      </c>
      <c r="I42" s="12">
        <f>F42/7.5*G42</f>
        <v>137.93866666666668</v>
      </c>
      <c r="J42" s="22"/>
    </row>
    <row r="43" spans="1:14" ht="15.75" customHeight="1">
      <c r="A43" s="26">
        <v>10</v>
      </c>
      <c r="B43" s="51" t="s">
        <v>63</v>
      </c>
      <c r="C43" s="59" t="s">
        <v>30</v>
      </c>
      <c r="D43" s="51"/>
      <c r="E43" s="60"/>
      <c r="F43" s="61">
        <v>0.8</v>
      </c>
      <c r="G43" s="61">
        <v>992.97</v>
      </c>
      <c r="H43" s="62">
        <f t="shared" si="8"/>
        <v>0.79437600000000008</v>
      </c>
      <c r="I43" s="12">
        <f>F43/7.5*G43</f>
        <v>105.91680000000001</v>
      </c>
      <c r="J43" s="22"/>
    </row>
    <row r="44" spans="1:14" ht="15.75" customHeight="1">
      <c r="A44" s="171" t="s">
        <v>121</v>
      </c>
      <c r="B44" s="172"/>
      <c r="C44" s="172"/>
      <c r="D44" s="172"/>
      <c r="E44" s="172"/>
      <c r="F44" s="172"/>
      <c r="G44" s="172"/>
      <c r="H44" s="172"/>
      <c r="I44" s="173"/>
      <c r="J44" s="22"/>
      <c r="L44" s="18"/>
      <c r="M44" s="19"/>
      <c r="N44" s="20"/>
    </row>
    <row r="45" spans="1:14" ht="15.75" hidden="1" customHeight="1">
      <c r="A45" s="26">
        <v>11</v>
      </c>
      <c r="B45" s="32" t="s">
        <v>110</v>
      </c>
      <c r="C45" s="39" t="s">
        <v>93</v>
      </c>
      <c r="D45" s="32" t="s">
        <v>39</v>
      </c>
      <c r="E45" s="107">
        <v>1114.25</v>
      </c>
      <c r="F45" s="31">
        <f>SUM(E45*2/1000)</f>
        <v>2.2284999999999999</v>
      </c>
      <c r="G45" s="34">
        <v>1193.71</v>
      </c>
      <c r="H45" s="108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12</v>
      </c>
      <c r="B46" s="32" t="s">
        <v>33</v>
      </c>
      <c r="C46" s="39" t="s">
        <v>93</v>
      </c>
      <c r="D46" s="32" t="s">
        <v>39</v>
      </c>
      <c r="E46" s="107">
        <v>2631</v>
      </c>
      <c r="F46" s="31">
        <f>SUM(E46*2/1000)</f>
        <v>5.2619999999999996</v>
      </c>
      <c r="G46" s="34">
        <v>1803.69</v>
      </c>
      <c r="H46" s="108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hidden="1" customHeight="1">
      <c r="A47" s="26">
        <v>13</v>
      </c>
      <c r="B47" s="32" t="s">
        <v>34</v>
      </c>
      <c r="C47" s="39" t="s">
        <v>93</v>
      </c>
      <c r="D47" s="32" t="s">
        <v>39</v>
      </c>
      <c r="E47" s="107">
        <v>1953.8</v>
      </c>
      <c r="F47" s="31">
        <f>SUM(E47*2/1000)</f>
        <v>3.9076</v>
      </c>
      <c r="G47" s="34">
        <v>1243.43</v>
      </c>
      <c r="H47" s="108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hidden="1" customHeight="1">
      <c r="A48" s="26">
        <v>14</v>
      </c>
      <c r="B48" s="32" t="s">
        <v>31</v>
      </c>
      <c r="C48" s="39" t="s">
        <v>32</v>
      </c>
      <c r="D48" s="32" t="s">
        <v>39</v>
      </c>
      <c r="E48" s="107">
        <v>91.84</v>
      </c>
      <c r="F48" s="31">
        <f>SUM(E48*2/100)</f>
        <v>1.8368</v>
      </c>
      <c r="G48" s="109">
        <v>1172.4100000000001</v>
      </c>
      <c r="H48" s="108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customHeight="1">
      <c r="A49" s="26">
        <v>11</v>
      </c>
      <c r="B49" s="32" t="s">
        <v>54</v>
      </c>
      <c r="C49" s="39" t="s">
        <v>93</v>
      </c>
      <c r="D49" s="32" t="s">
        <v>211</v>
      </c>
      <c r="E49" s="107">
        <v>3181</v>
      </c>
      <c r="F49" s="31">
        <f>SUM(E49*5/1000)</f>
        <v>15.904999999999999</v>
      </c>
      <c r="G49" s="34">
        <v>1083.69</v>
      </c>
      <c r="H49" s="108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16</v>
      </c>
      <c r="B50" s="32" t="s">
        <v>111</v>
      </c>
      <c r="C50" s="39" t="s">
        <v>93</v>
      </c>
      <c r="D50" s="32" t="s">
        <v>39</v>
      </c>
      <c r="E50" s="107">
        <v>3181</v>
      </c>
      <c r="F50" s="31">
        <f>SUM(E50*2/1000)</f>
        <v>6.3620000000000001</v>
      </c>
      <c r="G50" s="34">
        <v>1591.6</v>
      </c>
      <c r="H50" s="108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17</v>
      </c>
      <c r="B51" s="32" t="s">
        <v>112</v>
      </c>
      <c r="C51" s="39" t="s">
        <v>35</v>
      </c>
      <c r="D51" s="32" t="s">
        <v>39</v>
      </c>
      <c r="E51" s="107">
        <v>20</v>
      </c>
      <c r="F51" s="31">
        <f>SUM(E51*2/100)</f>
        <v>0.4</v>
      </c>
      <c r="G51" s="34">
        <v>4058.32</v>
      </c>
      <c r="H51" s="108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18</v>
      </c>
      <c r="B52" s="32" t="s">
        <v>36</v>
      </c>
      <c r="C52" s="39" t="s">
        <v>37</v>
      </c>
      <c r="D52" s="32" t="s">
        <v>39</v>
      </c>
      <c r="E52" s="107">
        <v>1</v>
      </c>
      <c r="F52" s="31">
        <v>0.02</v>
      </c>
      <c r="G52" s="34">
        <v>7412.92</v>
      </c>
      <c r="H52" s="108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hidden="1" customHeight="1">
      <c r="A53" s="26">
        <v>13</v>
      </c>
      <c r="B53" s="32" t="s">
        <v>113</v>
      </c>
      <c r="C53" s="39" t="s">
        <v>94</v>
      </c>
      <c r="D53" s="32" t="s">
        <v>64</v>
      </c>
      <c r="E53" s="107">
        <v>70</v>
      </c>
      <c r="F53" s="31">
        <f>E53*3</f>
        <v>210</v>
      </c>
      <c r="G53" s="34">
        <v>185.08</v>
      </c>
      <c r="H53" s="108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14</v>
      </c>
      <c r="B54" s="32" t="s">
        <v>38</v>
      </c>
      <c r="C54" s="39" t="s">
        <v>94</v>
      </c>
      <c r="D54" s="32" t="s">
        <v>64</v>
      </c>
      <c r="E54" s="107">
        <v>140</v>
      </c>
      <c r="F54" s="31">
        <f>E54*3</f>
        <v>420</v>
      </c>
      <c r="G54" s="35">
        <v>86.15</v>
      </c>
      <c r="H54" s="108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71" t="s">
        <v>122</v>
      </c>
      <c r="B55" s="174"/>
      <c r="C55" s="174"/>
      <c r="D55" s="174"/>
      <c r="E55" s="174"/>
      <c r="F55" s="174"/>
      <c r="G55" s="174"/>
      <c r="H55" s="174"/>
      <c r="I55" s="175"/>
      <c r="J55" s="22"/>
      <c r="L55" s="18"/>
      <c r="M55" s="19"/>
      <c r="N55" s="20"/>
    </row>
    <row r="56" spans="1:14" ht="15.75" customHeight="1">
      <c r="A56" s="26"/>
      <c r="B56" s="81" t="s">
        <v>40</v>
      </c>
      <c r="C56" s="59"/>
      <c r="D56" s="51"/>
      <c r="E56" s="60"/>
      <c r="F56" s="61"/>
      <c r="G56" s="61"/>
      <c r="H56" s="62"/>
      <c r="I56" s="12"/>
      <c r="J56" s="22"/>
      <c r="L56" s="18"/>
      <c r="M56" s="19"/>
      <c r="N56" s="20"/>
    </row>
    <row r="57" spans="1:14" ht="31.5" customHeight="1">
      <c r="A57" s="26">
        <v>12</v>
      </c>
      <c r="B57" s="51" t="s">
        <v>114</v>
      </c>
      <c r="C57" s="59" t="s">
        <v>83</v>
      </c>
      <c r="D57" s="51"/>
      <c r="E57" s="60">
        <v>111.2</v>
      </c>
      <c r="F57" s="61">
        <f>SUM(E57*6/100)</f>
        <v>6.6720000000000006</v>
      </c>
      <c r="G57" s="12">
        <v>2431.1799999999998</v>
      </c>
      <c r="H57" s="62">
        <f>SUM(F57*G57/1000)</f>
        <v>16.220832959999999</v>
      </c>
      <c r="I57" s="12">
        <f>G57*(0.691+0.08)</f>
        <v>1874.4397799999997</v>
      </c>
      <c r="J57" s="22"/>
      <c r="L57" s="18"/>
      <c r="M57" s="19"/>
      <c r="N57" s="20"/>
    </row>
    <row r="58" spans="1:14" ht="15.75" customHeight="1">
      <c r="A58" s="26">
        <v>13</v>
      </c>
      <c r="B58" s="70" t="s">
        <v>117</v>
      </c>
      <c r="C58" s="69" t="s">
        <v>118</v>
      </c>
      <c r="D58" s="13" t="s">
        <v>212</v>
      </c>
      <c r="E58" s="71"/>
      <c r="F58" s="72">
        <v>3</v>
      </c>
      <c r="G58" s="12">
        <v>1582.05</v>
      </c>
      <c r="H58" s="62">
        <f>SUM(F58*G58/1000)</f>
        <v>4.7461499999999992</v>
      </c>
      <c r="I58" s="12">
        <f>G58*1.5</f>
        <v>2373.0749999999998</v>
      </c>
      <c r="J58" s="22"/>
      <c r="L58" s="18"/>
      <c r="M58" s="19"/>
      <c r="N58" s="20"/>
    </row>
    <row r="59" spans="1:14" ht="15.75" hidden="1" customHeight="1">
      <c r="A59" s="26"/>
      <c r="B59" s="82" t="s">
        <v>41</v>
      </c>
      <c r="C59" s="69"/>
      <c r="D59" s="70"/>
      <c r="E59" s="71"/>
      <c r="F59" s="72"/>
      <c r="G59" s="12"/>
      <c r="H59" s="73"/>
      <c r="I59" s="12"/>
      <c r="J59" s="22"/>
      <c r="L59" s="18"/>
      <c r="M59" s="19"/>
      <c r="N59" s="20"/>
    </row>
    <row r="60" spans="1:14" ht="15.75" hidden="1" customHeight="1">
      <c r="A60" s="26"/>
      <c r="B60" s="70" t="s">
        <v>42</v>
      </c>
      <c r="C60" s="69" t="s">
        <v>50</v>
      </c>
      <c r="D60" s="70" t="s">
        <v>51</v>
      </c>
      <c r="E60" s="71">
        <v>222.85</v>
      </c>
      <c r="F60" s="72">
        <v>8.9</v>
      </c>
      <c r="G60" s="12">
        <v>1040.8399999999999</v>
      </c>
      <c r="H60" s="73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82" t="s">
        <v>43</v>
      </c>
      <c r="C61" s="69"/>
      <c r="D61" s="70"/>
      <c r="E61" s="71"/>
      <c r="F61" s="74"/>
      <c r="G61" s="74"/>
      <c r="H61" s="72" t="s">
        <v>102</v>
      </c>
      <c r="I61" s="12"/>
      <c r="J61" s="22"/>
      <c r="L61" s="18"/>
      <c r="M61" s="19"/>
      <c r="N61" s="20"/>
    </row>
    <row r="62" spans="1:14" ht="15.75" hidden="1" customHeight="1">
      <c r="A62" s="26">
        <v>9</v>
      </c>
      <c r="B62" s="13" t="s">
        <v>44</v>
      </c>
      <c r="C62" s="15" t="s">
        <v>94</v>
      </c>
      <c r="D62" s="13" t="s">
        <v>61</v>
      </c>
      <c r="E62" s="17">
        <v>4</v>
      </c>
      <c r="F62" s="61">
        <f>E62</f>
        <v>4</v>
      </c>
      <c r="G62" s="12">
        <v>291.68</v>
      </c>
      <c r="H62" s="75">
        <f t="shared" ref="H62:H70" si="13">SUM(F62*G62/1000)</f>
        <v>1.16672</v>
      </c>
      <c r="I62" s="12">
        <f>G62*2</f>
        <v>583.36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45</v>
      </c>
      <c r="C63" s="15" t="s">
        <v>94</v>
      </c>
      <c r="D63" s="13" t="s">
        <v>61</v>
      </c>
      <c r="E63" s="17">
        <v>4</v>
      </c>
      <c r="F63" s="61">
        <f>E63</f>
        <v>4</v>
      </c>
      <c r="G63" s="12">
        <v>100.01</v>
      </c>
      <c r="H63" s="75">
        <f t="shared" si="13"/>
        <v>0.40004000000000001</v>
      </c>
      <c r="I63" s="12">
        <f t="shared" ref="I63:I68" si="14">G63*2</f>
        <v>200.02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46</v>
      </c>
      <c r="C64" s="15" t="s">
        <v>95</v>
      </c>
      <c r="D64" s="13" t="s">
        <v>51</v>
      </c>
      <c r="E64" s="60">
        <v>12702</v>
      </c>
      <c r="F64" s="12">
        <f>SUM(E64/100)</f>
        <v>127.02</v>
      </c>
      <c r="G64" s="12">
        <v>278.24</v>
      </c>
      <c r="H64" s="75">
        <f t="shared" si="13"/>
        <v>35.342044800000004</v>
      </c>
      <c r="I64" s="12">
        <f t="shared" si="14"/>
        <v>556.48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47</v>
      </c>
      <c r="C65" s="15" t="s">
        <v>96</v>
      </c>
      <c r="D65" s="13"/>
      <c r="E65" s="60">
        <v>12702</v>
      </c>
      <c r="F65" s="12">
        <f>SUM(E65/1000)</f>
        <v>12.702</v>
      </c>
      <c r="G65" s="12">
        <v>216.68</v>
      </c>
      <c r="H65" s="75">
        <f t="shared" si="13"/>
        <v>2.7522693600000001</v>
      </c>
      <c r="I65" s="12">
        <f t="shared" si="14"/>
        <v>433.36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48</v>
      </c>
      <c r="C66" s="15" t="s">
        <v>70</v>
      </c>
      <c r="D66" s="13" t="s">
        <v>51</v>
      </c>
      <c r="E66" s="60">
        <v>2200</v>
      </c>
      <c r="F66" s="12">
        <f>SUM(E66/100)</f>
        <v>22</v>
      </c>
      <c r="G66" s="12">
        <v>2720.94</v>
      </c>
      <c r="H66" s="75">
        <f t="shared" si="13"/>
        <v>59.860680000000002</v>
      </c>
      <c r="I66" s="12">
        <f t="shared" si="14"/>
        <v>5441.88</v>
      </c>
      <c r="J66" s="22"/>
      <c r="L66" s="18"/>
      <c r="M66" s="19"/>
      <c r="N66" s="20"/>
    </row>
    <row r="67" spans="1:14" ht="15.75" hidden="1" customHeight="1">
      <c r="A67" s="26">
        <v>27</v>
      </c>
      <c r="B67" s="76" t="s">
        <v>97</v>
      </c>
      <c r="C67" s="15" t="s">
        <v>30</v>
      </c>
      <c r="D67" s="13"/>
      <c r="E67" s="60">
        <v>9.6</v>
      </c>
      <c r="F67" s="12">
        <f>SUM(E67)</f>
        <v>9.6</v>
      </c>
      <c r="G67" s="12">
        <v>42.61</v>
      </c>
      <c r="H67" s="75">
        <f t="shared" si="13"/>
        <v>0.40905599999999998</v>
      </c>
      <c r="I67" s="12">
        <f t="shared" si="14"/>
        <v>85.22</v>
      </c>
      <c r="J67" s="22"/>
      <c r="L67" s="18"/>
      <c r="M67" s="19"/>
      <c r="N67" s="20"/>
    </row>
    <row r="68" spans="1:14" ht="15.75" hidden="1" customHeight="1">
      <c r="A68" s="26">
        <v>28</v>
      </c>
      <c r="B68" s="76" t="s">
        <v>98</v>
      </c>
      <c r="C68" s="15" t="s">
        <v>30</v>
      </c>
      <c r="D68" s="13"/>
      <c r="E68" s="60">
        <v>9.6</v>
      </c>
      <c r="F68" s="12">
        <f>SUM(E68)</f>
        <v>9.6</v>
      </c>
      <c r="G68" s="12">
        <v>46.04</v>
      </c>
      <c r="H68" s="75">
        <f t="shared" si="13"/>
        <v>0.44198399999999999</v>
      </c>
      <c r="I68" s="12">
        <f t="shared" si="14"/>
        <v>92.08</v>
      </c>
      <c r="J68" s="22"/>
      <c r="L68" s="18"/>
      <c r="M68" s="19"/>
      <c r="N68" s="20"/>
    </row>
    <row r="69" spans="1:14" ht="15.75" hidden="1" customHeight="1">
      <c r="A69" s="26">
        <v>22</v>
      </c>
      <c r="B69" s="13" t="s">
        <v>55</v>
      </c>
      <c r="C69" s="15" t="s">
        <v>56</v>
      </c>
      <c r="D69" s="13" t="s">
        <v>51</v>
      </c>
      <c r="E69" s="17">
        <v>4</v>
      </c>
      <c r="F69" s="12">
        <f>SUM(E69)</f>
        <v>4</v>
      </c>
      <c r="G69" s="12">
        <v>65.42</v>
      </c>
      <c r="H69" s="75">
        <f t="shared" si="13"/>
        <v>0.26168000000000002</v>
      </c>
      <c r="I69" s="12">
        <f>G69*4</f>
        <v>261.68</v>
      </c>
      <c r="J69" s="22"/>
      <c r="L69" s="18"/>
      <c r="M69" s="19"/>
      <c r="N69" s="20"/>
    </row>
    <row r="70" spans="1:14" ht="15.75" customHeight="1">
      <c r="A70" s="26">
        <v>14</v>
      </c>
      <c r="B70" s="13" t="s">
        <v>146</v>
      </c>
      <c r="C70" s="26" t="s">
        <v>147</v>
      </c>
      <c r="D70" s="13"/>
      <c r="E70" s="17">
        <v>3181</v>
      </c>
      <c r="F70" s="61">
        <f>SUM(E70)*12</f>
        <v>38172</v>
      </c>
      <c r="G70" s="12">
        <v>2.2799999999999998</v>
      </c>
      <c r="H70" s="75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5.75" customHeight="1">
      <c r="A71" s="26"/>
      <c r="B71" s="55" t="s">
        <v>65</v>
      </c>
      <c r="C71" s="15"/>
      <c r="D71" s="13"/>
      <c r="E71" s="17"/>
      <c r="F71" s="12"/>
      <c r="G71" s="12"/>
      <c r="H71" s="75" t="s">
        <v>102</v>
      </c>
      <c r="I71" s="12"/>
      <c r="J71" s="22"/>
      <c r="L71" s="18"/>
      <c r="M71" s="19"/>
      <c r="N71" s="20"/>
    </row>
    <row r="72" spans="1:14" ht="31.5" hidden="1" customHeight="1">
      <c r="A72" s="26">
        <v>18</v>
      </c>
      <c r="B72" s="13" t="s">
        <v>148</v>
      </c>
      <c r="C72" s="15" t="s">
        <v>28</v>
      </c>
      <c r="D72" s="13" t="s">
        <v>61</v>
      </c>
      <c r="E72" s="17">
        <v>1</v>
      </c>
      <c r="F72" s="61">
        <f t="shared" ref="F72" si="15">E72</f>
        <v>1</v>
      </c>
      <c r="G72" s="12">
        <v>1543.4</v>
      </c>
      <c r="H72" s="75">
        <f>G72*F72/1000</f>
        <v>1.5434000000000001</v>
      </c>
      <c r="I72" s="12">
        <v>0</v>
      </c>
      <c r="J72" s="22"/>
      <c r="L72" s="18"/>
      <c r="M72" s="19"/>
      <c r="N72" s="20"/>
    </row>
    <row r="73" spans="1:14" ht="15.75" hidden="1" customHeight="1">
      <c r="A73" s="26"/>
      <c r="B73" s="50" t="s">
        <v>149</v>
      </c>
      <c r="C73" s="54" t="s">
        <v>94</v>
      </c>
      <c r="D73" s="13" t="s">
        <v>61</v>
      </c>
      <c r="E73" s="17">
        <v>1</v>
      </c>
      <c r="F73" s="61">
        <f>E73</f>
        <v>1</v>
      </c>
      <c r="G73" s="12">
        <v>130.96</v>
      </c>
      <c r="H73" s="75">
        <f>G73*F73/1000</f>
        <v>0.13096000000000002</v>
      </c>
      <c r="I73" s="12">
        <v>0</v>
      </c>
      <c r="J73" s="22"/>
      <c r="L73" s="18"/>
      <c r="M73" s="19"/>
      <c r="N73" s="20"/>
    </row>
    <row r="74" spans="1:14" ht="15.75" hidden="1" customHeight="1">
      <c r="A74" s="26"/>
      <c r="B74" s="13" t="s">
        <v>66</v>
      </c>
      <c r="C74" s="15" t="s">
        <v>68</v>
      </c>
      <c r="D74" s="13" t="s">
        <v>61</v>
      </c>
      <c r="E74" s="17">
        <v>3</v>
      </c>
      <c r="F74" s="61">
        <f>E74/10</f>
        <v>0.3</v>
      </c>
      <c r="G74" s="12">
        <v>657.87</v>
      </c>
      <c r="H74" s="75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15.75" hidden="1" customHeight="1">
      <c r="A75" s="26"/>
      <c r="B75" s="13" t="s">
        <v>67</v>
      </c>
      <c r="C75" s="15" t="s">
        <v>28</v>
      </c>
      <c r="D75" s="13" t="s">
        <v>61</v>
      </c>
      <c r="E75" s="17">
        <v>1</v>
      </c>
      <c r="F75" s="61">
        <f>E75</f>
        <v>1</v>
      </c>
      <c r="G75" s="12">
        <v>1118.72</v>
      </c>
      <c r="H75" s="75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15.75" hidden="1" customHeight="1">
      <c r="A76" s="26"/>
      <c r="B76" s="50" t="s">
        <v>150</v>
      </c>
      <c r="C76" s="54" t="s">
        <v>94</v>
      </c>
      <c r="D76" s="13" t="s">
        <v>61</v>
      </c>
      <c r="E76" s="17">
        <v>1</v>
      </c>
      <c r="F76" s="61">
        <f>E76</f>
        <v>1</v>
      </c>
      <c r="G76" s="12">
        <v>1605.83</v>
      </c>
      <c r="H76" s="75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15.75" customHeight="1">
      <c r="A77" s="26">
        <v>15</v>
      </c>
      <c r="B77" s="50" t="s">
        <v>151</v>
      </c>
      <c r="C77" s="54" t="s">
        <v>94</v>
      </c>
      <c r="D77" s="13" t="s">
        <v>211</v>
      </c>
      <c r="E77" s="17">
        <v>2</v>
      </c>
      <c r="F77" s="61">
        <f>E77*12</f>
        <v>24</v>
      </c>
      <c r="G77" s="12">
        <v>53.42</v>
      </c>
      <c r="H77" s="75">
        <f t="shared" si="16"/>
        <v>1.2820799999999999</v>
      </c>
      <c r="I77" s="12">
        <f>G77*2</f>
        <v>106.84</v>
      </c>
      <c r="J77" s="22"/>
      <c r="L77" s="18"/>
      <c r="M77" s="19"/>
      <c r="N77" s="20"/>
    </row>
    <row r="78" spans="1:14" ht="15.75" hidden="1" customHeight="1">
      <c r="A78" s="26"/>
      <c r="B78" s="77" t="s">
        <v>69</v>
      </c>
      <c r="C78" s="15"/>
      <c r="D78" s="13"/>
      <c r="E78" s="17"/>
      <c r="F78" s="12"/>
      <c r="G78" s="12" t="s">
        <v>102</v>
      </c>
      <c r="H78" s="75" t="s">
        <v>102</v>
      </c>
      <c r="I78" s="12"/>
      <c r="J78" s="22"/>
      <c r="L78" s="18"/>
      <c r="M78" s="19"/>
      <c r="N78" s="20"/>
    </row>
    <row r="79" spans="1:14" ht="15.75" hidden="1" customHeight="1">
      <c r="A79" s="26"/>
      <c r="B79" s="45" t="s">
        <v>101</v>
      </c>
      <c r="C79" s="15" t="s">
        <v>70</v>
      </c>
      <c r="D79" s="13"/>
      <c r="E79" s="17"/>
      <c r="F79" s="12">
        <v>1</v>
      </c>
      <c r="G79" s="12">
        <v>3370.89</v>
      </c>
      <c r="H79" s="75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13.5" customHeight="1">
      <c r="A80" s="26"/>
      <c r="B80" s="55" t="s">
        <v>99</v>
      </c>
      <c r="C80" s="77"/>
      <c r="D80" s="27"/>
      <c r="E80" s="30"/>
      <c r="F80" s="66"/>
      <c r="G80" s="66"/>
      <c r="H80" s="78">
        <f>SUM(H57:H79)</f>
        <v>227.14633412000001</v>
      </c>
      <c r="I80" s="66"/>
      <c r="J80" s="22"/>
      <c r="L80" s="18"/>
      <c r="M80" s="19"/>
      <c r="N80" s="20"/>
    </row>
    <row r="81" spans="1:14" ht="17.25" customHeight="1">
      <c r="A81" s="105">
        <v>16</v>
      </c>
      <c r="B81" s="53" t="s">
        <v>100</v>
      </c>
      <c r="C81" s="110"/>
      <c r="D81" s="111"/>
      <c r="E81" s="111"/>
      <c r="F81" s="112">
        <v>1</v>
      </c>
      <c r="G81" s="112">
        <v>8783.7999999999993</v>
      </c>
      <c r="H81" s="113">
        <f>G81*F81/1000</f>
        <v>8.7837999999999994</v>
      </c>
      <c r="I81" s="80">
        <f>G81</f>
        <v>8783.7999999999993</v>
      </c>
      <c r="J81" s="22"/>
      <c r="L81" s="18"/>
      <c r="M81" s="19"/>
      <c r="N81" s="20"/>
    </row>
    <row r="82" spans="1:14" ht="18.75" hidden="1" customHeight="1">
      <c r="A82" s="49"/>
      <c r="B82" s="114" t="s">
        <v>152</v>
      </c>
      <c r="C82" s="15"/>
      <c r="D82" s="13"/>
      <c r="E82" s="13"/>
      <c r="F82" s="12">
        <v>69</v>
      </c>
      <c r="G82" s="12">
        <v>700</v>
      </c>
      <c r="H82" s="75">
        <f>G82*F82/1000</f>
        <v>48.3</v>
      </c>
      <c r="I82" s="115">
        <v>0</v>
      </c>
      <c r="J82" s="22"/>
      <c r="L82" s="18"/>
      <c r="M82" s="19"/>
      <c r="N82" s="20"/>
    </row>
    <row r="83" spans="1:14" ht="15.75" customHeight="1">
      <c r="A83" s="168" t="s">
        <v>123</v>
      </c>
      <c r="B83" s="176"/>
      <c r="C83" s="176"/>
      <c r="D83" s="176"/>
      <c r="E83" s="176"/>
      <c r="F83" s="176"/>
      <c r="G83" s="176"/>
      <c r="H83" s="176"/>
      <c r="I83" s="177"/>
      <c r="J83" s="22"/>
      <c r="L83" s="18"/>
      <c r="M83" s="19"/>
      <c r="N83" s="20"/>
    </row>
    <row r="84" spans="1:14" ht="15.75" customHeight="1">
      <c r="A84" s="100">
        <v>17</v>
      </c>
      <c r="B84" s="32" t="s">
        <v>116</v>
      </c>
      <c r="C84" s="37" t="s">
        <v>52</v>
      </c>
      <c r="D84" s="79"/>
      <c r="E84" s="34">
        <v>3181</v>
      </c>
      <c r="F84" s="34">
        <f>SUM(E84*12)</f>
        <v>38172</v>
      </c>
      <c r="G84" s="34">
        <v>3.1</v>
      </c>
      <c r="H84" s="106">
        <f>SUM(F84*G84/1000)</f>
        <v>118.33319999999999</v>
      </c>
      <c r="I84" s="101">
        <f>F84/12*G84</f>
        <v>9861.1</v>
      </c>
      <c r="J84" s="22"/>
      <c r="L84" s="18"/>
      <c r="M84" s="19"/>
      <c r="N84" s="20"/>
    </row>
    <row r="85" spans="1:14" ht="31.5" customHeight="1">
      <c r="A85" s="26">
        <v>18</v>
      </c>
      <c r="B85" s="13" t="s">
        <v>71</v>
      </c>
      <c r="C85" s="15"/>
      <c r="D85" s="79"/>
      <c r="E85" s="60">
        <v>3181</v>
      </c>
      <c r="F85" s="12">
        <f>E85*12</f>
        <v>38172</v>
      </c>
      <c r="G85" s="12">
        <v>3.5</v>
      </c>
      <c r="H85" s="75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49"/>
      <c r="B86" s="38" t="s">
        <v>74</v>
      </c>
      <c r="C86" s="15"/>
      <c r="D86" s="45"/>
      <c r="E86" s="12"/>
      <c r="F86" s="12"/>
      <c r="G86" s="12"/>
      <c r="H86" s="75">
        <f>H85</f>
        <v>133.602</v>
      </c>
      <c r="I86" s="66">
        <f>I85+I84+I77+I70+I58+I57+I49+I43+I42+I41+I40+I38+I37+I26+I18+I17+I16+I81</f>
        <v>67921.694623333344</v>
      </c>
      <c r="J86" s="22"/>
      <c r="L86" s="18"/>
      <c r="M86" s="19"/>
      <c r="N86" s="20"/>
    </row>
    <row r="87" spans="1:14" ht="15.75" customHeight="1">
      <c r="A87" s="178" t="s">
        <v>57</v>
      </c>
      <c r="B87" s="179"/>
      <c r="C87" s="179"/>
      <c r="D87" s="179"/>
      <c r="E87" s="179"/>
      <c r="F87" s="179"/>
      <c r="G87" s="179"/>
      <c r="H87" s="179"/>
      <c r="I87" s="180"/>
      <c r="J87" s="22"/>
      <c r="L87" s="18"/>
      <c r="M87" s="19"/>
      <c r="N87" s="20"/>
    </row>
    <row r="88" spans="1:14" ht="15.75" customHeight="1">
      <c r="A88" s="26">
        <v>19</v>
      </c>
      <c r="B88" s="70" t="s">
        <v>156</v>
      </c>
      <c r="C88" s="69" t="s">
        <v>157</v>
      </c>
      <c r="D88" s="70"/>
      <c r="E88" s="71"/>
      <c r="F88" s="74">
        <v>96</v>
      </c>
      <c r="G88" s="56">
        <v>1.4</v>
      </c>
      <c r="H88" s="72">
        <f>F88*G88/1000</f>
        <v>0.13439999999999996</v>
      </c>
      <c r="I88" s="12">
        <f>G88*48</f>
        <v>67.199999999999989</v>
      </c>
      <c r="J88" s="22"/>
      <c r="L88" s="18"/>
      <c r="M88" s="19"/>
      <c r="N88" s="20"/>
    </row>
    <row r="89" spans="1:14" ht="31.5" customHeight="1">
      <c r="A89" s="26">
        <v>20</v>
      </c>
      <c r="B89" s="122" t="s">
        <v>119</v>
      </c>
      <c r="C89" s="123" t="s">
        <v>35</v>
      </c>
      <c r="D89" s="13"/>
      <c r="E89" s="17"/>
      <c r="F89" s="12">
        <v>1</v>
      </c>
      <c r="G89" s="34">
        <v>3914.31</v>
      </c>
      <c r="H89" s="75">
        <f t="shared" ref="H89" si="18">G89*F89/1000</f>
        <v>3.91431</v>
      </c>
      <c r="I89" s="12">
        <f>G89*0.01</f>
        <v>39.143099999999997</v>
      </c>
      <c r="J89" s="22"/>
      <c r="L89" s="18"/>
      <c r="M89" s="19"/>
      <c r="N89" s="20"/>
    </row>
    <row r="90" spans="1:14" ht="15" customHeight="1">
      <c r="A90" s="26">
        <v>21</v>
      </c>
      <c r="B90" s="122" t="s">
        <v>166</v>
      </c>
      <c r="C90" s="123" t="s">
        <v>94</v>
      </c>
      <c r="D90" s="13"/>
      <c r="E90" s="17"/>
      <c r="F90" s="12"/>
      <c r="G90" s="34">
        <v>1387.88</v>
      </c>
      <c r="H90" s="75"/>
      <c r="I90" s="12">
        <f>G90*1</f>
        <v>1387.88</v>
      </c>
      <c r="J90" s="22"/>
      <c r="L90" s="18"/>
      <c r="M90" s="19"/>
      <c r="N90" s="20"/>
    </row>
    <row r="91" spans="1:14" ht="15.75" customHeight="1">
      <c r="A91" s="26">
        <v>22</v>
      </c>
      <c r="B91" s="122" t="s">
        <v>163</v>
      </c>
      <c r="C91" s="123" t="s">
        <v>94</v>
      </c>
      <c r="D91" s="13"/>
      <c r="E91" s="17"/>
      <c r="F91" s="12"/>
      <c r="G91" s="34">
        <v>87.32</v>
      </c>
      <c r="H91" s="75"/>
      <c r="I91" s="12">
        <f>G91*1</f>
        <v>87.32</v>
      </c>
      <c r="J91" s="22"/>
      <c r="L91" s="18"/>
      <c r="M91" s="19"/>
      <c r="N91" s="20"/>
    </row>
    <row r="92" spans="1:14" ht="30.75" customHeight="1">
      <c r="A92" s="26">
        <v>23</v>
      </c>
      <c r="B92" s="122" t="s">
        <v>167</v>
      </c>
      <c r="C92" s="123" t="s">
        <v>93</v>
      </c>
      <c r="D92" s="13"/>
      <c r="E92" s="17"/>
      <c r="F92" s="12"/>
      <c r="G92" s="136">
        <v>19757.060000000001</v>
      </c>
      <c r="H92" s="75"/>
      <c r="I92" s="12">
        <f>G92*0.599*10/1000</f>
        <v>118.34478940000001</v>
      </c>
      <c r="J92" s="22"/>
      <c r="L92" s="18"/>
      <c r="M92" s="19"/>
      <c r="N92" s="20"/>
    </row>
    <row r="93" spans="1:14" ht="31.5" customHeight="1">
      <c r="A93" s="26">
        <v>24</v>
      </c>
      <c r="B93" s="122" t="s">
        <v>168</v>
      </c>
      <c r="C93" s="123" t="s">
        <v>94</v>
      </c>
      <c r="D93" s="13"/>
      <c r="E93" s="17"/>
      <c r="F93" s="12"/>
      <c r="G93" s="34">
        <v>26095.37</v>
      </c>
      <c r="H93" s="75"/>
      <c r="I93" s="12">
        <f>G93*0.02</f>
        <v>521.90739999999994</v>
      </c>
      <c r="J93" s="22"/>
      <c r="L93" s="18"/>
      <c r="M93" s="19"/>
      <c r="N93" s="20"/>
    </row>
    <row r="94" spans="1:14" ht="15.75" customHeight="1">
      <c r="A94" s="26">
        <v>25</v>
      </c>
      <c r="B94" s="122" t="s">
        <v>169</v>
      </c>
      <c r="C94" s="149" t="s">
        <v>94</v>
      </c>
      <c r="D94" s="13"/>
      <c r="E94" s="17"/>
      <c r="F94" s="12"/>
      <c r="G94" s="34">
        <v>30</v>
      </c>
      <c r="H94" s="75"/>
      <c r="I94" s="12">
        <f>G94</f>
        <v>30</v>
      </c>
      <c r="J94" s="22"/>
      <c r="L94" s="18"/>
      <c r="M94" s="19"/>
      <c r="N94" s="20"/>
    </row>
    <row r="95" spans="1:14" ht="30.75" customHeight="1">
      <c r="A95" s="26">
        <v>26</v>
      </c>
      <c r="B95" s="122" t="s">
        <v>73</v>
      </c>
      <c r="C95" s="123" t="s">
        <v>94</v>
      </c>
      <c r="D95" s="13"/>
      <c r="E95" s="17"/>
      <c r="F95" s="12"/>
      <c r="G95" s="34">
        <v>91.11</v>
      </c>
      <c r="H95" s="75"/>
      <c r="I95" s="12">
        <f>G95*1</f>
        <v>91.11</v>
      </c>
      <c r="J95" s="22"/>
      <c r="L95" s="18"/>
      <c r="M95" s="19"/>
      <c r="N95" s="20"/>
    </row>
    <row r="96" spans="1:14" ht="15.75" customHeight="1">
      <c r="A96" s="26"/>
      <c r="B96" s="27" t="s">
        <v>49</v>
      </c>
      <c r="C96" s="40"/>
      <c r="D96" s="46"/>
      <c r="E96" s="40">
        <v>1</v>
      </c>
      <c r="F96" s="40"/>
      <c r="G96" s="40"/>
      <c r="H96" s="40"/>
      <c r="I96" s="30">
        <f>SUM(I88:I95)</f>
        <v>2342.9052894000001</v>
      </c>
      <c r="J96" s="22"/>
      <c r="L96" s="18"/>
      <c r="M96" s="19"/>
      <c r="N96" s="20"/>
    </row>
    <row r="97" spans="1:22" ht="15.75" customHeight="1">
      <c r="A97" s="26"/>
      <c r="B97" s="45" t="s">
        <v>72</v>
      </c>
      <c r="C97" s="14"/>
      <c r="D97" s="14"/>
      <c r="E97" s="41"/>
      <c r="F97" s="41"/>
      <c r="G97" s="42"/>
      <c r="H97" s="42"/>
      <c r="I97" s="16">
        <v>0</v>
      </c>
      <c r="J97" s="22"/>
      <c r="L97" s="18"/>
      <c r="M97" s="19"/>
      <c r="N97" s="20"/>
    </row>
    <row r="98" spans="1:22" ht="15.75" customHeight="1">
      <c r="A98" s="47"/>
      <c r="B98" s="44" t="s">
        <v>142</v>
      </c>
      <c r="C98" s="33"/>
      <c r="D98" s="33"/>
      <c r="E98" s="33"/>
      <c r="F98" s="33"/>
      <c r="G98" s="33"/>
      <c r="H98" s="33"/>
      <c r="I98" s="43">
        <f>I86+I96</f>
        <v>70264.599912733349</v>
      </c>
      <c r="J98" s="22"/>
      <c r="L98" s="18"/>
      <c r="M98" s="19"/>
      <c r="N98" s="20"/>
    </row>
    <row r="99" spans="1:22" ht="15.75" customHeight="1">
      <c r="A99" s="167" t="s">
        <v>213</v>
      </c>
      <c r="B99" s="167"/>
      <c r="C99" s="167"/>
      <c r="D99" s="167"/>
      <c r="E99" s="167"/>
      <c r="F99" s="167"/>
      <c r="G99" s="167"/>
      <c r="H99" s="167"/>
      <c r="I99" s="167"/>
      <c r="J99" s="22"/>
      <c r="L99" s="18"/>
      <c r="M99" s="19"/>
      <c r="N99" s="20"/>
    </row>
    <row r="100" spans="1:22" ht="15.75" customHeight="1">
      <c r="A100" s="8"/>
      <c r="B100" s="181" t="s">
        <v>214</v>
      </c>
      <c r="C100" s="181"/>
      <c r="D100" s="181"/>
      <c r="E100" s="181"/>
      <c r="F100" s="181"/>
      <c r="G100" s="181"/>
      <c r="H100" s="116"/>
      <c r="I100" s="3"/>
      <c r="J100" s="22"/>
      <c r="L100" s="18"/>
      <c r="M100" s="19"/>
      <c r="N100" s="20"/>
    </row>
    <row r="101" spans="1:22" ht="15.75" customHeight="1">
      <c r="A101" s="118"/>
      <c r="B101" s="182" t="s">
        <v>5</v>
      </c>
      <c r="C101" s="182"/>
      <c r="D101" s="182"/>
      <c r="E101" s="182"/>
      <c r="F101" s="182"/>
      <c r="G101" s="182"/>
      <c r="H101" s="23"/>
      <c r="I101" s="5"/>
      <c r="J101" s="22"/>
      <c r="K101" s="22"/>
      <c r="L101" s="22"/>
      <c r="M101" s="19"/>
      <c r="N101" s="20"/>
    </row>
    <row r="102" spans="1:2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22"/>
      <c r="K102" s="22"/>
      <c r="L102" s="22"/>
      <c r="M102" s="19"/>
      <c r="N102" s="20"/>
    </row>
    <row r="103" spans="1:22" ht="15.75" customHeight="1">
      <c r="A103" s="183" t="s">
        <v>6</v>
      </c>
      <c r="B103" s="183"/>
      <c r="C103" s="183"/>
      <c r="D103" s="183"/>
      <c r="E103" s="183"/>
      <c r="F103" s="183"/>
      <c r="G103" s="183"/>
      <c r="H103" s="183"/>
      <c r="I103" s="183"/>
      <c r="J103" s="22"/>
      <c r="K103" s="22"/>
      <c r="L103" s="22"/>
    </row>
    <row r="104" spans="1:22" ht="15.75" customHeight="1">
      <c r="A104" s="183" t="s">
        <v>7</v>
      </c>
      <c r="B104" s="183"/>
      <c r="C104" s="183"/>
      <c r="D104" s="183"/>
      <c r="E104" s="183"/>
      <c r="F104" s="183"/>
      <c r="G104" s="183"/>
      <c r="H104" s="183"/>
      <c r="I104" s="183"/>
      <c r="J104" s="22"/>
      <c r="K104" s="22"/>
      <c r="L104" s="22"/>
    </row>
    <row r="105" spans="1:22" ht="15.75" customHeight="1">
      <c r="A105" s="167" t="s">
        <v>8</v>
      </c>
      <c r="B105" s="167"/>
      <c r="C105" s="167"/>
      <c r="D105" s="167"/>
      <c r="E105" s="167"/>
      <c r="F105" s="167"/>
      <c r="G105" s="167"/>
      <c r="H105" s="167"/>
      <c r="I105" s="167"/>
    </row>
    <row r="106" spans="1:22" ht="15.75" customHeight="1">
      <c r="A106" s="10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7"/>
    </row>
    <row r="107" spans="1:22" ht="15.75" customHeight="1">
      <c r="A107" s="185" t="s">
        <v>9</v>
      </c>
      <c r="B107" s="185"/>
      <c r="C107" s="185"/>
      <c r="D107" s="185"/>
      <c r="E107" s="185"/>
      <c r="F107" s="185"/>
      <c r="G107" s="185"/>
      <c r="H107" s="185"/>
      <c r="I107" s="185"/>
      <c r="J107" s="24"/>
      <c r="K107" s="24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2" ht="15.75" customHeight="1">
      <c r="A108" s="4"/>
      <c r="J108" s="3"/>
      <c r="K108" s="3"/>
      <c r="L108" s="3"/>
      <c r="M108" s="3"/>
      <c r="N108" s="3"/>
      <c r="O108" s="3"/>
      <c r="P108" s="3"/>
      <c r="Q108" s="3"/>
      <c r="S108" s="3"/>
      <c r="T108" s="3"/>
      <c r="U108" s="3"/>
    </row>
    <row r="109" spans="1:22" ht="15.75" customHeight="1">
      <c r="A109" s="167" t="s">
        <v>10</v>
      </c>
      <c r="B109" s="167"/>
      <c r="C109" s="186" t="s">
        <v>79</v>
      </c>
      <c r="D109" s="186"/>
      <c r="E109" s="186"/>
      <c r="F109" s="57"/>
      <c r="I109" s="121"/>
      <c r="J109" s="5"/>
      <c r="K109" s="5"/>
      <c r="L109" s="5"/>
      <c r="M109" s="5"/>
      <c r="N109" s="5"/>
      <c r="O109" s="5"/>
      <c r="P109" s="5"/>
      <c r="Q109" s="5"/>
      <c r="R109" s="187"/>
      <c r="S109" s="187"/>
      <c r="T109" s="187"/>
      <c r="U109" s="187"/>
    </row>
    <row r="110" spans="1:22" ht="15.75" customHeight="1">
      <c r="A110" s="118"/>
      <c r="C110" s="182" t="s">
        <v>11</v>
      </c>
      <c r="D110" s="182"/>
      <c r="E110" s="182"/>
      <c r="F110" s="23"/>
      <c r="I110" s="119" t="s">
        <v>12</v>
      </c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2" ht="15.75" customHeight="1">
      <c r="A111" s="24"/>
      <c r="C111" s="11"/>
      <c r="D111" s="11"/>
      <c r="G111" s="11"/>
      <c r="H111" s="11"/>
    </row>
    <row r="112" spans="1:22" ht="15.75" customHeight="1">
      <c r="A112" s="167" t="s">
        <v>13</v>
      </c>
      <c r="B112" s="167"/>
      <c r="C112" s="188"/>
      <c r="D112" s="188"/>
      <c r="E112" s="188"/>
      <c r="F112" s="58"/>
      <c r="I112" s="121"/>
    </row>
    <row r="113" spans="1:9" ht="15.75" customHeight="1">
      <c r="A113" s="118"/>
      <c r="C113" s="187" t="s">
        <v>11</v>
      </c>
      <c r="D113" s="187"/>
      <c r="E113" s="187"/>
      <c r="F113" s="118"/>
      <c r="I113" s="119" t="s">
        <v>12</v>
      </c>
    </row>
    <row r="114" spans="1:9" ht="15.75" customHeight="1">
      <c r="A114" s="4" t="s">
        <v>14</v>
      </c>
    </row>
    <row r="115" spans="1:9" ht="15" customHeight="1">
      <c r="A115" s="189" t="s">
        <v>15</v>
      </c>
      <c r="B115" s="189"/>
      <c r="C115" s="189"/>
      <c r="D115" s="189"/>
      <c r="E115" s="189"/>
      <c r="F115" s="189"/>
      <c r="G115" s="189"/>
      <c r="H115" s="189"/>
      <c r="I115" s="189"/>
    </row>
    <row r="116" spans="1:9" ht="45" customHeight="1">
      <c r="A116" s="184" t="s">
        <v>16</v>
      </c>
      <c r="B116" s="184"/>
      <c r="C116" s="184"/>
      <c r="D116" s="184"/>
      <c r="E116" s="184"/>
      <c r="F116" s="184"/>
      <c r="G116" s="184"/>
      <c r="H116" s="184"/>
      <c r="I116" s="184"/>
    </row>
    <row r="117" spans="1:9" ht="30" customHeight="1">
      <c r="A117" s="184" t="s">
        <v>17</v>
      </c>
      <c r="B117" s="184"/>
      <c r="C117" s="184"/>
      <c r="D117" s="184"/>
      <c r="E117" s="184"/>
      <c r="F117" s="184"/>
      <c r="G117" s="184"/>
      <c r="H117" s="184"/>
      <c r="I117" s="184"/>
    </row>
    <row r="118" spans="1:9" ht="30" customHeight="1">
      <c r="A118" s="184" t="s">
        <v>21</v>
      </c>
      <c r="B118" s="184"/>
      <c r="C118" s="184"/>
      <c r="D118" s="184"/>
      <c r="E118" s="184"/>
      <c r="F118" s="184"/>
      <c r="G118" s="184"/>
      <c r="H118" s="184"/>
      <c r="I118" s="184"/>
    </row>
    <row r="119" spans="1:9" ht="15" customHeight="1">
      <c r="A119" s="184" t="s">
        <v>20</v>
      </c>
      <c r="B119" s="184"/>
      <c r="C119" s="184"/>
      <c r="D119" s="184"/>
      <c r="E119" s="184"/>
      <c r="F119" s="184"/>
      <c r="G119" s="184"/>
      <c r="H119" s="184"/>
      <c r="I119" s="184"/>
    </row>
  </sheetData>
  <autoFilter ref="I12:I105"/>
  <mergeCells count="31">
    <mergeCell ref="A119:I119"/>
    <mergeCell ref="A107:I107"/>
    <mergeCell ref="A109:B109"/>
    <mergeCell ref="C109:E109"/>
    <mergeCell ref="R109:U109"/>
    <mergeCell ref="C110:E110"/>
    <mergeCell ref="A112:B112"/>
    <mergeCell ref="C112:E112"/>
    <mergeCell ref="C113:E113"/>
    <mergeCell ref="A115:I115"/>
    <mergeCell ref="A116:I116"/>
    <mergeCell ref="A117:I117"/>
    <mergeCell ref="A118:I118"/>
    <mergeCell ref="A105:I105"/>
    <mergeCell ref="A15:I15"/>
    <mergeCell ref="A28:I28"/>
    <mergeCell ref="A44:I44"/>
    <mergeCell ref="A55:I55"/>
    <mergeCell ref="A83:I83"/>
    <mergeCell ref="A87:I87"/>
    <mergeCell ref="A99:I99"/>
    <mergeCell ref="B100:G100"/>
    <mergeCell ref="B101:G101"/>
    <mergeCell ref="A103:I103"/>
    <mergeCell ref="A104:I104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B16" sqref="B16:I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5" t="s">
        <v>161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62" t="s">
        <v>131</v>
      </c>
      <c r="B3" s="162"/>
      <c r="C3" s="162"/>
      <c r="D3" s="162"/>
      <c r="E3" s="162"/>
      <c r="F3" s="162"/>
      <c r="G3" s="162"/>
      <c r="H3" s="162"/>
      <c r="I3" s="162"/>
      <c r="J3" s="2"/>
      <c r="K3" s="2"/>
      <c r="L3" s="2"/>
      <c r="M3" s="2"/>
    </row>
    <row r="4" spans="1:15" s="25" customFormat="1" ht="31.5" customHeight="1">
      <c r="A4" s="163" t="s">
        <v>82</v>
      </c>
      <c r="B4" s="163"/>
      <c r="C4" s="163"/>
      <c r="D4" s="163"/>
      <c r="E4" s="163"/>
      <c r="F4" s="163"/>
      <c r="G4" s="163"/>
      <c r="H4" s="163"/>
      <c r="I4" s="163"/>
      <c r="J4" s="3"/>
      <c r="K4" s="3"/>
      <c r="L4" s="3"/>
    </row>
    <row r="5" spans="1:15" s="25" customFormat="1" ht="15.75" customHeight="1">
      <c r="A5" s="162" t="s">
        <v>246</v>
      </c>
      <c r="B5" s="164"/>
      <c r="C5" s="164"/>
      <c r="D5" s="164"/>
      <c r="E5" s="164"/>
      <c r="F5" s="164"/>
      <c r="G5" s="164"/>
      <c r="H5" s="164"/>
      <c r="I5" s="164"/>
    </row>
    <row r="6" spans="1:15" s="25" customFormat="1" ht="15.75">
      <c r="A6" s="2"/>
      <c r="B6" s="84"/>
      <c r="C6" s="84"/>
      <c r="D6" s="84"/>
      <c r="E6" s="84"/>
      <c r="F6" s="84"/>
      <c r="G6" s="84"/>
      <c r="H6" s="84"/>
      <c r="I6" s="29">
        <v>43769</v>
      </c>
      <c r="J6" s="2"/>
      <c r="K6" s="2"/>
      <c r="L6" s="2"/>
      <c r="M6" s="2"/>
    </row>
    <row r="7" spans="1:15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65" t="s">
        <v>162</v>
      </c>
      <c r="B8" s="165"/>
      <c r="C8" s="165"/>
      <c r="D8" s="165"/>
      <c r="E8" s="165"/>
      <c r="F8" s="165"/>
      <c r="G8" s="165"/>
      <c r="H8" s="165"/>
      <c r="I8" s="16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66" t="s">
        <v>155</v>
      </c>
      <c r="B10" s="166"/>
      <c r="C10" s="166"/>
      <c r="D10" s="166"/>
      <c r="E10" s="166"/>
      <c r="F10" s="166"/>
      <c r="G10" s="166"/>
      <c r="H10" s="166"/>
      <c r="I10" s="166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132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59" t="s">
        <v>133</v>
      </c>
      <c r="B14" s="160"/>
      <c r="C14" s="160"/>
      <c r="D14" s="160"/>
      <c r="E14" s="160"/>
      <c r="F14" s="160"/>
      <c r="G14" s="160"/>
      <c r="H14" s="160"/>
      <c r="I14" s="160"/>
      <c r="J14" s="99"/>
      <c r="K14" s="99"/>
      <c r="L14" s="6"/>
      <c r="M14" s="6"/>
      <c r="N14" s="6"/>
      <c r="O14" s="6"/>
    </row>
    <row r="15" spans="1:15" ht="15.75" customHeight="1">
      <c r="A15" s="168" t="s">
        <v>3</v>
      </c>
      <c r="B15" s="169"/>
      <c r="C15" s="169"/>
      <c r="D15" s="169"/>
      <c r="E15" s="169"/>
      <c r="F15" s="169"/>
      <c r="G15" s="169"/>
      <c r="H15" s="169"/>
      <c r="I15" s="170"/>
      <c r="J15" s="6"/>
      <c r="K15" s="6"/>
      <c r="L15" s="6"/>
      <c r="M15" s="6"/>
    </row>
    <row r="16" spans="1:15" ht="15.75" customHeight="1">
      <c r="A16" s="26">
        <v>1</v>
      </c>
      <c r="B16" s="51" t="s">
        <v>77</v>
      </c>
      <c r="C16" s="59" t="s">
        <v>83</v>
      </c>
      <c r="D16" s="51" t="s">
        <v>203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6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80</v>
      </c>
      <c r="C17" s="59" t="s">
        <v>83</v>
      </c>
      <c r="D17" s="51" t="s">
        <v>204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81</v>
      </c>
      <c r="C18" s="59" t="s">
        <v>83</v>
      </c>
      <c r="D18" s="51" t="s">
        <v>205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84</v>
      </c>
      <c r="C19" s="59" t="s">
        <v>85</v>
      </c>
      <c r="D19" s="51" t="s">
        <v>86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1" t="s">
        <v>87</v>
      </c>
      <c r="C20" s="59" t="s">
        <v>83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1" t="s">
        <v>88</v>
      </c>
      <c r="C21" s="59" t="s">
        <v>83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89</v>
      </c>
      <c r="C22" s="59" t="s">
        <v>50</v>
      </c>
      <c r="D22" s="51" t="s">
        <v>86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90</v>
      </c>
      <c r="C23" s="59" t="s">
        <v>50</v>
      </c>
      <c r="D23" s="51" t="s">
        <v>86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91</v>
      </c>
      <c r="C24" s="59" t="s">
        <v>50</v>
      </c>
      <c r="D24" s="52" t="s">
        <v>86</v>
      </c>
      <c r="E24" s="17">
        <v>15</v>
      </c>
      <c r="F24" s="64">
        <f t="shared" si="2"/>
        <v>0.15</v>
      </c>
      <c r="G24" s="61">
        <v>511.12</v>
      </c>
      <c r="H24" s="62">
        <f t="shared" si="0"/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92</v>
      </c>
      <c r="C25" s="59" t="s">
        <v>50</v>
      </c>
      <c r="D25" s="51" t="s">
        <v>86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202</v>
      </c>
      <c r="C26" s="39" t="s">
        <v>157</v>
      </c>
      <c r="D26" s="32" t="s">
        <v>206</v>
      </c>
      <c r="E26" s="157">
        <v>4.5999999999999996</v>
      </c>
      <c r="F26" s="31">
        <f>E26*258</f>
        <v>1186.8</v>
      </c>
      <c r="G26" s="31">
        <v>10.39</v>
      </c>
      <c r="H26" s="62">
        <f t="shared" si="0"/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68" t="s">
        <v>134</v>
      </c>
      <c r="B27" s="169"/>
      <c r="C27" s="169"/>
      <c r="D27" s="169"/>
      <c r="E27" s="169"/>
      <c r="F27" s="169"/>
      <c r="G27" s="169"/>
      <c r="H27" s="169"/>
      <c r="I27" s="170"/>
      <c r="J27" s="21"/>
      <c r="K27" s="6"/>
      <c r="L27" s="6"/>
      <c r="M27" s="6"/>
    </row>
    <row r="28" spans="1:13" ht="15.75" customHeight="1">
      <c r="A28" s="102"/>
      <c r="B28" s="55" t="s">
        <v>135</v>
      </c>
      <c r="C28" s="103"/>
      <c r="D28" s="103"/>
      <c r="E28" s="103"/>
      <c r="F28" s="103"/>
      <c r="G28" s="103"/>
      <c r="H28" s="103"/>
      <c r="I28" s="103"/>
      <c r="J28" s="21"/>
      <c r="K28" s="6"/>
      <c r="L28" s="6"/>
      <c r="M28" s="6"/>
    </row>
    <row r="29" spans="1:13" ht="15.75" customHeight="1">
      <c r="A29" s="100">
        <v>5</v>
      </c>
      <c r="B29" s="51" t="s">
        <v>136</v>
      </c>
      <c r="C29" s="59" t="s">
        <v>93</v>
      </c>
      <c r="D29" s="51" t="s">
        <v>204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0" si="4">SUM(F29*G29/1000)</f>
        <v>2.2346109759999999</v>
      </c>
      <c r="I29" s="12">
        <f>F29/6*G29</f>
        <v>372.43516266666666</v>
      </c>
      <c r="J29" s="21"/>
      <c r="K29" s="6"/>
      <c r="L29" s="6"/>
      <c r="M29" s="6"/>
    </row>
    <row r="30" spans="1:13" ht="31.5" customHeight="1">
      <c r="A30" s="26">
        <v>6</v>
      </c>
      <c r="B30" s="51" t="s">
        <v>137</v>
      </c>
      <c r="C30" s="59" t="s">
        <v>93</v>
      </c>
      <c r="D30" s="51" t="s">
        <v>203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4"/>
        <v>2.4341709599999999</v>
      </c>
      <c r="I30" s="12">
        <f t="shared" ref="I30" si="5">F30/6*G30</f>
        <v>405.69515999999999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93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ref="H31:H33" si="6">SUM(F31*G31/1000)</f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/>
      <c r="B32" s="51" t="s">
        <v>60</v>
      </c>
      <c r="C32" s="59" t="s">
        <v>30</v>
      </c>
      <c r="D32" s="51" t="s">
        <v>61</v>
      </c>
      <c r="E32" s="60"/>
      <c r="F32" s="61">
        <v>1</v>
      </c>
      <c r="G32" s="61">
        <v>250.92</v>
      </c>
      <c r="H32" s="62">
        <f t="shared" si="6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5"/>
      <c r="B33" s="51" t="s">
        <v>104</v>
      </c>
      <c r="C33" s="59" t="s">
        <v>29</v>
      </c>
      <c r="D33" s="51" t="s">
        <v>61</v>
      </c>
      <c r="E33" s="60"/>
      <c r="F33" s="61">
        <v>1</v>
      </c>
      <c r="G33" s="61">
        <v>1490.31</v>
      </c>
      <c r="H33" s="62">
        <f t="shared" si="6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102"/>
      <c r="B34" s="55" t="s">
        <v>4</v>
      </c>
      <c r="C34" s="104"/>
      <c r="D34" s="104"/>
      <c r="E34" s="104"/>
      <c r="F34" s="104"/>
      <c r="G34" s="104"/>
      <c r="H34" s="104"/>
      <c r="I34" s="104"/>
      <c r="J34" s="21"/>
      <c r="K34" s="6"/>
      <c r="L34" s="6"/>
      <c r="M34" s="6"/>
    </row>
    <row r="35" spans="1:14" ht="15.75" hidden="1" customHeight="1">
      <c r="A35" s="100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7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143</v>
      </c>
      <c r="C36" s="59" t="s">
        <v>27</v>
      </c>
      <c r="D36" s="51" t="s">
        <v>105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106</v>
      </c>
      <c r="C37" s="59" t="s">
        <v>107</v>
      </c>
      <c r="D37" s="51" t="s">
        <v>61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8">F37/6*G37</f>
        <v>2072.1133333333332</v>
      </c>
      <c r="J37" s="21"/>
      <c r="K37" s="6"/>
    </row>
    <row r="38" spans="1:14" ht="15.75" hidden="1" customHeight="1">
      <c r="A38" s="26"/>
      <c r="B38" s="51" t="s">
        <v>62</v>
      </c>
      <c r="C38" s="59" t="s">
        <v>27</v>
      </c>
      <c r="D38" s="51" t="s">
        <v>108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7"/>
        <v>6.5598852000000001</v>
      </c>
      <c r="I38" s="12">
        <f t="shared" si="8"/>
        <v>1093.3141999999998</v>
      </c>
      <c r="J38" s="22"/>
    </row>
    <row r="39" spans="1:14" ht="48" hidden="1" customHeight="1">
      <c r="A39" s="26">
        <v>9</v>
      </c>
      <c r="B39" s="51" t="s">
        <v>76</v>
      </c>
      <c r="C39" s="59" t="s">
        <v>93</v>
      </c>
      <c r="D39" s="51" t="s">
        <v>144</v>
      </c>
      <c r="E39" s="61">
        <v>92</v>
      </c>
      <c r="F39" s="61">
        <f>SUM(E39*35/1000)</f>
        <v>3.22</v>
      </c>
      <c r="G39" s="61">
        <v>7611.16</v>
      </c>
      <c r="H39" s="62">
        <f t="shared" si="7"/>
        <v>24.507935199999999</v>
      </c>
      <c r="I39" s="12">
        <f t="shared" si="8"/>
        <v>4084.655866666667</v>
      </c>
      <c r="J39" s="22"/>
    </row>
    <row r="40" spans="1:14" ht="15.75" hidden="1" customHeight="1">
      <c r="A40" s="26">
        <v>10</v>
      </c>
      <c r="B40" s="51" t="s">
        <v>109</v>
      </c>
      <c r="C40" s="59" t="s">
        <v>93</v>
      </c>
      <c r="D40" s="51" t="s">
        <v>145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7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63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7"/>
        <v>0.79437600000000008</v>
      </c>
      <c r="I41" s="12">
        <f>F41/6*G41</f>
        <v>132.39600000000002</v>
      </c>
      <c r="J41" s="22"/>
    </row>
    <row r="42" spans="1:14" ht="17.25" hidden="1" customHeight="1">
      <c r="A42" s="171" t="s">
        <v>121</v>
      </c>
      <c r="B42" s="172"/>
      <c r="C42" s="172"/>
      <c r="D42" s="172"/>
      <c r="E42" s="172"/>
      <c r="F42" s="172"/>
      <c r="G42" s="172"/>
      <c r="H42" s="172"/>
      <c r="I42" s="173"/>
      <c r="J42" s="22"/>
      <c r="L42" s="18"/>
      <c r="M42" s="19"/>
      <c r="N42" s="20"/>
    </row>
    <row r="43" spans="1:14" ht="21" hidden="1" customHeight="1">
      <c r="A43" s="26">
        <v>11</v>
      </c>
      <c r="B43" s="32" t="s">
        <v>110</v>
      </c>
      <c r="C43" s="39" t="s">
        <v>93</v>
      </c>
      <c r="D43" s="32" t="s">
        <v>39</v>
      </c>
      <c r="E43" s="107">
        <v>1114.25</v>
      </c>
      <c r="F43" s="31">
        <f>SUM(E43*2/1000)</f>
        <v>2.2284999999999999</v>
      </c>
      <c r="G43" s="34">
        <v>1193.71</v>
      </c>
      <c r="H43" s="108">
        <f t="shared" ref="H43:H52" si="9">SUM(F43*G43/1000)</f>
        <v>2.6601827349999998</v>
      </c>
      <c r="I43" s="12">
        <f t="shared" ref="I43:I45" si="10">F43/2*G43</f>
        <v>1330.0913674999999</v>
      </c>
      <c r="J43" s="22"/>
      <c r="L43" s="18"/>
      <c r="M43" s="19"/>
      <c r="N43" s="20"/>
    </row>
    <row r="44" spans="1:14" ht="19.5" hidden="1" customHeight="1">
      <c r="A44" s="26">
        <v>12</v>
      </c>
      <c r="B44" s="32" t="s">
        <v>33</v>
      </c>
      <c r="C44" s="39" t="s">
        <v>93</v>
      </c>
      <c r="D44" s="32" t="s">
        <v>39</v>
      </c>
      <c r="E44" s="107">
        <v>2631</v>
      </c>
      <c r="F44" s="31">
        <f>SUM(E44*2/1000)</f>
        <v>5.2619999999999996</v>
      </c>
      <c r="G44" s="34">
        <v>1803.69</v>
      </c>
      <c r="H44" s="108">
        <f t="shared" si="9"/>
        <v>9.4910167800000007</v>
      </c>
      <c r="I44" s="12">
        <f t="shared" si="10"/>
        <v>4745.50839</v>
      </c>
      <c r="J44" s="22"/>
      <c r="L44" s="18"/>
      <c r="M44" s="19"/>
      <c r="N44" s="20"/>
    </row>
    <row r="45" spans="1:14" ht="23.25" hidden="1" customHeight="1">
      <c r="A45" s="26">
        <v>13</v>
      </c>
      <c r="B45" s="32" t="s">
        <v>34</v>
      </c>
      <c r="C45" s="39" t="s">
        <v>93</v>
      </c>
      <c r="D45" s="32" t="s">
        <v>39</v>
      </c>
      <c r="E45" s="107">
        <v>1953.8</v>
      </c>
      <c r="F45" s="31">
        <f>SUM(E45*2/1000)</f>
        <v>3.9076</v>
      </c>
      <c r="G45" s="34">
        <v>1243.43</v>
      </c>
      <c r="H45" s="108">
        <f t="shared" si="9"/>
        <v>4.8588270680000001</v>
      </c>
      <c r="I45" s="12">
        <f t="shared" si="10"/>
        <v>2429.4135340000003</v>
      </c>
      <c r="J45" s="22"/>
      <c r="L45" s="18"/>
      <c r="M45" s="19"/>
      <c r="N45" s="20"/>
    </row>
    <row r="46" spans="1:14" ht="24.75" hidden="1" customHeight="1">
      <c r="A46" s="26">
        <v>14</v>
      </c>
      <c r="B46" s="32" t="s">
        <v>31</v>
      </c>
      <c r="C46" s="39" t="s">
        <v>32</v>
      </c>
      <c r="D46" s="32" t="s">
        <v>39</v>
      </c>
      <c r="E46" s="107">
        <v>91.84</v>
      </c>
      <c r="F46" s="31">
        <f>SUM(E46*2/100)</f>
        <v>1.8368</v>
      </c>
      <c r="G46" s="109">
        <v>1172.4100000000001</v>
      </c>
      <c r="H46" s="108">
        <f t="shared" si="9"/>
        <v>2.153482688</v>
      </c>
      <c r="I46" s="12">
        <f>F46/2*G46</f>
        <v>1076.741344</v>
      </c>
      <c r="J46" s="22"/>
      <c r="L46" s="18"/>
      <c r="M46" s="19"/>
      <c r="N46" s="20"/>
    </row>
    <row r="47" spans="1:14" ht="25.5" hidden="1" customHeight="1">
      <c r="A47" s="26">
        <v>15</v>
      </c>
      <c r="B47" s="32" t="s">
        <v>54</v>
      </c>
      <c r="C47" s="39" t="s">
        <v>93</v>
      </c>
      <c r="D47" s="32" t="s">
        <v>141</v>
      </c>
      <c r="E47" s="107">
        <v>3181</v>
      </c>
      <c r="F47" s="31">
        <f>SUM(E47*5/1000)</f>
        <v>15.904999999999999</v>
      </c>
      <c r="G47" s="34">
        <v>1083.69</v>
      </c>
      <c r="H47" s="108">
        <f t="shared" si="9"/>
        <v>17.236089449999998</v>
      </c>
      <c r="I47" s="12">
        <f>F47/5*G47</f>
        <v>3447.2178900000004</v>
      </c>
      <c r="J47" s="22"/>
      <c r="L47" s="18"/>
      <c r="M47" s="19"/>
      <c r="N47" s="20"/>
    </row>
    <row r="48" spans="1:14" ht="34.5" hidden="1" customHeight="1">
      <c r="A48" s="26">
        <v>9</v>
      </c>
      <c r="B48" s="32" t="s">
        <v>111</v>
      </c>
      <c r="C48" s="39" t="s">
        <v>93</v>
      </c>
      <c r="D48" s="32" t="s">
        <v>39</v>
      </c>
      <c r="E48" s="107">
        <v>3181</v>
      </c>
      <c r="F48" s="31">
        <f>SUM(E48*2/1000)</f>
        <v>6.3620000000000001</v>
      </c>
      <c r="G48" s="34">
        <v>1591.6</v>
      </c>
      <c r="H48" s="108">
        <f t="shared" si="9"/>
        <v>10.125759200000001</v>
      </c>
      <c r="I48" s="12">
        <f>F48/2*G48</f>
        <v>5062.8796000000002</v>
      </c>
      <c r="J48" s="22"/>
      <c r="L48" s="18"/>
      <c r="M48" s="19"/>
      <c r="N48" s="20"/>
    </row>
    <row r="49" spans="1:14" ht="31.5" hidden="1" customHeight="1">
      <c r="A49" s="26">
        <v>10</v>
      </c>
      <c r="B49" s="32" t="s">
        <v>112</v>
      </c>
      <c r="C49" s="39" t="s">
        <v>35</v>
      </c>
      <c r="D49" s="32" t="s">
        <v>39</v>
      </c>
      <c r="E49" s="107">
        <v>20</v>
      </c>
      <c r="F49" s="31">
        <f>SUM(E49*2/100)</f>
        <v>0.4</v>
      </c>
      <c r="G49" s="34">
        <v>4058.32</v>
      </c>
      <c r="H49" s="108">
        <f t="shared" si="9"/>
        <v>1.6233280000000001</v>
      </c>
      <c r="I49" s="12">
        <f t="shared" ref="I49:I50" si="11">F49/2*G49</f>
        <v>811.6640000000001</v>
      </c>
      <c r="J49" s="22"/>
      <c r="L49" s="18"/>
      <c r="M49" s="19"/>
      <c r="N49" s="20"/>
    </row>
    <row r="50" spans="1:14" ht="21" hidden="1" customHeight="1">
      <c r="A50" s="26">
        <v>11</v>
      </c>
      <c r="B50" s="32" t="s">
        <v>36</v>
      </c>
      <c r="C50" s="39" t="s">
        <v>37</v>
      </c>
      <c r="D50" s="32" t="s">
        <v>39</v>
      </c>
      <c r="E50" s="107">
        <v>1</v>
      </c>
      <c r="F50" s="31">
        <v>0.02</v>
      </c>
      <c r="G50" s="34">
        <v>7412.92</v>
      </c>
      <c r="H50" s="108">
        <f t="shared" si="9"/>
        <v>0.14825839999999998</v>
      </c>
      <c r="I50" s="12">
        <f t="shared" si="11"/>
        <v>74.129199999999997</v>
      </c>
      <c r="J50" s="22"/>
      <c r="L50" s="18"/>
      <c r="M50" s="19"/>
      <c r="N50" s="20"/>
    </row>
    <row r="51" spans="1:14" ht="19.5" hidden="1" customHeight="1">
      <c r="A51" s="26">
        <v>19</v>
      </c>
      <c r="B51" s="32" t="s">
        <v>113</v>
      </c>
      <c r="C51" s="39" t="s">
        <v>94</v>
      </c>
      <c r="D51" s="32" t="s">
        <v>64</v>
      </c>
      <c r="E51" s="107">
        <v>70</v>
      </c>
      <c r="F51" s="31">
        <f>E51*3</f>
        <v>210</v>
      </c>
      <c r="G51" s="34">
        <v>185.08</v>
      </c>
      <c r="H51" s="108">
        <f t="shared" si="9"/>
        <v>38.866800000000005</v>
      </c>
      <c r="I51" s="12">
        <f>E51*G51</f>
        <v>12955.6</v>
      </c>
      <c r="J51" s="22"/>
      <c r="L51" s="18"/>
      <c r="M51" s="19"/>
      <c r="N51" s="20"/>
    </row>
    <row r="52" spans="1:14" ht="16.5" hidden="1" customHeight="1">
      <c r="A52" s="26">
        <v>20</v>
      </c>
      <c r="B52" s="32" t="s">
        <v>38</v>
      </c>
      <c r="C52" s="39" t="s">
        <v>94</v>
      </c>
      <c r="D52" s="32" t="s">
        <v>64</v>
      </c>
      <c r="E52" s="107">
        <v>140</v>
      </c>
      <c r="F52" s="31">
        <f>E52*3</f>
        <v>420</v>
      </c>
      <c r="G52" s="35">
        <v>86.15</v>
      </c>
      <c r="H52" s="108">
        <f t="shared" si="9"/>
        <v>36.183</v>
      </c>
      <c r="I52" s="12">
        <f>E52*G52</f>
        <v>12061</v>
      </c>
      <c r="J52" s="22"/>
      <c r="L52" s="18"/>
      <c r="M52" s="19"/>
      <c r="N52" s="20"/>
    </row>
    <row r="53" spans="1:14" ht="15.75" customHeight="1">
      <c r="A53" s="171" t="s">
        <v>78</v>
      </c>
      <c r="B53" s="174"/>
      <c r="C53" s="174"/>
      <c r="D53" s="174"/>
      <c r="E53" s="174"/>
      <c r="F53" s="174"/>
      <c r="G53" s="174"/>
      <c r="H53" s="174"/>
      <c r="I53" s="175"/>
      <c r="J53" s="22"/>
      <c r="L53" s="18"/>
      <c r="M53" s="19"/>
      <c r="N53" s="20"/>
    </row>
    <row r="54" spans="1:14" ht="15.75" hidden="1" customHeight="1">
      <c r="A54" s="26"/>
      <c r="B54" s="81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114</v>
      </c>
      <c r="C55" s="59" t="s">
        <v>83</v>
      </c>
      <c r="D55" s="51" t="s">
        <v>115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hidden="1" customHeight="1">
      <c r="A56" s="26"/>
      <c r="B56" s="70" t="s">
        <v>117</v>
      </c>
      <c r="C56" s="69" t="s">
        <v>118</v>
      </c>
      <c r="D56" s="13" t="s">
        <v>61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v>0</v>
      </c>
      <c r="J56" s="22"/>
      <c r="L56" s="18"/>
      <c r="M56" s="19"/>
      <c r="N56" s="20"/>
    </row>
    <row r="57" spans="1:14" ht="15.75" hidden="1" customHeight="1">
      <c r="A57" s="26"/>
      <c r="B57" s="82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/>
      <c r="B59" s="82" t="s">
        <v>43</v>
      </c>
      <c r="C59" s="69"/>
      <c r="D59" s="70"/>
      <c r="E59" s="71"/>
      <c r="F59" s="74"/>
      <c r="G59" s="74"/>
      <c r="H59" s="72" t="s">
        <v>102</v>
      </c>
      <c r="I59" s="12"/>
      <c r="J59" s="22"/>
      <c r="L59" s="18"/>
      <c r="M59" s="19"/>
      <c r="N59" s="20"/>
    </row>
    <row r="60" spans="1:14" ht="15.75" customHeight="1">
      <c r="A60" s="26">
        <v>7</v>
      </c>
      <c r="B60" s="13" t="s">
        <v>44</v>
      </c>
      <c r="C60" s="15" t="s">
        <v>94</v>
      </c>
      <c r="D60" s="13" t="s">
        <v>210</v>
      </c>
      <c r="E60" s="17">
        <v>4</v>
      </c>
      <c r="F60" s="61">
        <f>E60</f>
        <v>4</v>
      </c>
      <c r="G60" s="12">
        <v>291.68</v>
      </c>
      <c r="H60" s="75">
        <f t="shared" ref="H60:H68" si="12">SUM(F60*G60/1000)</f>
        <v>1.16672</v>
      </c>
      <c r="I60" s="12">
        <f>G60*3</f>
        <v>875.04</v>
      </c>
      <c r="J60" s="22"/>
      <c r="L60" s="18"/>
      <c r="M60" s="19"/>
      <c r="N60" s="20"/>
    </row>
    <row r="61" spans="1:14" ht="15.75" hidden="1" customHeight="1">
      <c r="A61" s="26">
        <v>17</v>
      </c>
      <c r="B61" s="13" t="s">
        <v>45</v>
      </c>
      <c r="C61" s="15" t="s">
        <v>94</v>
      </c>
      <c r="D61" s="13" t="s">
        <v>61</v>
      </c>
      <c r="E61" s="17">
        <v>4</v>
      </c>
      <c r="F61" s="61">
        <f>E61</f>
        <v>4</v>
      </c>
      <c r="G61" s="12">
        <v>100.01</v>
      </c>
      <c r="H61" s="75">
        <f t="shared" si="12"/>
        <v>0.40004000000000001</v>
      </c>
      <c r="I61" s="12">
        <f t="shared" ref="I61:I66" si="13">G61*2</f>
        <v>200.02</v>
      </c>
      <c r="J61" s="22"/>
      <c r="L61" s="18"/>
      <c r="M61" s="19"/>
      <c r="N61" s="20"/>
    </row>
    <row r="62" spans="1:14" ht="15.75" hidden="1" customHeight="1">
      <c r="A62" s="26">
        <v>24</v>
      </c>
      <c r="B62" s="13" t="s">
        <v>46</v>
      </c>
      <c r="C62" s="15" t="s">
        <v>95</v>
      </c>
      <c r="D62" s="13" t="s">
        <v>51</v>
      </c>
      <c r="E62" s="60">
        <v>12702</v>
      </c>
      <c r="F62" s="12">
        <f>SUM(E62/100)</f>
        <v>127.02</v>
      </c>
      <c r="G62" s="12">
        <v>278.24</v>
      </c>
      <c r="H62" s="75">
        <f t="shared" si="12"/>
        <v>35.342044800000004</v>
      </c>
      <c r="I62" s="12">
        <f t="shared" si="13"/>
        <v>556.48</v>
      </c>
      <c r="J62" s="22"/>
      <c r="L62" s="18"/>
      <c r="M62" s="19"/>
      <c r="N62" s="20"/>
    </row>
    <row r="63" spans="1:14" ht="15.75" hidden="1" customHeight="1">
      <c r="A63" s="26">
        <v>25</v>
      </c>
      <c r="B63" s="13" t="s">
        <v>47</v>
      </c>
      <c r="C63" s="15" t="s">
        <v>96</v>
      </c>
      <c r="D63" s="13"/>
      <c r="E63" s="60">
        <v>12702</v>
      </c>
      <c r="F63" s="12">
        <f>SUM(E63/1000)</f>
        <v>12.702</v>
      </c>
      <c r="G63" s="12">
        <v>216.68</v>
      </c>
      <c r="H63" s="75">
        <f t="shared" si="12"/>
        <v>2.7522693600000001</v>
      </c>
      <c r="I63" s="12">
        <f t="shared" si="13"/>
        <v>433.36</v>
      </c>
      <c r="J63" s="22"/>
      <c r="L63" s="18"/>
      <c r="M63" s="19"/>
      <c r="N63" s="20"/>
    </row>
    <row r="64" spans="1:14" ht="15.75" hidden="1" customHeight="1">
      <c r="A64" s="26">
        <v>26</v>
      </c>
      <c r="B64" s="13" t="s">
        <v>48</v>
      </c>
      <c r="C64" s="15" t="s">
        <v>70</v>
      </c>
      <c r="D64" s="13" t="s">
        <v>51</v>
      </c>
      <c r="E64" s="60">
        <v>2200</v>
      </c>
      <c r="F64" s="12">
        <f>SUM(E64/100)</f>
        <v>22</v>
      </c>
      <c r="G64" s="12">
        <v>2720.94</v>
      </c>
      <c r="H64" s="75">
        <f t="shared" si="12"/>
        <v>59.860680000000002</v>
      </c>
      <c r="I64" s="12">
        <f t="shared" si="13"/>
        <v>5441.88</v>
      </c>
      <c r="J64" s="22"/>
      <c r="L64" s="18"/>
      <c r="M64" s="19"/>
      <c r="N64" s="20"/>
    </row>
    <row r="65" spans="1:14" ht="15.75" hidden="1" customHeight="1">
      <c r="A65" s="26">
        <v>27</v>
      </c>
      <c r="B65" s="76" t="s">
        <v>97</v>
      </c>
      <c r="C65" s="15" t="s">
        <v>30</v>
      </c>
      <c r="D65" s="13"/>
      <c r="E65" s="60">
        <v>9.6</v>
      </c>
      <c r="F65" s="12">
        <f>SUM(E65)</f>
        <v>9.6</v>
      </c>
      <c r="G65" s="12">
        <v>42.61</v>
      </c>
      <c r="H65" s="75">
        <f t="shared" si="12"/>
        <v>0.40905599999999998</v>
      </c>
      <c r="I65" s="12">
        <f t="shared" si="13"/>
        <v>85.22</v>
      </c>
      <c r="J65" s="22"/>
      <c r="L65" s="18"/>
      <c r="M65" s="19"/>
      <c r="N65" s="20"/>
    </row>
    <row r="66" spans="1:14" ht="15.75" hidden="1" customHeight="1">
      <c r="A66" s="26">
        <v>28</v>
      </c>
      <c r="B66" s="76" t="s">
        <v>98</v>
      </c>
      <c r="C66" s="15" t="s">
        <v>30</v>
      </c>
      <c r="D66" s="13"/>
      <c r="E66" s="60">
        <v>9.6</v>
      </c>
      <c r="F66" s="12">
        <f>SUM(E66)</f>
        <v>9.6</v>
      </c>
      <c r="G66" s="12">
        <v>46.04</v>
      </c>
      <c r="H66" s="75">
        <f t="shared" si="12"/>
        <v>0.44198399999999999</v>
      </c>
      <c r="I66" s="12">
        <f t="shared" si="13"/>
        <v>92.08</v>
      </c>
      <c r="J66" s="22"/>
      <c r="L66" s="18"/>
      <c r="M66" s="19"/>
      <c r="N66" s="20"/>
    </row>
    <row r="67" spans="1:14" ht="15.75" hidden="1" customHeight="1">
      <c r="A67" s="26">
        <v>22</v>
      </c>
      <c r="B67" s="13" t="s">
        <v>55</v>
      </c>
      <c r="C67" s="15" t="s">
        <v>56</v>
      </c>
      <c r="D67" s="13" t="s">
        <v>51</v>
      </c>
      <c r="E67" s="17">
        <v>4</v>
      </c>
      <c r="F67" s="12">
        <f>SUM(E67)</f>
        <v>4</v>
      </c>
      <c r="G67" s="12">
        <v>65.42</v>
      </c>
      <c r="H67" s="75">
        <f t="shared" si="12"/>
        <v>0.26168000000000002</v>
      </c>
      <c r="I67" s="12">
        <f>G67*4</f>
        <v>261.68</v>
      </c>
      <c r="J67" s="22"/>
      <c r="L67" s="18"/>
      <c r="M67" s="19"/>
      <c r="N67" s="20"/>
    </row>
    <row r="68" spans="1:14" ht="15.75" customHeight="1">
      <c r="A68" s="26">
        <v>8</v>
      </c>
      <c r="B68" s="13" t="s">
        <v>146</v>
      </c>
      <c r="C68" s="26" t="s">
        <v>147</v>
      </c>
      <c r="D68" s="13"/>
      <c r="E68" s="17">
        <v>3181</v>
      </c>
      <c r="F68" s="61">
        <f>SUM(E68)*12</f>
        <v>38172</v>
      </c>
      <c r="G68" s="12">
        <v>2.2799999999999998</v>
      </c>
      <c r="H68" s="75">
        <f t="shared" si="12"/>
        <v>87.03215999999999</v>
      </c>
      <c r="I68" s="12">
        <f>F68/12*G68</f>
        <v>7252.6799999999994</v>
      </c>
      <c r="J68" s="22"/>
      <c r="L68" s="18"/>
      <c r="M68" s="19"/>
      <c r="N68" s="20"/>
    </row>
    <row r="69" spans="1:14" ht="16.5" customHeight="1">
      <c r="A69" s="26"/>
      <c r="B69" s="55" t="s">
        <v>65</v>
      </c>
      <c r="C69" s="15"/>
      <c r="D69" s="13"/>
      <c r="E69" s="17"/>
      <c r="F69" s="12"/>
      <c r="G69" s="12"/>
      <c r="H69" s="75" t="s">
        <v>102</v>
      </c>
      <c r="I69" s="12"/>
      <c r="J69" s="22"/>
      <c r="L69" s="18"/>
      <c r="M69" s="19"/>
      <c r="N69" s="20"/>
    </row>
    <row r="70" spans="1:14" ht="20.25" hidden="1" customHeight="1">
      <c r="A70" s="26">
        <v>18</v>
      </c>
      <c r="B70" s="13" t="s">
        <v>148</v>
      </c>
      <c r="C70" s="15" t="s">
        <v>28</v>
      </c>
      <c r="D70" s="13" t="s">
        <v>61</v>
      </c>
      <c r="E70" s="17">
        <v>1</v>
      </c>
      <c r="F70" s="61">
        <f t="shared" ref="F70" si="14">E70</f>
        <v>1</v>
      </c>
      <c r="G70" s="12">
        <v>1543.4</v>
      </c>
      <c r="H70" s="75">
        <f>G70*F70/1000</f>
        <v>1.5434000000000001</v>
      </c>
      <c r="I70" s="12">
        <v>0</v>
      </c>
      <c r="J70" s="22"/>
      <c r="L70" s="18"/>
      <c r="M70" s="19"/>
      <c r="N70" s="20"/>
    </row>
    <row r="71" spans="1:14" ht="19.5" hidden="1" customHeight="1">
      <c r="A71" s="26"/>
      <c r="B71" s="50" t="s">
        <v>149</v>
      </c>
      <c r="C71" s="54" t="s">
        <v>94</v>
      </c>
      <c r="D71" s="13" t="s">
        <v>61</v>
      </c>
      <c r="E71" s="17">
        <v>1</v>
      </c>
      <c r="F71" s="61">
        <f>E71</f>
        <v>1</v>
      </c>
      <c r="G71" s="12">
        <v>130.96</v>
      </c>
      <c r="H71" s="75">
        <f>G71*F71/1000</f>
        <v>0.13096000000000002</v>
      </c>
      <c r="I71" s="12">
        <v>0</v>
      </c>
      <c r="J71" s="22"/>
      <c r="L71" s="18"/>
      <c r="M71" s="19"/>
      <c r="N71" s="20"/>
    </row>
    <row r="72" spans="1:14" ht="21.75" hidden="1" customHeight="1">
      <c r="A72" s="26"/>
      <c r="B72" s="13" t="s">
        <v>66</v>
      </c>
      <c r="C72" s="15" t="s">
        <v>68</v>
      </c>
      <c r="D72" s="13" t="s">
        <v>61</v>
      </c>
      <c r="E72" s="17">
        <v>3</v>
      </c>
      <c r="F72" s="61">
        <f>E72/10</f>
        <v>0.3</v>
      </c>
      <c r="G72" s="12">
        <v>657.87</v>
      </c>
      <c r="H72" s="75">
        <f t="shared" ref="H72:H75" si="15">SUM(F72*G72/1000)</f>
        <v>0.19736099999999998</v>
      </c>
      <c r="I72" s="12">
        <v>0</v>
      </c>
      <c r="J72" s="22"/>
      <c r="L72" s="18"/>
      <c r="M72" s="19"/>
      <c r="N72" s="20"/>
    </row>
    <row r="73" spans="1:14" ht="25.5" hidden="1" customHeight="1">
      <c r="A73" s="26"/>
      <c r="B73" s="13" t="s">
        <v>67</v>
      </c>
      <c r="C73" s="15" t="s">
        <v>28</v>
      </c>
      <c r="D73" s="13" t="s">
        <v>61</v>
      </c>
      <c r="E73" s="17">
        <v>1</v>
      </c>
      <c r="F73" s="61">
        <f>E73</f>
        <v>1</v>
      </c>
      <c r="G73" s="12">
        <v>1118.72</v>
      </c>
      <c r="H73" s="75">
        <f t="shared" si="15"/>
        <v>1.1187199999999999</v>
      </c>
      <c r="I73" s="12">
        <v>0</v>
      </c>
      <c r="J73" s="22"/>
      <c r="L73" s="18"/>
      <c r="M73" s="19"/>
      <c r="N73" s="20"/>
    </row>
    <row r="74" spans="1:14" ht="26.25" hidden="1" customHeight="1">
      <c r="A74" s="26"/>
      <c r="B74" s="50" t="s">
        <v>150</v>
      </c>
      <c r="C74" s="54" t="s">
        <v>94</v>
      </c>
      <c r="D74" s="13" t="s">
        <v>61</v>
      </c>
      <c r="E74" s="17">
        <v>1</v>
      </c>
      <c r="F74" s="61">
        <f>E74</f>
        <v>1</v>
      </c>
      <c r="G74" s="12">
        <v>1605.83</v>
      </c>
      <c r="H74" s="75">
        <f t="shared" si="15"/>
        <v>1.6058299999999999</v>
      </c>
      <c r="I74" s="12">
        <v>0</v>
      </c>
      <c r="J74" s="22"/>
      <c r="L74" s="18"/>
      <c r="M74" s="19"/>
      <c r="N74" s="20"/>
    </row>
    <row r="75" spans="1:14" ht="29.25" customHeight="1">
      <c r="A75" s="26">
        <v>9</v>
      </c>
      <c r="B75" s="50" t="s">
        <v>151</v>
      </c>
      <c r="C75" s="54" t="s">
        <v>94</v>
      </c>
      <c r="D75" s="13"/>
      <c r="E75" s="17">
        <v>2</v>
      </c>
      <c r="F75" s="61">
        <f>E75*12</f>
        <v>24</v>
      </c>
      <c r="G75" s="12">
        <v>53.42</v>
      </c>
      <c r="H75" s="75">
        <f t="shared" si="15"/>
        <v>1.2820799999999999</v>
      </c>
      <c r="I75" s="12">
        <f>G75*2</f>
        <v>106.84</v>
      </c>
      <c r="J75" s="22"/>
      <c r="L75" s="18"/>
      <c r="M75" s="19"/>
      <c r="N75" s="20"/>
    </row>
    <row r="76" spans="1:14" ht="32.25" hidden="1" customHeight="1">
      <c r="A76" s="26"/>
      <c r="B76" s="77" t="s">
        <v>69</v>
      </c>
      <c r="C76" s="15"/>
      <c r="D76" s="13"/>
      <c r="E76" s="17"/>
      <c r="F76" s="12"/>
      <c r="G76" s="12" t="s">
        <v>102</v>
      </c>
      <c r="H76" s="75" t="s">
        <v>102</v>
      </c>
      <c r="I76" s="12"/>
      <c r="J76" s="22"/>
      <c r="L76" s="18"/>
      <c r="M76" s="19"/>
      <c r="N76" s="20"/>
    </row>
    <row r="77" spans="1:14" ht="28.5" hidden="1" customHeight="1">
      <c r="A77" s="26"/>
      <c r="B77" s="45" t="s">
        <v>101</v>
      </c>
      <c r="C77" s="15" t="s">
        <v>70</v>
      </c>
      <c r="D77" s="13"/>
      <c r="E77" s="17"/>
      <c r="F77" s="12">
        <v>1</v>
      </c>
      <c r="G77" s="12">
        <v>3370.89</v>
      </c>
      <c r="H77" s="75">
        <f t="shared" ref="H77" si="16">SUM(F77*G77/1000)</f>
        <v>3.3708899999999997</v>
      </c>
      <c r="I77" s="12">
        <v>0</v>
      </c>
      <c r="J77" s="22"/>
      <c r="L77" s="18"/>
      <c r="M77" s="19"/>
      <c r="N77" s="20"/>
    </row>
    <row r="78" spans="1:14" ht="27.75" customHeight="1">
      <c r="A78" s="26"/>
      <c r="B78" s="55" t="s">
        <v>99</v>
      </c>
      <c r="C78" s="77"/>
      <c r="D78" s="27"/>
      <c r="E78" s="30"/>
      <c r="F78" s="66"/>
      <c r="G78" s="66"/>
      <c r="H78" s="78">
        <f>SUM(H55:H77)</f>
        <v>227.14633412000001</v>
      </c>
      <c r="I78" s="66"/>
      <c r="J78" s="22"/>
      <c r="L78" s="18"/>
      <c r="M78" s="19"/>
      <c r="N78" s="20"/>
    </row>
    <row r="79" spans="1:14" ht="18.75" customHeight="1">
      <c r="A79" s="105">
        <v>10</v>
      </c>
      <c r="B79" s="53" t="s">
        <v>100</v>
      </c>
      <c r="C79" s="110"/>
      <c r="D79" s="111"/>
      <c r="E79" s="111"/>
      <c r="F79" s="112">
        <v>1</v>
      </c>
      <c r="G79" s="112">
        <v>627</v>
      </c>
      <c r="H79" s="113">
        <f>G79*F79/1000</f>
        <v>0.627</v>
      </c>
      <c r="I79" s="80">
        <f>G79</f>
        <v>627</v>
      </c>
      <c r="J79" s="22"/>
      <c r="L79" s="18"/>
      <c r="M79" s="19"/>
      <c r="N79" s="20"/>
    </row>
    <row r="80" spans="1:14" ht="21" hidden="1" customHeight="1">
      <c r="A80" s="49"/>
      <c r="B80" s="114" t="s">
        <v>152</v>
      </c>
      <c r="C80" s="15"/>
      <c r="D80" s="13"/>
      <c r="E80" s="13"/>
      <c r="F80" s="12">
        <v>69</v>
      </c>
      <c r="G80" s="12">
        <v>700</v>
      </c>
      <c r="H80" s="75">
        <f>G80*F80/1000</f>
        <v>48.3</v>
      </c>
      <c r="I80" s="115">
        <v>0</v>
      </c>
      <c r="J80" s="22"/>
      <c r="L80" s="18"/>
      <c r="M80" s="19"/>
      <c r="N80" s="20"/>
    </row>
    <row r="81" spans="1:14" ht="15.75" customHeight="1">
      <c r="A81" s="168" t="s">
        <v>129</v>
      </c>
      <c r="B81" s="176"/>
      <c r="C81" s="176"/>
      <c r="D81" s="176"/>
      <c r="E81" s="176"/>
      <c r="F81" s="176"/>
      <c r="G81" s="176"/>
      <c r="H81" s="176"/>
      <c r="I81" s="177"/>
      <c r="J81" s="22"/>
      <c r="L81" s="18"/>
      <c r="M81" s="19"/>
      <c r="N81" s="20"/>
    </row>
    <row r="82" spans="1:14" ht="15.75" customHeight="1">
      <c r="A82" s="100">
        <v>11</v>
      </c>
      <c r="B82" s="32" t="s">
        <v>116</v>
      </c>
      <c r="C82" s="37" t="s">
        <v>52</v>
      </c>
      <c r="D82" s="79"/>
      <c r="E82" s="34">
        <v>3181</v>
      </c>
      <c r="F82" s="34">
        <f>SUM(E82*12)</f>
        <v>38172</v>
      </c>
      <c r="G82" s="34">
        <v>3.1</v>
      </c>
      <c r="H82" s="106">
        <f>SUM(F82*G82/1000)</f>
        <v>118.33319999999999</v>
      </c>
      <c r="I82" s="101">
        <f>F82/12*G82</f>
        <v>9861.1</v>
      </c>
      <c r="J82" s="22"/>
      <c r="L82" s="18"/>
      <c r="M82" s="19"/>
      <c r="N82" s="20"/>
    </row>
    <row r="83" spans="1:14" ht="31.5" customHeight="1">
      <c r="A83" s="26">
        <v>12</v>
      </c>
      <c r="B83" s="13" t="s">
        <v>71</v>
      </c>
      <c r="C83" s="15"/>
      <c r="D83" s="79"/>
      <c r="E83" s="60">
        <v>3181</v>
      </c>
      <c r="F83" s="12">
        <f>E83*12</f>
        <v>38172</v>
      </c>
      <c r="G83" s="12">
        <v>3.5</v>
      </c>
      <c r="H83" s="75">
        <f>F83*G83/1000</f>
        <v>133.602</v>
      </c>
      <c r="I83" s="12">
        <f>F83/12*G83</f>
        <v>11133.5</v>
      </c>
      <c r="J83" s="22"/>
      <c r="L83" s="18"/>
      <c r="M83" s="19"/>
      <c r="N83" s="20"/>
    </row>
    <row r="84" spans="1:14" ht="15.75" customHeight="1">
      <c r="A84" s="49"/>
      <c r="B84" s="38" t="s">
        <v>74</v>
      </c>
      <c r="C84" s="15"/>
      <c r="D84" s="45"/>
      <c r="E84" s="12"/>
      <c r="F84" s="12"/>
      <c r="G84" s="12"/>
      <c r="H84" s="75">
        <f>H83</f>
        <v>133.602</v>
      </c>
      <c r="I84" s="66">
        <f>I83+I82+I75+I68+I60+I30+I29+I26+I18+I17+I16+I79</f>
        <v>42185.667942666667</v>
      </c>
      <c r="J84" s="22"/>
      <c r="L84" s="18"/>
      <c r="M84" s="19"/>
      <c r="N84" s="20"/>
    </row>
    <row r="85" spans="1:14" ht="15.75" customHeight="1">
      <c r="A85" s="178" t="s">
        <v>57</v>
      </c>
      <c r="B85" s="179"/>
      <c r="C85" s="179"/>
      <c r="D85" s="179"/>
      <c r="E85" s="179"/>
      <c r="F85" s="179"/>
      <c r="G85" s="179"/>
      <c r="H85" s="179"/>
      <c r="I85" s="180"/>
      <c r="J85" s="22"/>
      <c r="L85" s="18"/>
      <c r="M85" s="19"/>
      <c r="N85" s="20"/>
    </row>
    <row r="86" spans="1:14" ht="15.75" customHeight="1">
      <c r="A86" s="26">
        <v>13</v>
      </c>
      <c r="B86" s="70" t="s">
        <v>156</v>
      </c>
      <c r="C86" s="69" t="s">
        <v>157</v>
      </c>
      <c r="D86" s="70"/>
      <c r="E86" s="71"/>
      <c r="F86" s="74">
        <v>96</v>
      </c>
      <c r="G86" s="56">
        <v>1.4</v>
      </c>
      <c r="H86" s="72">
        <f>F86*G86/1000</f>
        <v>0.13439999999999996</v>
      </c>
      <c r="I86" s="12">
        <f>G86*48</f>
        <v>67.199999999999989</v>
      </c>
      <c r="J86" s="22"/>
      <c r="L86" s="18"/>
      <c r="M86" s="19"/>
      <c r="N86" s="20"/>
    </row>
    <row r="87" spans="1:14" ht="30.75" customHeight="1">
      <c r="A87" s="26">
        <v>14</v>
      </c>
      <c r="B87" s="122" t="s">
        <v>119</v>
      </c>
      <c r="C87" s="123" t="s">
        <v>35</v>
      </c>
      <c r="D87" s="13"/>
      <c r="E87" s="17"/>
      <c r="F87" s="12">
        <v>1</v>
      </c>
      <c r="G87" s="34">
        <v>3914.31</v>
      </c>
      <c r="H87" s="75">
        <f>G87*F87/1000</f>
        <v>3.91431</v>
      </c>
      <c r="I87" s="80">
        <f>G87*0.01</f>
        <v>39.143099999999997</v>
      </c>
      <c r="J87" s="22"/>
      <c r="L87" s="18"/>
      <c r="M87" s="19"/>
      <c r="N87" s="20"/>
    </row>
    <row r="88" spans="1:14" ht="30.75" customHeight="1">
      <c r="A88" s="26">
        <v>15</v>
      </c>
      <c r="B88" s="122" t="s">
        <v>247</v>
      </c>
      <c r="C88" s="123" t="s">
        <v>174</v>
      </c>
      <c r="D88" s="13"/>
      <c r="E88" s="17"/>
      <c r="F88" s="12"/>
      <c r="G88" s="34">
        <v>1465</v>
      </c>
      <c r="H88" s="75"/>
      <c r="I88" s="80">
        <f>G88*0.5</f>
        <v>732.5</v>
      </c>
      <c r="J88" s="22"/>
      <c r="L88" s="18"/>
      <c r="M88" s="19"/>
      <c r="N88" s="20"/>
    </row>
    <row r="89" spans="1:14" ht="31.5" customHeight="1">
      <c r="A89" s="26">
        <v>16</v>
      </c>
      <c r="B89" s="122" t="s">
        <v>248</v>
      </c>
      <c r="C89" s="123" t="s">
        <v>120</v>
      </c>
      <c r="D89" s="13"/>
      <c r="E89" s="17"/>
      <c r="F89" s="12"/>
      <c r="G89" s="34">
        <v>1171.75</v>
      </c>
      <c r="H89" s="75"/>
      <c r="I89" s="80">
        <f>G89*1</f>
        <v>1171.75</v>
      </c>
      <c r="J89" s="22"/>
      <c r="L89" s="18"/>
      <c r="M89" s="19"/>
      <c r="N89" s="20"/>
    </row>
    <row r="90" spans="1:14" ht="18" customHeight="1">
      <c r="A90" s="26">
        <v>17</v>
      </c>
      <c r="B90" s="122" t="s">
        <v>249</v>
      </c>
      <c r="C90" s="123" t="s">
        <v>94</v>
      </c>
      <c r="D90" s="13"/>
      <c r="E90" s="17"/>
      <c r="F90" s="12"/>
      <c r="G90" s="34">
        <v>6302.72</v>
      </c>
      <c r="H90" s="75"/>
      <c r="I90" s="80">
        <f>G90*1</f>
        <v>6302.72</v>
      </c>
      <c r="J90" s="22"/>
      <c r="L90" s="18"/>
      <c r="M90" s="19"/>
      <c r="N90" s="20"/>
    </row>
    <row r="91" spans="1:14" ht="29.25" customHeight="1">
      <c r="A91" s="26">
        <v>18</v>
      </c>
      <c r="B91" s="122" t="s">
        <v>254</v>
      </c>
      <c r="C91" s="123" t="s">
        <v>174</v>
      </c>
      <c r="D91" s="13" t="s">
        <v>256</v>
      </c>
      <c r="E91" s="17"/>
      <c r="F91" s="12"/>
      <c r="G91" s="34">
        <v>1367</v>
      </c>
      <c r="H91" s="75"/>
      <c r="I91" s="80">
        <f>G91*0.5</f>
        <v>683.5</v>
      </c>
      <c r="J91" s="22"/>
      <c r="L91" s="18"/>
      <c r="M91" s="19"/>
      <c r="N91" s="20"/>
    </row>
    <row r="92" spans="1:14" ht="30.75" customHeight="1">
      <c r="A92" s="26">
        <v>19</v>
      </c>
      <c r="B92" s="122" t="s">
        <v>255</v>
      </c>
      <c r="C92" s="123" t="s">
        <v>52</v>
      </c>
      <c r="D92" s="13" t="s">
        <v>257</v>
      </c>
      <c r="E92" s="17"/>
      <c r="F92" s="12"/>
      <c r="G92" s="34">
        <v>74.430000000000007</v>
      </c>
      <c r="H92" s="75"/>
      <c r="I92" s="80">
        <f>G92*0.5</f>
        <v>37.215000000000003</v>
      </c>
      <c r="J92" s="22"/>
      <c r="L92" s="18"/>
      <c r="M92" s="19"/>
      <c r="N92" s="20"/>
    </row>
    <row r="93" spans="1:14" ht="30.75" customHeight="1">
      <c r="A93" s="26">
        <v>20</v>
      </c>
      <c r="B93" s="122" t="s">
        <v>167</v>
      </c>
      <c r="C93" s="123" t="s">
        <v>93</v>
      </c>
      <c r="D93" s="13"/>
      <c r="E93" s="17"/>
      <c r="F93" s="12"/>
      <c r="G93" s="136">
        <v>19757.060000000001</v>
      </c>
      <c r="H93" s="75"/>
      <c r="I93" s="80">
        <f>G93*0.599*5/1000</f>
        <v>59.172394700000005</v>
      </c>
      <c r="J93" s="22"/>
      <c r="L93" s="18"/>
      <c r="M93" s="19"/>
      <c r="N93" s="20"/>
    </row>
    <row r="94" spans="1:14" ht="15.75" customHeight="1">
      <c r="A94" s="26"/>
      <c r="B94" s="27" t="s">
        <v>49</v>
      </c>
      <c r="C94" s="40"/>
      <c r="D94" s="46"/>
      <c r="E94" s="40">
        <v>1</v>
      </c>
      <c r="F94" s="40"/>
      <c r="G94" s="40"/>
      <c r="H94" s="40"/>
      <c r="I94" s="30">
        <f>SUM(I86:I93)</f>
        <v>9093.2004946999987</v>
      </c>
      <c r="J94" s="22"/>
      <c r="L94" s="18"/>
      <c r="M94" s="19"/>
      <c r="N94" s="20"/>
    </row>
    <row r="95" spans="1:14" ht="15.75" customHeight="1">
      <c r="A95" s="26"/>
      <c r="B95" s="45" t="s">
        <v>72</v>
      </c>
      <c r="C95" s="14"/>
      <c r="D95" s="14"/>
      <c r="E95" s="41"/>
      <c r="F95" s="41"/>
      <c r="G95" s="42"/>
      <c r="H95" s="42"/>
      <c r="I95" s="16">
        <v>0</v>
      </c>
      <c r="J95" s="22"/>
      <c r="L95" s="18"/>
      <c r="M95" s="19"/>
      <c r="N95" s="20"/>
    </row>
    <row r="96" spans="1:14" ht="15.75" customHeight="1">
      <c r="A96" s="47"/>
      <c r="B96" s="44" t="s">
        <v>142</v>
      </c>
      <c r="C96" s="33"/>
      <c r="D96" s="33"/>
      <c r="E96" s="33"/>
      <c r="F96" s="33"/>
      <c r="G96" s="33"/>
      <c r="H96" s="33"/>
      <c r="I96" s="43">
        <f>I84+I94</f>
        <v>51278.868437366662</v>
      </c>
      <c r="J96" s="22"/>
      <c r="L96" s="18"/>
      <c r="M96" s="19"/>
      <c r="N96" s="20"/>
    </row>
    <row r="97" spans="1:22" ht="15.75" customHeight="1">
      <c r="A97" s="167" t="s">
        <v>258</v>
      </c>
      <c r="B97" s="167"/>
      <c r="C97" s="167"/>
      <c r="D97" s="167"/>
      <c r="E97" s="167"/>
      <c r="F97" s="167"/>
      <c r="G97" s="167"/>
      <c r="H97" s="167"/>
      <c r="I97" s="167"/>
      <c r="J97" s="22"/>
      <c r="L97" s="18"/>
      <c r="M97" s="19"/>
      <c r="N97" s="20"/>
    </row>
    <row r="98" spans="1:22" ht="15.75" customHeight="1">
      <c r="A98" s="8"/>
      <c r="B98" s="181" t="s">
        <v>259</v>
      </c>
      <c r="C98" s="181"/>
      <c r="D98" s="181"/>
      <c r="E98" s="181"/>
      <c r="F98" s="181"/>
      <c r="G98" s="181"/>
      <c r="H98" s="83"/>
      <c r="I98" s="3"/>
      <c r="J98" s="22"/>
      <c r="L98" s="18"/>
      <c r="M98" s="19"/>
      <c r="N98" s="20"/>
    </row>
    <row r="99" spans="1:22" ht="15.75" customHeight="1">
      <c r="A99" s="85"/>
      <c r="B99" s="182" t="s">
        <v>5</v>
      </c>
      <c r="C99" s="182"/>
      <c r="D99" s="182"/>
      <c r="E99" s="182"/>
      <c r="F99" s="182"/>
      <c r="G99" s="182"/>
      <c r="H99" s="23"/>
      <c r="I99" s="5"/>
      <c r="J99" s="22"/>
      <c r="K99" s="22"/>
      <c r="L99" s="22"/>
      <c r="M99" s="19"/>
      <c r="N99" s="20"/>
    </row>
    <row r="100" spans="1:22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22"/>
      <c r="K100" s="22"/>
      <c r="L100" s="22"/>
      <c r="M100" s="19"/>
      <c r="N100" s="20"/>
    </row>
    <row r="101" spans="1:22" ht="15.75" customHeight="1">
      <c r="A101" s="183" t="s">
        <v>6</v>
      </c>
      <c r="B101" s="183"/>
      <c r="C101" s="183"/>
      <c r="D101" s="183"/>
      <c r="E101" s="183"/>
      <c r="F101" s="183"/>
      <c r="G101" s="183"/>
      <c r="H101" s="183"/>
      <c r="I101" s="183"/>
      <c r="J101" s="22"/>
      <c r="K101" s="22"/>
      <c r="L101" s="22"/>
    </row>
    <row r="102" spans="1:22" ht="15.75" customHeight="1">
      <c r="A102" s="183" t="s">
        <v>7</v>
      </c>
      <c r="B102" s="183"/>
      <c r="C102" s="183"/>
      <c r="D102" s="183"/>
      <c r="E102" s="183"/>
      <c r="F102" s="183"/>
      <c r="G102" s="183"/>
      <c r="H102" s="183"/>
      <c r="I102" s="183"/>
      <c r="J102" s="22"/>
      <c r="K102" s="22"/>
      <c r="L102" s="22"/>
    </row>
    <row r="103" spans="1:22" ht="15.75" customHeight="1">
      <c r="A103" s="167" t="s">
        <v>8</v>
      </c>
      <c r="B103" s="167"/>
      <c r="C103" s="167"/>
      <c r="D103" s="167"/>
      <c r="E103" s="167"/>
      <c r="F103" s="167"/>
      <c r="G103" s="167"/>
      <c r="H103" s="167"/>
      <c r="I103" s="167"/>
    </row>
    <row r="104" spans="1:22" ht="15.75" customHeight="1">
      <c r="A104" s="10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7"/>
    </row>
    <row r="105" spans="1:22" ht="15.75" customHeight="1">
      <c r="A105" s="185" t="s">
        <v>9</v>
      </c>
      <c r="B105" s="185"/>
      <c r="C105" s="185"/>
      <c r="D105" s="185"/>
      <c r="E105" s="185"/>
      <c r="F105" s="185"/>
      <c r="G105" s="185"/>
      <c r="H105" s="185"/>
      <c r="I105" s="185"/>
      <c r="J105" s="24"/>
      <c r="K105" s="24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2" ht="15.75" customHeight="1">
      <c r="A106" s="4"/>
      <c r="J106" s="3"/>
      <c r="K106" s="3"/>
      <c r="L106" s="3"/>
      <c r="M106" s="3"/>
      <c r="N106" s="3"/>
      <c r="O106" s="3"/>
      <c r="P106" s="3"/>
      <c r="Q106" s="3"/>
      <c r="S106" s="3"/>
      <c r="T106" s="3"/>
      <c r="U106" s="3"/>
    </row>
    <row r="107" spans="1:22" ht="15.75" customHeight="1">
      <c r="A107" s="167" t="s">
        <v>10</v>
      </c>
      <c r="B107" s="167"/>
      <c r="C107" s="186" t="s">
        <v>79</v>
      </c>
      <c r="D107" s="186"/>
      <c r="E107" s="186"/>
      <c r="F107" s="57"/>
      <c r="I107" s="88"/>
      <c r="J107" s="5"/>
      <c r="K107" s="5"/>
      <c r="L107" s="5"/>
      <c r="M107" s="5"/>
      <c r="N107" s="5"/>
      <c r="O107" s="5"/>
      <c r="P107" s="5"/>
      <c r="Q107" s="5"/>
      <c r="R107" s="187"/>
      <c r="S107" s="187"/>
      <c r="T107" s="187"/>
      <c r="U107" s="187"/>
    </row>
    <row r="108" spans="1:22" ht="15.75" customHeight="1">
      <c r="A108" s="85"/>
      <c r="C108" s="182" t="s">
        <v>11</v>
      </c>
      <c r="D108" s="182"/>
      <c r="E108" s="182"/>
      <c r="F108" s="23"/>
      <c r="I108" s="86" t="s">
        <v>12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2" ht="15.75" customHeight="1">
      <c r="A109" s="24"/>
      <c r="C109" s="11"/>
      <c r="D109" s="11"/>
      <c r="G109" s="11"/>
      <c r="H109" s="11"/>
    </row>
    <row r="110" spans="1:22" ht="15.75" customHeight="1">
      <c r="A110" s="167" t="s">
        <v>13</v>
      </c>
      <c r="B110" s="167"/>
      <c r="C110" s="188"/>
      <c r="D110" s="188"/>
      <c r="E110" s="188"/>
      <c r="F110" s="58"/>
      <c r="I110" s="88"/>
    </row>
    <row r="111" spans="1:22" ht="15.75" customHeight="1">
      <c r="A111" s="85"/>
      <c r="C111" s="187" t="s">
        <v>11</v>
      </c>
      <c r="D111" s="187"/>
      <c r="E111" s="187"/>
      <c r="F111" s="85"/>
      <c r="I111" s="86" t="s">
        <v>12</v>
      </c>
    </row>
    <row r="112" spans="1:22" ht="15.75" customHeight="1">
      <c r="A112" s="4" t="s">
        <v>14</v>
      </c>
    </row>
    <row r="113" spans="1:9" ht="15" customHeight="1">
      <c r="A113" s="189" t="s">
        <v>15</v>
      </c>
      <c r="B113" s="189"/>
      <c r="C113" s="189"/>
      <c r="D113" s="189"/>
      <c r="E113" s="189"/>
      <c r="F113" s="189"/>
      <c r="G113" s="189"/>
      <c r="H113" s="189"/>
      <c r="I113" s="189"/>
    </row>
    <row r="114" spans="1:9" ht="45" customHeight="1">
      <c r="A114" s="184" t="s">
        <v>16</v>
      </c>
      <c r="B114" s="184"/>
      <c r="C114" s="184"/>
      <c r="D114" s="184"/>
      <c r="E114" s="184"/>
      <c r="F114" s="184"/>
      <c r="G114" s="184"/>
      <c r="H114" s="184"/>
      <c r="I114" s="184"/>
    </row>
    <row r="115" spans="1:9" ht="30" customHeight="1">
      <c r="A115" s="184" t="s">
        <v>17</v>
      </c>
      <c r="B115" s="184"/>
      <c r="C115" s="184"/>
      <c r="D115" s="184"/>
      <c r="E115" s="184"/>
      <c r="F115" s="184"/>
      <c r="G115" s="184"/>
      <c r="H115" s="184"/>
      <c r="I115" s="184"/>
    </row>
    <row r="116" spans="1:9" ht="30" customHeight="1">
      <c r="A116" s="184" t="s">
        <v>21</v>
      </c>
      <c r="B116" s="184"/>
      <c r="C116" s="184"/>
      <c r="D116" s="184"/>
      <c r="E116" s="184"/>
      <c r="F116" s="184"/>
      <c r="G116" s="184"/>
      <c r="H116" s="184"/>
      <c r="I116" s="184"/>
    </row>
    <row r="117" spans="1:9" ht="15" customHeight="1">
      <c r="A117" s="184" t="s">
        <v>20</v>
      </c>
      <c r="B117" s="184"/>
      <c r="C117" s="184"/>
      <c r="D117" s="184"/>
      <c r="E117" s="184"/>
      <c r="F117" s="184"/>
      <c r="G117" s="184"/>
      <c r="H117" s="184"/>
      <c r="I117" s="184"/>
    </row>
  </sheetData>
  <autoFilter ref="I12:I103"/>
  <mergeCells count="31">
    <mergeCell ref="A117:I117"/>
    <mergeCell ref="A105:I105"/>
    <mergeCell ref="A107:B107"/>
    <mergeCell ref="C107:E107"/>
    <mergeCell ref="R107:U107"/>
    <mergeCell ref="C108:E108"/>
    <mergeCell ref="A110:B110"/>
    <mergeCell ref="C110:E110"/>
    <mergeCell ref="C111:E111"/>
    <mergeCell ref="A113:I113"/>
    <mergeCell ref="A114:I114"/>
    <mergeCell ref="A115:I115"/>
    <mergeCell ref="A116:I116"/>
    <mergeCell ref="A103:I103"/>
    <mergeCell ref="A15:I15"/>
    <mergeCell ref="A27:I27"/>
    <mergeCell ref="A42:I42"/>
    <mergeCell ref="A53:I53"/>
    <mergeCell ref="A81:I81"/>
    <mergeCell ref="A85:I85"/>
    <mergeCell ref="A97:I97"/>
    <mergeCell ref="B98:G98"/>
    <mergeCell ref="B99:G99"/>
    <mergeCell ref="A101:I101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B89" sqref="B89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6" t="s">
        <v>161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62" t="s">
        <v>153</v>
      </c>
      <c r="B3" s="162"/>
      <c r="C3" s="162"/>
      <c r="D3" s="162"/>
      <c r="E3" s="162"/>
      <c r="F3" s="162"/>
      <c r="G3" s="162"/>
      <c r="H3" s="162"/>
      <c r="I3" s="162"/>
      <c r="J3" s="2"/>
      <c r="K3" s="2"/>
      <c r="L3" s="2"/>
      <c r="M3" s="2"/>
    </row>
    <row r="4" spans="1:15" s="25" customFormat="1" ht="31.5" customHeight="1">
      <c r="A4" s="163" t="s">
        <v>82</v>
      </c>
      <c r="B4" s="163"/>
      <c r="C4" s="163"/>
      <c r="D4" s="163"/>
      <c r="E4" s="163"/>
      <c r="F4" s="163"/>
      <c r="G4" s="163"/>
      <c r="H4" s="163"/>
      <c r="I4" s="163"/>
      <c r="J4" s="3"/>
      <c r="K4" s="3"/>
      <c r="L4" s="3"/>
    </row>
    <row r="5" spans="1:15" s="25" customFormat="1" ht="15.75" customHeight="1">
      <c r="A5" s="162" t="s">
        <v>260</v>
      </c>
      <c r="B5" s="164"/>
      <c r="C5" s="164"/>
      <c r="D5" s="164"/>
      <c r="E5" s="164"/>
      <c r="F5" s="164"/>
      <c r="G5" s="164"/>
      <c r="H5" s="164"/>
      <c r="I5" s="164"/>
    </row>
    <row r="6" spans="1:15" s="25" customFormat="1" ht="15.75">
      <c r="A6" s="2"/>
      <c r="B6" s="94"/>
      <c r="C6" s="94"/>
      <c r="D6" s="94"/>
      <c r="E6" s="94"/>
      <c r="F6" s="94"/>
      <c r="G6" s="94"/>
      <c r="H6" s="94"/>
      <c r="I6" s="29">
        <v>43799</v>
      </c>
      <c r="J6" s="2"/>
      <c r="K6" s="2"/>
      <c r="L6" s="2"/>
      <c r="M6" s="2"/>
    </row>
    <row r="7" spans="1:15" ht="15.75">
      <c r="B7" s="90"/>
      <c r="C7" s="90"/>
      <c r="D7" s="90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65" t="s">
        <v>162</v>
      </c>
      <c r="B8" s="165"/>
      <c r="C8" s="165"/>
      <c r="D8" s="165"/>
      <c r="E8" s="165"/>
      <c r="F8" s="165"/>
      <c r="G8" s="165"/>
      <c r="H8" s="165"/>
      <c r="I8" s="16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66" t="s">
        <v>155</v>
      </c>
      <c r="B10" s="166"/>
      <c r="C10" s="166"/>
      <c r="D10" s="166"/>
      <c r="E10" s="166"/>
      <c r="F10" s="166"/>
      <c r="G10" s="166"/>
      <c r="H10" s="166"/>
      <c r="I10" s="166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132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59" t="s">
        <v>133</v>
      </c>
      <c r="B14" s="160"/>
      <c r="C14" s="160"/>
      <c r="D14" s="160"/>
      <c r="E14" s="160"/>
      <c r="F14" s="160"/>
      <c r="G14" s="160"/>
      <c r="H14" s="160"/>
      <c r="I14" s="160"/>
      <c r="J14" s="99"/>
      <c r="K14" s="99"/>
      <c r="L14" s="6"/>
      <c r="M14" s="6"/>
      <c r="N14" s="6"/>
      <c r="O14" s="6"/>
    </row>
    <row r="15" spans="1:15" ht="15.75" customHeight="1">
      <c r="A15" s="168" t="s">
        <v>3</v>
      </c>
      <c r="B15" s="169"/>
      <c r="C15" s="169"/>
      <c r="D15" s="169"/>
      <c r="E15" s="169"/>
      <c r="F15" s="169"/>
      <c r="G15" s="169"/>
      <c r="H15" s="169"/>
      <c r="I15" s="170"/>
      <c r="J15" s="6"/>
      <c r="K15" s="6"/>
      <c r="L15" s="6"/>
      <c r="M15" s="6"/>
    </row>
    <row r="16" spans="1:15" ht="15.75" customHeight="1">
      <c r="A16" s="26">
        <v>1</v>
      </c>
      <c r="B16" s="51" t="s">
        <v>77</v>
      </c>
      <c r="C16" s="59" t="s">
        <v>83</v>
      </c>
      <c r="D16" s="51" t="s">
        <v>203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6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80</v>
      </c>
      <c r="C17" s="59" t="s">
        <v>83</v>
      </c>
      <c r="D17" s="51" t="s">
        <v>204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81</v>
      </c>
      <c r="C18" s="59" t="s">
        <v>83</v>
      </c>
      <c r="D18" s="51" t="s">
        <v>205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84</v>
      </c>
      <c r="C19" s="59" t="s">
        <v>85</v>
      </c>
      <c r="D19" s="51" t="s">
        <v>86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1" t="s">
        <v>87</v>
      </c>
      <c r="C20" s="59" t="s">
        <v>83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1" t="s">
        <v>88</v>
      </c>
      <c r="C21" s="59" t="s">
        <v>83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89</v>
      </c>
      <c r="C22" s="59" t="s">
        <v>50</v>
      </c>
      <c r="D22" s="51" t="s">
        <v>86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90</v>
      </c>
      <c r="C23" s="59" t="s">
        <v>50</v>
      </c>
      <c r="D23" s="51" t="s">
        <v>86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91</v>
      </c>
      <c r="C24" s="59" t="s">
        <v>50</v>
      </c>
      <c r="D24" s="52" t="s">
        <v>86</v>
      </c>
      <c r="E24" s="17">
        <v>15</v>
      </c>
      <c r="F24" s="64">
        <f t="shared" si="2"/>
        <v>0.15</v>
      </c>
      <c r="G24" s="61">
        <v>511.12</v>
      </c>
      <c r="H24" s="62">
        <f t="shared" si="0"/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92</v>
      </c>
      <c r="C25" s="59" t="s">
        <v>50</v>
      </c>
      <c r="D25" s="51" t="s">
        <v>86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202</v>
      </c>
      <c r="C26" s="39" t="s">
        <v>157</v>
      </c>
      <c r="D26" s="32" t="s">
        <v>206</v>
      </c>
      <c r="E26" s="157">
        <v>4.5999999999999996</v>
      </c>
      <c r="F26" s="31">
        <f>E26*258</f>
        <v>1186.8</v>
      </c>
      <c r="G26" s="31">
        <v>10.39</v>
      </c>
      <c r="H26" s="62">
        <f t="shared" si="0"/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hidden="1" customHeight="1">
      <c r="A27" s="26">
        <v>5</v>
      </c>
      <c r="B27" s="68" t="s">
        <v>23</v>
      </c>
      <c r="C27" s="59" t="s">
        <v>24</v>
      </c>
      <c r="D27" s="51"/>
      <c r="E27" s="60">
        <v>3181</v>
      </c>
      <c r="F27" s="61">
        <f>SUM(E27*12)</f>
        <v>38172</v>
      </c>
      <c r="G27" s="61">
        <v>2.67</v>
      </c>
      <c r="H27" s="62">
        <f t="shared" ref="H27" si="4">SUM(F27*G27/1000)</f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68" t="s">
        <v>134</v>
      </c>
      <c r="B28" s="169"/>
      <c r="C28" s="169"/>
      <c r="D28" s="169"/>
      <c r="E28" s="169"/>
      <c r="F28" s="169"/>
      <c r="G28" s="169"/>
      <c r="H28" s="169"/>
      <c r="I28" s="170"/>
      <c r="J28" s="21"/>
      <c r="K28" s="6"/>
      <c r="L28" s="6"/>
      <c r="M28" s="6"/>
    </row>
    <row r="29" spans="1:13" ht="15.75" hidden="1" customHeight="1">
      <c r="A29" s="102"/>
      <c r="B29" s="55" t="s">
        <v>135</v>
      </c>
      <c r="C29" s="103"/>
      <c r="D29" s="103"/>
      <c r="E29" s="103"/>
      <c r="F29" s="103"/>
      <c r="G29" s="103"/>
      <c r="H29" s="103"/>
      <c r="I29" s="103"/>
      <c r="J29" s="21"/>
      <c r="K29" s="6"/>
      <c r="L29" s="6"/>
      <c r="M29" s="6"/>
    </row>
    <row r="30" spans="1:13" ht="15.75" hidden="1" customHeight="1">
      <c r="A30" s="100">
        <v>6</v>
      </c>
      <c r="B30" s="51" t="s">
        <v>136</v>
      </c>
      <c r="C30" s="59" t="s">
        <v>93</v>
      </c>
      <c r="D30" s="51" t="s">
        <v>139</v>
      </c>
      <c r="E30" s="61">
        <v>210.2</v>
      </c>
      <c r="F30" s="61">
        <f>SUM(E30*52/1000)</f>
        <v>10.930399999999999</v>
      </c>
      <c r="G30" s="61">
        <v>204.44</v>
      </c>
      <c r="H30" s="62">
        <f t="shared" ref="H30:H35" si="5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hidden="1" customHeight="1">
      <c r="A31" s="26">
        <v>7</v>
      </c>
      <c r="B31" s="51" t="s">
        <v>137</v>
      </c>
      <c r="C31" s="59" t="s">
        <v>93</v>
      </c>
      <c r="D31" s="51" t="s">
        <v>140</v>
      </c>
      <c r="E31" s="61">
        <v>92</v>
      </c>
      <c r="F31" s="61">
        <f>SUM(E31*78/1000)</f>
        <v>7.1760000000000002</v>
      </c>
      <c r="G31" s="61">
        <v>339.21</v>
      </c>
      <c r="H31" s="62">
        <f t="shared" si="5"/>
        <v>2.4341709599999999</v>
      </c>
      <c r="I31" s="12">
        <f t="shared" ref="I31:I33" si="6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1" t="s">
        <v>26</v>
      </c>
      <c r="C32" s="59" t="s">
        <v>93</v>
      </c>
      <c r="D32" s="51" t="s">
        <v>51</v>
      </c>
      <c r="E32" s="61">
        <f>E30</f>
        <v>210.2</v>
      </c>
      <c r="F32" s="61">
        <f>SUM(E32/1000)</f>
        <v>0.2102</v>
      </c>
      <c r="G32" s="61">
        <v>3961.23</v>
      </c>
      <c r="H32" s="62">
        <f t="shared" si="5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hidden="1" customHeight="1">
      <c r="A33" s="26">
        <v>8</v>
      </c>
      <c r="B33" s="51" t="s">
        <v>138</v>
      </c>
      <c r="C33" s="59" t="s">
        <v>28</v>
      </c>
      <c r="D33" s="51" t="s">
        <v>59</v>
      </c>
      <c r="E33" s="67">
        <f>1/3</f>
        <v>0.33333333333333331</v>
      </c>
      <c r="F33" s="61">
        <f>155/3</f>
        <v>51.666666666666664</v>
      </c>
      <c r="G33" s="61">
        <v>74.349999999999994</v>
      </c>
      <c r="H33" s="62">
        <f t="shared" si="5"/>
        <v>3.841416666666666</v>
      </c>
      <c r="I33" s="12">
        <f t="shared" si="6"/>
        <v>640.23611111111109</v>
      </c>
      <c r="J33" s="21"/>
      <c r="K33" s="6"/>
      <c r="L33" s="6"/>
      <c r="M33" s="6"/>
    </row>
    <row r="34" spans="1:14" ht="15.75" hidden="1" customHeight="1">
      <c r="A34" s="26"/>
      <c r="B34" s="51" t="s">
        <v>60</v>
      </c>
      <c r="C34" s="59" t="s">
        <v>30</v>
      </c>
      <c r="D34" s="51" t="s">
        <v>61</v>
      </c>
      <c r="E34" s="60"/>
      <c r="F34" s="61">
        <v>1</v>
      </c>
      <c r="G34" s="61">
        <v>250.92</v>
      </c>
      <c r="H34" s="62">
        <f t="shared" si="5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5"/>
      <c r="B35" s="51" t="s">
        <v>104</v>
      </c>
      <c r="C35" s="59" t="s">
        <v>29</v>
      </c>
      <c r="D35" s="51" t="s">
        <v>61</v>
      </c>
      <c r="E35" s="60"/>
      <c r="F35" s="61">
        <v>1</v>
      </c>
      <c r="G35" s="61">
        <v>1490.31</v>
      </c>
      <c r="H35" s="62">
        <f t="shared" si="5"/>
        <v>1.49031</v>
      </c>
      <c r="I35" s="12">
        <v>0</v>
      </c>
      <c r="J35" s="21"/>
      <c r="K35" s="6"/>
      <c r="L35" s="6"/>
      <c r="M35" s="6"/>
    </row>
    <row r="36" spans="1:14" ht="15.75" customHeight="1">
      <c r="A36" s="102"/>
      <c r="B36" s="55" t="s">
        <v>4</v>
      </c>
      <c r="C36" s="104"/>
      <c r="D36" s="104"/>
      <c r="E36" s="104"/>
      <c r="F36" s="104"/>
      <c r="G36" s="104"/>
      <c r="H36" s="104"/>
      <c r="I36" s="104"/>
      <c r="J36" s="21"/>
      <c r="K36" s="6"/>
      <c r="L36" s="6"/>
      <c r="M36" s="6"/>
    </row>
    <row r="37" spans="1:14" ht="15.75" customHeight="1">
      <c r="A37" s="100">
        <v>5</v>
      </c>
      <c r="B37" s="51" t="s">
        <v>25</v>
      </c>
      <c r="C37" s="59" t="s">
        <v>29</v>
      </c>
      <c r="D37" s="51"/>
      <c r="E37" s="60"/>
      <c r="F37" s="61">
        <v>3</v>
      </c>
      <c r="G37" s="61">
        <v>2003</v>
      </c>
      <c r="H37" s="62">
        <f t="shared" ref="H37:H43" si="7">SUM(F37*G37/1000)</f>
        <v>6.0090000000000003</v>
      </c>
      <c r="I37" s="12">
        <f>G37*1.2</f>
        <v>2403.6</v>
      </c>
      <c r="J37" s="21"/>
      <c r="K37" s="6"/>
      <c r="L37" s="6"/>
      <c r="M37" s="6"/>
    </row>
    <row r="38" spans="1:14" ht="15.75" customHeight="1">
      <c r="A38" s="26">
        <v>6</v>
      </c>
      <c r="B38" s="51" t="s">
        <v>143</v>
      </c>
      <c r="C38" s="59" t="s">
        <v>27</v>
      </c>
      <c r="D38" s="51" t="s">
        <v>207</v>
      </c>
      <c r="E38" s="60">
        <v>92</v>
      </c>
      <c r="F38" s="61">
        <f>E38*30/1000</f>
        <v>2.76</v>
      </c>
      <c r="G38" s="61">
        <v>2757.78</v>
      </c>
      <c r="H38" s="62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1" t="s">
        <v>106</v>
      </c>
      <c r="C39" s="59" t="s">
        <v>107</v>
      </c>
      <c r="D39" s="51" t="s">
        <v>61</v>
      </c>
      <c r="E39" s="60"/>
      <c r="F39" s="61">
        <v>52</v>
      </c>
      <c r="G39" s="61">
        <v>239.09</v>
      </c>
      <c r="H39" s="62">
        <f>G39*F39/1000</f>
        <v>12.43268</v>
      </c>
      <c r="I39" s="12">
        <f t="shared" ref="I39:I41" si="8">F39/6*G39</f>
        <v>2072.1133333333332</v>
      </c>
      <c r="J39" s="21"/>
      <c r="K39" s="6"/>
    </row>
    <row r="40" spans="1:14" ht="15.75" customHeight="1">
      <c r="A40" s="26">
        <v>7</v>
      </c>
      <c r="B40" s="51" t="s">
        <v>62</v>
      </c>
      <c r="C40" s="59" t="s">
        <v>27</v>
      </c>
      <c r="D40" s="51" t="s">
        <v>208</v>
      </c>
      <c r="E40" s="61">
        <f>E38</f>
        <v>92</v>
      </c>
      <c r="F40" s="61">
        <f>SUM(E40*155/1000)</f>
        <v>14.26</v>
      </c>
      <c r="G40" s="61">
        <v>460.02</v>
      </c>
      <c r="H40" s="62">
        <f t="shared" si="7"/>
        <v>6.5598852000000001</v>
      </c>
      <c r="I40" s="12">
        <f t="shared" si="8"/>
        <v>1093.3141999999998</v>
      </c>
      <c r="J40" s="22"/>
    </row>
    <row r="41" spans="1:14" ht="48" customHeight="1">
      <c r="A41" s="26">
        <v>8</v>
      </c>
      <c r="B41" s="51" t="s">
        <v>76</v>
      </c>
      <c r="C41" s="59" t="s">
        <v>93</v>
      </c>
      <c r="D41" s="51" t="s">
        <v>209</v>
      </c>
      <c r="E41" s="61">
        <v>92</v>
      </c>
      <c r="F41" s="61">
        <f>SUM(E41*35/1000)</f>
        <v>3.22</v>
      </c>
      <c r="G41" s="61">
        <v>7611.16</v>
      </c>
      <c r="H41" s="62">
        <f t="shared" si="7"/>
        <v>24.507935199999999</v>
      </c>
      <c r="I41" s="12">
        <f t="shared" si="8"/>
        <v>4084.655866666667</v>
      </c>
      <c r="J41" s="22"/>
    </row>
    <row r="42" spans="1:14" ht="15.75" customHeight="1">
      <c r="A42" s="26">
        <v>9</v>
      </c>
      <c r="B42" s="51" t="s">
        <v>109</v>
      </c>
      <c r="C42" s="59" t="s">
        <v>93</v>
      </c>
      <c r="D42" s="51" t="s">
        <v>210</v>
      </c>
      <c r="E42" s="61">
        <f>E38</f>
        <v>92</v>
      </c>
      <c r="F42" s="61">
        <f>SUM(E42*20/1000)</f>
        <v>1.84</v>
      </c>
      <c r="G42" s="61">
        <v>562.25</v>
      </c>
      <c r="H42" s="62">
        <f t="shared" si="7"/>
        <v>1.03454</v>
      </c>
      <c r="I42" s="12">
        <f>F42/7.5*G42</f>
        <v>137.93866666666668</v>
      </c>
      <c r="J42" s="22"/>
    </row>
    <row r="43" spans="1:14" ht="15.75" customHeight="1">
      <c r="A43" s="26">
        <v>10</v>
      </c>
      <c r="B43" s="51" t="s">
        <v>63</v>
      </c>
      <c r="C43" s="59" t="s">
        <v>30</v>
      </c>
      <c r="D43" s="51"/>
      <c r="E43" s="60"/>
      <c r="F43" s="61">
        <v>0.8</v>
      </c>
      <c r="G43" s="61">
        <v>992.97</v>
      </c>
      <c r="H43" s="62">
        <f t="shared" si="7"/>
        <v>0.79437600000000008</v>
      </c>
      <c r="I43" s="12">
        <f>F43/7.5*G43</f>
        <v>105.91680000000001</v>
      </c>
      <c r="J43" s="22"/>
    </row>
    <row r="44" spans="1:14" ht="15.75" hidden="1" customHeight="1">
      <c r="A44" s="171" t="s">
        <v>121</v>
      </c>
      <c r="B44" s="172"/>
      <c r="C44" s="172"/>
      <c r="D44" s="172"/>
      <c r="E44" s="172"/>
      <c r="F44" s="172"/>
      <c r="G44" s="172"/>
      <c r="H44" s="172"/>
      <c r="I44" s="173"/>
      <c r="J44" s="22"/>
      <c r="L44" s="18"/>
      <c r="M44" s="19"/>
      <c r="N44" s="20"/>
    </row>
    <row r="45" spans="1:14" ht="15.75" hidden="1" customHeight="1">
      <c r="A45" s="26">
        <v>11</v>
      </c>
      <c r="B45" s="32" t="s">
        <v>110</v>
      </c>
      <c r="C45" s="39" t="s">
        <v>93</v>
      </c>
      <c r="D45" s="32" t="s">
        <v>39</v>
      </c>
      <c r="E45" s="107">
        <v>1114.25</v>
      </c>
      <c r="F45" s="31">
        <f>SUM(E45*2/1000)</f>
        <v>2.2284999999999999</v>
      </c>
      <c r="G45" s="34">
        <v>1193.71</v>
      </c>
      <c r="H45" s="108">
        <f t="shared" ref="H45:H54" si="9">SUM(F45*G45/1000)</f>
        <v>2.6601827349999998</v>
      </c>
      <c r="I45" s="12">
        <f t="shared" ref="I45:I47" si="10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12</v>
      </c>
      <c r="B46" s="32" t="s">
        <v>33</v>
      </c>
      <c r="C46" s="39" t="s">
        <v>93</v>
      </c>
      <c r="D46" s="32" t="s">
        <v>39</v>
      </c>
      <c r="E46" s="107">
        <v>2631</v>
      </c>
      <c r="F46" s="31">
        <f>SUM(E46*2/1000)</f>
        <v>5.2619999999999996</v>
      </c>
      <c r="G46" s="34">
        <v>1803.69</v>
      </c>
      <c r="H46" s="108">
        <f t="shared" si="9"/>
        <v>9.4910167800000007</v>
      </c>
      <c r="I46" s="12">
        <f t="shared" si="10"/>
        <v>4745.50839</v>
      </c>
      <c r="J46" s="22"/>
      <c r="L46" s="18"/>
      <c r="M46" s="19"/>
      <c r="N46" s="20"/>
    </row>
    <row r="47" spans="1:14" ht="15.75" hidden="1" customHeight="1">
      <c r="A47" s="26">
        <v>13</v>
      </c>
      <c r="B47" s="32" t="s">
        <v>34</v>
      </c>
      <c r="C47" s="39" t="s">
        <v>93</v>
      </c>
      <c r="D47" s="32" t="s">
        <v>39</v>
      </c>
      <c r="E47" s="107">
        <v>1953.8</v>
      </c>
      <c r="F47" s="31">
        <f>SUM(E47*2/1000)</f>
        <v>3.9076</v>
      </c>
      <c r="G47" s="34">
        <v>1243.43</v>
      </c>
      <c r="H47" s="108">
        <f t="shared" si="9"/>
        <v>4.8588270680000001</v>
      </c>
      <c r="I47" s="12">
        <f t="shared" si="10"/>
        <v>2429.4135340000003</v>
      </c>
      <c r="J47" s="22"/>
      <c r="L47" s="18"/>
      <c r="M47" s="19"/>
      <c r="N47" s="20"/>
    </row>
    <row r="48" spans="1:14" ht="15.75" hidden="1" customHeight="1">
      <c r="A48" s="26">
        <v>14</v>
      </c>
      <c r="B48" s="32" t="s">
        <v>31</v>
      </c>
      <c r="C48" s="39" t="s">
        <v>32</v>
      </c>
      <c r="D48" s="32" t="s">
        <v>39</v>
      </c>
      <c r="E48" s="107">
        <v>91.84</v>
      </c>
      <c r="F48" s="31">
        <f>SUM(E48*2/100)</f>
        <v>1.8368</v>
      </c>
      <c r="G48" s="109">
        <v>1172.4100000000001</v>
      </c>
      <c r="H48" s="108">
        <f t="shared" si="9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hidden="1" customHeight="1">
      <c r="A49" s="26">
        <v>15</v>
      </c>
      <c r="B49" s="32" t="s">
        <v>54</v>
      </c>
      <c r="C49" s="39" t="s">
        <v>93</v>
      </c>
      <c r="D49" s="32" t="s">
        <v>141</v>
      </c>
      <c r="E49" s="107">
        <v>3181</v>
      </c>
      <c r="F49" s="31">
        <f>SUM(E49*5/1000)</f>
        <v>15.904999999999999</v>
      </c>
      <c r="G49" s="34">
        <v>1083.69</v>
      </c>
      <c r="H49" s="108">
        <f t="shared" si="9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16</v>
      </c>
      <c r="B50" s="32" t="s">
        <v>111</v>
      </c>
      <c r="C50" s="39" t="s">
        <v>93</v>
      </c>
      <c r="D50" s="32" t="s">
        <v>39</v>
      </c>
      <c r="E50" s="107">
        <v>3181</v>
      </c>
      <c r="F50" s="31">
        <f>SUM(E50*2/1000)</f>
        <v>6.3620000000000001</v>
      </c>
      <c r="G50" s="34">
        <v>1591.6</v>
      </c>
      <c r="H50" s="108">
        <f t="shared" si="9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17</v>
      </c>
      <c r="B51" s="32" t="s">
        <v>112</v>
      </c>
      <c r="C51" s="39" t="s">
        <v>35</v>
      </c>
      <c r="D51" s="32" t="s">
        <v>39</v>
      </c>
      <c r="E51" s="107">
        <v>20</v>
      </c>
      <c r="F51" s="31">
        <f>SUM(E51*2/100)</f>
        <v>0.4</v>
      </c>
      <c r="G51" s="34">
        <v>4058.32</v>
      </c>
      <c r="H51" s="108">
        <f t="shared" si="9"/>
        <v>1.6233280000000001</v>
      </c>
      <c r="I51" s="12">
        <f t="shared" ref="I51:I52" si="11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18</v>
      </c>
      <c r="B52" s="32" t="s">
        <v>36</v>
      </c>
      <c r="C52" s="39" t="s">
        <v>37</v>
      </c>
      <c r="D52" s="32" t="s">
        <v>39</v>
      </c>
      <c r="E52" s="107">
        <v>1</v>
      </c>
      <c r="F52" s="31">
        <v>0.02</v>
      </c>
      <c r="G52" s="34">
        <v>7412.92</v>
      </c>
      <c r="H52" s="108">
        <f t="shared" si="9"/>
        <v>0.14825839999999998</v>
      </c>
      <c r="I52" s="12">
        <f t="shared" si="11"/>
        <v>74.129199999999997</v>
      </c>
      <c r="J52" s="22"/>
      <c r="L52" s="18"/>
      <c r="M52" s="19"/>
      <c r="N52" s="20"/>
    </row>
    <row r="53" spans="1:14" ht="15.75" hidden="1" customHeight="1">
      <c r="A53" s="26">
        <v>19</v>
      </c>
      <c r="B53" s="32" t="s">
        <v>113</v>
      </c>
      <c r="C53" s="39" t="s">
        <v>94</v>
      </c>
      <c r="D53" s="32" t="s">
        <v>64</v>
      </c>
      <c r="E53" s="107">
        <v>70</v>
      </c>
      <c r="F53" s="31">
        <f>E53*3</f>
        <v>210</v>
      </c>
      <c r="G53" s="34">
        <v>185.08</v>
      </c>
      <c r="H53" s="108">
        <f t="shared" si="9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20</v>
      </c>
      <c r="B54" s="32" t="s">
        <v>38</v>
      </c>
      <c r="C54" s="39" t="s">
        <v>94</v>
      </c>
      <c r="D54" s="32" t="s">
        <v>64</v>
      </c>
      <c r="E54" s="107">
        <v>140</v>
      </c>
      <c r="F54" s="31">
        <f>E54*3</f>
        <v>420</v>
      </c>
      <c r="G54" s="35">
        <v>86.15</v>
      </c>
      <c r="H54" s="108">
        <f t="shared" si="9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71" t="s">
        <v>78</v>
      </c>
      <c r="B55" s="174"/>
      <c r="C55" s="174"/>
      <c r="D55" s="174"/>
      <c r="E55" s="174"/>
      <c r="F55" s="174"/>
      <c r="G55" s="174"/>
      <c r="H55" s="174"/>
      <c r="I55" s="175"/>
      <c r="J55" s="22"/>
      <c r="L55" s="18"/>
      <c r="M55" s="19"/>
      <c r="N55" s="20"/>
    </row>
    <row r="56" spans="1:14" ht="15.75" hidden="1" customHeight="1">
      <c r="A56" s="26"/>
      <c r="B56" s="81" t="s">
        <v>40</v>
      </c>
      <c r="C56" s="59"/>
      <c r="D56" s="51"/>
      <c r="E56" s="60"/>
      <c r="F56" s="61"/>
      <c r="G56" s="61"/>
      <c r="H56" s="62"/>
      <c r="I56" s="12"/>
      <c r="J56" s="22"/>
      <c r="L56" s="18"/>
      <c r="M56" s="19"/>
      <c r="N56" s="20"/>
    </row>
    <row r="57" spans="1:14" ht="31.5" hidden="1" customHeight="1">
      <c r="A57" s="26">
        <v>12</v>
      </c>
      <c r="B57" s="51" t="s">
        <v>114</v>
      </c>
      <c r="C57" s="59" t="s">
        <v>83</v>
      </c>
      <c r="D57" s="51" t="s">
        <v>115</v>
      </c>
      <c r="E57" s="60">
        <v>111.2</v>
      </c>
      <c r="F57" s="61">
        <f>SUM(E57*6/100)</f>
        <v>6.6720000000000006</v>
      </c>
      <c r="G57" s="12">
        <v>2431.1799999999998</v>
      </c>
      <c r="H57" s="62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/>
      <c r="B58" s="70" t="s">
        <v>117</v>
      </c>
      <c r="C58" s="69" t="s">
        <v>118</v>
      </c>
      <c r="D58" s="13" t="s">
        <v>61</v>
      </c>
      <c r="E58" s="71"/>
      <c r="F58" s="72">
        <v>3</v>
      </c>
      <c r="G58" s="12">
        <v>1582.05</v>
      </c>
      <c r="H58" s="62">
        <f>SUM(F58*G58/1000)</f>
        <v>4.7461499999999992</v>
      </c>
      <c r="I58" s="12">
        <v>0</v>
      </c>
      <c r="J58" s="22"/>
      <c r="L58" s="18"/>
      <c r="M58" s="19"/>
      <c r="N58" s="20"/>
    </row>
    <row r="59" spans="1:14" ht="15.75" hidden="1" customHeight="1">
      <c r="A59" s="26"/>
      <c r="B59" s="82" t="s">
        <v>41</v>
      </c>
      <c r="C59" s="69"/>
      <c r="D59" s="70"/>
      <c r="E59" s="71"/>
      <c r="F59" s="72"/>
      <c r="G59" s="12"/>
      <c r="H59" s="73"/>
      <c r="I59" s="12"/>
      <c r="J59" s="22"/>
      <c r="L59" s="18"/>
      <c r="M59" s="19"/>
      <c r="N59" s="20"/>
    </row>
    <row r="60" spans="1:14" ht="15.75" hidden="1" customHeight="1">
      <c r="A60" s="26"/>
      <c r="B60" s="70" t="s">
        <v>42</v>
      </c>
      <c r="C60" s="69" t="s">
        <v>50</v>
      </c>
      <c r="D60" s="70" t="s">
        <v>51</v>
      </c>
      <c r="E60" s="71">
        <v>222.85</v>
      </c>
      <c r="F60" s="72">
        <v>8.9</v>
      </c>
      <c r="G60" s="12">
        <v>1040.8399999999999</v>
      </c>
      <c r="H60" s="73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82" t="s">
        <v>43</v>
      </c>
      <c r="C61" s="69"/>
      <c r="D61" s="70"/>
      <c r="E61" s="71"/>
      <c r="F61" s="74"/>
      <c r="G61" s="74"/>
      <c r="H61" s="72" t="s">
        <v>102</v>
      </c>
      <c r="I61" s="12"/>
      <c r="J61" s="22"/>
      <c r="L61" s="18"/>
      <c r="M61" s="19"/>
      <c r="N61" s="20"/>
    </row>
    <row r="62" spans="1:14" ht="15.75" customHeight="1">
      <c r="A62" s="26">
        <v>11</v>
      </c>
      <c r="B62" s="13" t="s">
        <v>44</v>
      </c>
      <c r="C62" s="15" t="s">
        <v>94</v>
      </c>
      <c r="D62" s="13" t="s">
        <v>205</v>
      </c>
      <c r="E62" s="17">
        <v>4</v>
      </c>
      <c r="F62" s="61">
        <f>E62</f>
        <v>4</v>
      </c>
      <c r="G62" s="12">
        <v>291.68</v>
      </c>
      <c r="H62" s="75">
        <f t="shared" ref="H62:H70" si="12">SUM(F62*G62/1000)</f>
        <v>1.16672</v>
      </c>
      <c r="I62" s="12">
        <f>G62*2</f>
        <v>583.36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45</v>
      </c>
      <c r="C63" s="15" t="s">
        <v>94</v>
      </c>
      <c r="D63" s="13" t="s">
        <v>61</v>
      </c>
      <c r="E63" s="17">
        <v>4</v>
      </c>
      <c r="F63" s="61">
        <f>E63</f>
        <v>4</v>
      </c>
      <c r="G63" s="12">
        <v>100.01</v>
      </c>
      <c r="H63" s="75">
        <f t="shared" si="12"/>
        <v>0.40004000000000001</v>
      </c>
      <c r="I63" s="12">
        <f t="shared" ref="I63:I68" si="13">G63*2</f>
        <v>200.02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46</v>
      </c>
      <c r="C64" s="15" t="s">
        <v>95</v>
      </c>
      <c r="D64" s="13" t="s">
        <v>51</v>
      </c>
      <c r="E64" s="60">
        <v>12702</v>
      </c>
      <c r="F64" s="12">
        <f>SUM(E64/100)</f>
        <v>127.02</v>
      </c>
      <c r="G64" s="12">
        <v>278.24</v>
      </c>
      <c r="H64" s="75">
        <f t="shared" si="12"/>
        <v>35.342044800000004</v>
      </c>
      <c r="I64" s="12">
        <f t="shared" si="13"/>
        <v>556.48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47</v>
      </c>
      <c r="C65" s="15" t="s">
        <v>96</v>
      </c>
      <c r="D65" s="13"/>
      <c r="E65" s="60">
        <v>12702</v>
      </c>
      <c r="F65" s="12">
        <f>SUM(E65/1000)</f>
        <v>12.702</v>
      </c>
      <c r="G65" s="12">
        <v>216.68</v>
      </c>
      <c r="H65" s="75">
        <f t="shared" si="12"/>
        <v>2.7522693600000001</v>
      </c>
      <c r="I65" s="12">
        <f t="shared" si="13"/>
        <v>433.36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48</v>
      </c>
      <c r="C66" s="15" t="s">
        <v>70</v>
      </c>
      <c r="D66" s="13" t="s">
        <v>51</v>
      </c>
      <c r="E66" s="60">
        <v>2200</v>
      </c>
      <c r="F66" s="12">
        <f>SUM(E66/100)</f>
        <v>22</v>
      </c>
      <c r="G66" s="12">
        <v>2720.94</v>
      </c>
      <c r="H66" s="75">
        <f t="shared" si="12"/>
        <v>59.860680000000002</v>
      </c>
      <c r="I66" s="12">
        <f t="shared" si="13"/>
        <v>5441.88</v>
      </c>
      <c r="J66" s="22"/>
      <c r="L66" s="18"/>
      <c r="M66" s="19"/>
      <c r="N66" s="20"/>
    </row>
    <row r="67" spans="1:14" ht="15.75" hidden="1" customHeight="1">
      <c r="A67" s="26">
        <v>27</v>
      </c>
      <c r="B67" s="76" t="s">
        <v>97</v>
      </c>
      <c r="C67" s="15" t="s">
        <v>30</v>
      </c>
      <c r="D67" s="13"/>
      <c r="E67" s="60">
        <v>9.6</v>
      </c>
      <c r="F67" s="12">
        <f>SUM(E67)</f>
        <v>9.6</v>
      </c>
      <c r="G67" s="12">
        <v>42.61</v>
      </c>
      <c r="H67" s="75">
        <f t="shared" si="12"/>
        <v>0.40905599999999998</v>
      </c>
      <c r="I67" s="12">
        <f t="shared" si="13"/>
        <v>85.22</v>
      </c>
      <c r="J67" s="22"/>
      <c r="L67" s="18"/>
      <c r="M67" s="19"/>
      <c r="N67" s="20"/>
    </row>
    <row r="68" spans="1:14" ht="15.75" hidden="1" customHeight="1">
      <c r="A68" s="26">
        <v>28</v>
      </c>
      <c r="B68" s="76" t="s">
        <v>98</v>
      </c>
      <c r="C68" s="15" t="s">
        <v>30</v>
      </c>
      <c r="D68" s="13"/>
      <c r="E68" s="60">
        <v>9.6</v>
      </c>
      <c r="F68" s="12">
        <f>SUM(E68)</f>
        <v>9.6</v>
      </c>
      <c r="G68" s="12">
        <v>46.04</v>
      </c>
      <c r="H68" s="75">
        <f t="shared" si="12"/>
        <v>0.44198399999999999</v>
      </c>
      <c r="I68" s="12">
        <f t="shared" si="13"/>
        <v>92.08</v>
      </c>
      <c r="J68" s="22"/>
      <c r="L68" s="18"/>
      <c r="M68" s="19"/>
      <c r="N68" s="20"/>
    </row>
    <row r="69" spans="1:14" ht="15.75" hidden="1" customHeight="1">
      <c r="A69" s="26">
        <v>22</v>
      </c>
      <c r="B69" s="13" t="s">
        <v>55</v>
      </c>
      <c r="C69" s="15" t="s">
        <v>56</v>
      </c>
      <c r="D69" s="13" t="s">
        <v>51</v>
      </c>
      <c r="E69" s="17">
        <v>4</v>
      </c>
      <c r="F69" s="12">
        <f>SUM(E69)</f>
        <v>4</v>
      </c>
      <c r="G69" s="12">
        <v>65.42</v>
      </c>
      <c r="H69" s="75">
        <f t="shared" si="12"/>
        <v>0.26168000000000002</v>
      </c>
      <c r="I69" s="12">
        <f>G69*4</f>
        <v>261.68</v>
      </c>
      <c r="J69" s="22"/>
      <c r="L69" s="18"/>
      <c r="M69" s="19"/>
      <c r="N69" s="20"/>
    </row>
    <row r="70" spans="1:14" ht="15.75" customHeight="1">
      <c r="A70" s="26">
        <v>12</v>
      </c>
      <c r="B70" s="13" t="s">
        <v>146</v>
      </c>
      <c r="C70" s="26" t="s">
        <v>147</v>
      </c>
      <c r="D70" s="13"/>
      <c r="E70" s="17">
        <v>3181</v>
      </c>
      <c r="F70" s="61">
        <f>SUM(E70)*12</f>
        <v>38172</v>
      </c>
      <c r="G70" s="12">
        <v>2.2799999999999998</v>
      </c>
      <c r="H70" s="75">
        <f t="shared" si="12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6.5" customHeight="1">
      <c r="A71" s="26"/>
      <c r="B71" s="55" t="s">
        <v>65</v>
      </c>
      <c r="C71" s="15"/>
      <c r="D71" s="13"/>
      <c r="E71" s="17"/>
      <c r="F71" s="12"/>
      <c r="G71" s="12"/>
      <c r="H71" s="75" t="s">
        <v>102</v>
      </c>
      <c r="I71" s="12"/>
      <c r="J71" s="22"/>
      <c r="L71" s="18"/>
      <c r="M71" s="19"/>
      <c r="N71" s="20"/>
    </row>
    <row r="72" spans="1:14" ht="24" hidden="1" customHeight="1">
      <c r="A72" s="26">
        <v>18</v>
      </c>
      <c r="B72" s="13" t="s">
        <v>148</v>
      </c>
      <c r="C72" s="15" t="s">
        <v>28</v>
      </c>
      <c r="D72" s="13" t="s">
        <v>61</v>
      </c>
      <c r="E72" s="17">
        <v>1</v>
      </c>
      <c r="F72" s="61">
        <f t="shared" ref="F72" si="14">E72</f>
        <v>1</v>
      </c>
      <c r="G72" s="12">
        <v>1543.4</v>
      </c>
      <c r="H72" s="75">
        <f>G72*F72/1000</f>
        <v>1.5434000000000001</v>
      </c>
      <c r="I72" s="12">
        <v>0</v>
      </c>
      <c r="J72" s="22"/>
      <c r="L72" s="18"/>
      <c r="M72" s="19"/>
      <c r="N72" s="20"/>
    </row>
    <row r="73" spans="1:14" ht="25.5" hidden="1" customHeight="1">
      <c r="A73" s="26"/>
      <c r="B73" s="50" t="s">
        <v>149</v>
      </c>
      <c r="C73" s="54" t="s">
        <v>94</v>
      </c>
      <c r="D73" s="13" t="s">
        <v>61</v>
      </c>
      <c r="E73" s="17">
        <v>1</v>
      </c>
      <c r="F73" s="61">
        <f>E73</f>
        <v>1</v>
      </c>
      <c r="G73" s="12">
        <v>130.96</v>
      </c>
      <c r="H73" s="75">
        <f>G73*F73/1000</f>
        <v>0.13096000000000002</v>
      </c>
      <c r="I73" s="12">
        <v>0</v>
      </c>
      <c r="J73" s="22"/>
      <c r="L73" s="18"/>
      <c r="M73" s="19"/>
      <c r="N73" s="20"/>
    </row>
    <row r="74" spans="1:14" ht="23.25" hidden="1" customHeight="1">
      <c r="A74" s="26"/>
      <c r="B74" s="13" t="s">
        <v>66</v>
      </c>
      <c r="C74" s="15" t="s">
        <v>68</v>
      </c>
      <c r="D74" s="13" t="s">
        <v>61</v>
      </c>
      <c r="E74" s="17">
        <v>3</v>
      </c>
      <c r="F74" s="61">
        <f>E74/10</f>
        <v>0.3</v>
      </c>
      <c r="G74" s="12">
        <v>657.87</v>
      </c>
      <c r="H74" s="75">
        <f t="shared" ref="H74:H77" si="15">SUM(F74*G74/1000)</f>
        <v>0.19736099999999998</v>
      </c>
      <c r="I74" s="12">
        <v>0</v>
      </c>
      <c r="J74" s="22"/>
      <c r="L74" s="18"/>
      <c r="M74" s="19"/>
      <c r="N74" s="20"/>
    </row>
    <row r="75" spans="1:14" ht="23.25" hidden="1" customHeight="1">
      <c r="A75" s="26"/>
      <c r="B75" s="13" t="s">
        <v>67</v>
      </c>
      <c r="C75" s="15" t="s">
        <v>28</v>
      </c>
      <c r="D75" s="13" t="s">
        <v>61</v>
      </c>
      <c r="E75" s="17">
        <v>1</v>
      </c>
      <c r="F75" s="61">
        <f>E75</f>
        <v>1</v>
      </c>
      <c r="G75" s="12">
        <v>1118.72</v>
      </c>
      <c r="H75" s="75">
        <f t="shared" si="15"/>
        <v>1.1187199999999999</v>
      </c>
      <c r="I75" s="12">
        <v>0</v>
      </c>
      <c r="J75" s="22"/>
      <c r="L75" s="18"/>
      <c r="M75" s="19"/>
      <c r="N75" s="20"/>
    </row>
    <row r="76" spans="1:14" ht="21.75" hidden="1" customHeight="1">
      <c r="A76" s="26"/>
      <c r="B76" s="50" t="s">
        <v>150</v>
      </c>
      <c r="C76" s="54" t="s">
        <v>94</v>
      </c>
      <c r="D76" s="13" t="s">
        <v>61</v>
      </c>
      <c r="E76" s="17">
        <v>1</v>
      </c>
      <c r="F76" s="61">
        <f>E76</f>
        <v>1</v>
      </c>
      <c r="G76" s="12">
        <v>1605.83</v>
      </c>
      <c r="H76" s="75">
        <f t="shared" si="15"/>
        <v>1.6058299999999999</v>
      </c>
      <c r="I76" s="12">
        <v>0</v>
      </c>
      <c r="J76" s="22"/>
      <c r="L76" s="18"/>
      <c r="M76" s="19"/>
      <c r="N76" s="20"/>
    </row>
    <row r="77" spans="1:14" ht="32.25" customHeight="1">
      <c r="A77" s="26">
        <v>13</v>
      </c>
      <c r="B77" s="50" t="s">
        <v>151</v>
      </c>
      <c r="C77" s="54" t="s">
        <v>94</v>
      </c>
      <c r="D77" s="13"/>
      <c r="E77" s="17">
        <v>2</v>
      </c>
      <c r="F77" s="61">
        <f>E77*12</f>
        <v>24</v>
      </c>
      <c r="G77" s="12">
        <v>53.42</v>
      </c>
      <c r="H77" s="75">
        <f t="shared" si="15"/>
        <v>1.2820799999999999</v>
      </c>
      <c r="I77" s="12">
        <f>G77*2</f>
        <v>106.84</v>
      </c>
      <c r="J77" s="22"/>
      <c r="L77" s="18"/>
      <c r="M77" s="19"/>
      <c r="N77" s="20"/>
    </row>
    <row r="78" spans="1:14" ht="18" hidden="1" customHeight="1">
      <c r="A78" s="26"/>
      <c r="B78" s="77" t="s">
        <v>69</v>
      </c>
      <c r="C78" s="15"/>
      <c r="D78" s="13"/>
      <c r="E78" s="17"/>
      <c r="F78" s="12"/>
      <c r="G78" s="12" t="s">
        <v>102</v>
      </c>
      <c r="H78" s="75" t="s">
        <v>102</v>
      </c>
      <c r="I78" s="12"/>
      <c r="J78" s="22"/>
      <c r="L78" s="18"/>
      <c r="M78" s="19"/>
      <c r="N78" s="20"/>
    </row>
    <row r="79" spans="1:14" ht="20.25" hidden="1" customHeight="1">
      <c r="A79" s="26"/>
      <c r="B79" s="45" t="s">
        <v>101</v>
      </c>
      <c r="C79" s="15" t="s">
        <v>70</v>
      </c>
      <c r="D79" s="13"/>
      <c r="E79" s="17"/>
      <c r="F79" s="12">
        <v>1</v>
      </c>
      <c r="G79" s="12">
        <v>3370.89</v>
      </c>
      <c r="H79" s="75">
        <f t="shared" ref="H79" si="16">SUM(F79*G79/1000)</f>
        <v>3.3708899999999997</v>
      </c>
      <c r="I79" s="12">
        <v>0</v>
      </c>
      <c r="J79" s="22"/>
      <c r="L79" s="18"/>
      <c r="M79" s="19"/>
      <c r="N79" s="20"/>
    </row>
    <row r="80" spans="1:14" ht="21" hidden="1" customHeight="1">
      <c r="A80" s="26"/>
      <c r="B80" s="55" t="s">
        <v>99</v>
      </c>
      <c r="C80" s="77"/>
      <c r="D80" s="27"/>
      <c r="E80" s="30"/>
      <c r="F80" s="66"/>
      <c r="G80" s="66"/>
      <c r="H80" s="78">
        <f>SUM(H57:H79)</f>
        <v>227.14633412000001</v>
      </c>
      <c r="I80" s="66"/>
      <c r="J80" s="22"/>
      <c r="L80" s="18"/>
      <c r="M80" s="19"/>
      <c r="N80" s="20"/>
    </row>
    <row r="81" spans="1:14" ht="18.75" hidden="1" customHeight="1">
      <c r="A81" s="105">
        <v>15</v>
      </c>
      <c r="B81" s="53" t="s">
        <v>100</v>
      </c>
      <c r="C81" s="110"/>
      <c r="D81" s="111"/>
      <c r="E81" s="111"/>
      <c r="F81" s="112">
        <v>1</v>
      </c>
      <c r="G81" s="112">
        <v>23195</v>
      </c>
      <c r="H81" s="113">
        <f>G81*F81/1000</f>
        <v>23.195</v>
      </c>
      <c r="I81" s="80">
        <f>G81</f>
        <v>23195</v>
      </c>
      <c r="J81" s="22"/>
      <c r="L81" s="18"/>
      <c r="M81" s="19"/>
      <c r="N81" s="20"/>
    </row>
    <row r="82" spans="1:14" ht="17.25" hidden="1" customHeight="1">
      <c r="A82" s="49"/>
      <c r="B82" s="114" t="s">
        <v>152</v>
      </c>
      <c r="C82" s="15"/>
      <c r="D82" s="13"/>
      <c r="E82" s="13"/>
      <c r="F82" s="12">
        <v>69</v>
      </c>
      <c r="G82" s="12">
        <v>700</v>
      </c>
      <c r="H82" s="75">
        <f>G82*F82/1000</f>
        <v>48.3</v>
      </c>
      <c r="I82" s="115">
        <v>0</v>
      </c>
      <c r="J82" s="22"/>
      <c r="L82" s="18"/>
      <c r="M82" s="19"/>
      <c r="N82" s="20"/>
    </row>
    <row r="83" spans="1:14" ht="15.75" customHeight="1">
      <c r="A83" s="168" t="s">
        <v>129</v>
      </c>
      <c r="B83" s="176"/>
      <c r="C83" s="176"/>
      <c r="D83" s="176"/>
      <c r="E83" s="176"/>
      <c r="F83" s="176"/>
      <c r="G83" s="176"/>
      <c r="H83" s="176"/>
      <c r="I83" s="177"/>
      <c r="J83" s="22"/>
      <c r="L83" s="18"/>
      <c r="M83" s="19"/>
      <c r="N83" s="20"/>
    </row>
    <row r="84" spans="1:14" ht="15.75" customHeight="1">
      <c r="A84" s="100">
        <v>14</v>
      </c>
      <c r="B84" s="32" t="s">
        <v>116</v>
      </c>
      <c r="C84" s="37" t="s">
        <v>52</v>
      </c>
      <c r="D84" s="79"/>
      <c r="E84" s="34">
        <v>3181</v>
      </c>
      <c r="F84" s="34">
        <f>SUM(E84*12)</f>
        <v>38172</v>
      </c>
      <c r="G84" s="34">
        <v>3.1</v>
      </c>
      <c r="H84" s="106">
        <f>SUM(F84*G84/1000)</f>
        <v>118.33319999999999</v>
      </c>
      <c r="I84" s="101">
        <f>F84/12*G84</f>
        <v>9861.1</v>
      </c>
      <c r="J84" s="22"/>
      <c r="L84" s="18"/>
      <c r="M84" s="19"/>
      <c r="N84" s="20"/>
    </row>
    <row r="85" spans="1:14" ht="31.5" customHeight="1">
      <c r="A85" s="26">
        <v>15</v>
      </c>
      <c r="B85" s="13" t="s">
        <v>71</v>
      </c>
      <c r="C85" s="15"/>
      <c r="D85" s="79"/>
      <c r="E85" s="60">
        <v>3181</v>
      </c>
      <c r="F85" s="12">
        <f>E85*12</f>
        <v>38172</v>
      </c>
      <c r="G85" s="12">
        <v>3.5</v>
      </c>
      <c r="H85" s="75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49"/>
      <c r="B86" s="38" t="s">
        <v>74</v>
      </c>
      <c r="C86" s="15"/>
      <c r="D86" s="45"/>
      <c r="E86" s="12"/>
      <c r="F86" s="12"/>
      <c r="G86" s="12"/>
      <c r="H86" s="75">
        <f>H85</f>
        <v>133.602</v>
      </c>
      <c r="I86" s="66">
        <f>I85+I84+I77+I70+I62+I43+I42+I41+I40+I38+I37+I26+I18+I17+I16</f>
        <v>49582.86195333334</v>
      </c>
      <c r="J86" s="22"/>
      <c r="L86" s="18"/>
      <c r="M86" s="19"/>
      <c r="N86" s="20"/>
    </row>
    <row r="87" spans="1:14" ht="15.75" customHeight="1">
      <c r="A87" s="178" t="s">
        <v>57</v>
      </c>
      <c r="B87" s="179"/>
      <c r="C87" s="179"/>
      <c r="D87" s="179"/>
      <c r="E87" s="179"/>
      <c r="F87" s="179"/>
      <c r="G87" s="179"/>
      <c r="H87" s="179"/>
      <c r="I87" s="180"/>
      <c r="J87" s="22"/>
      <c r="L87" s="18"/>
      <c r="M87" s="19"/>
      <c r="N87" s="20"/>
    </row>
    <row r="88" spans="1:14" ht="15.75" customHeight="1">
      <c r="A88" s="26">
        <v>16</v>
      </c>
      <c r="B88" s="70" t="s">
        <v>156</v>
      </c>
      <c r="C88" s="69" t="s">
        <v>157</v>
      </c>
      <c r="D88" s="70"/>
      <c r="E88" s="71"/>
      <c r="F88" s="74">
        <v>96</v>
      </c>
      <c r="G88" s="56">
        <v>1.4</v>
      </c>
      <c r="H88" s="72">
        <f>F88*G88/1000</f>
        <v>0.13439999999999996</v>
      </c>
      <c r="I88" s="12">
        <f>G88*48</f>
        <v>67.199999999999989</v>
      </c>
      <c r="J88" s="22"/>
      <c r="L88" s="18"/>
      <c r="M88" s="19"/>
      <c r="N88" s="20"/>
    </row>
    <row r="89" spans="1:14" ht="32.25" customHeight="1">
      <c r="A89" s="26">
        <v>17</v>
      </c>
      <c r="B89" s="122" t="s">
        <v>167</v>
      </c>
      <c r="C89" s="123" t="s">
        <v>93</v>
      </c>
      <c r="D89" s="13"/>
      <c r="E89" s="17"/>
      <c r="F89" s="12">
        <v>1</v>
      </c>
      <c r="G89" s="136">
        <v>19757.060000000001</v>
      </c>
      <c r="H89" s="75">
        <f>G89*F89/1000</f>
        <v>19.757060000000003</v>
      </c>
      <c r="I89" s="80">
        <f>G89*0.599*10/1000</f>
        <v>118.34478940000001</v>
      </c>
      <c r="J89" s="22"/>
      <c r="L89" s="18"/>
      <c r="M89" s="19"/>
      <c r="N89" s="20"/>
    </row>
    <row r="90" spans="1:14" ht="18" customHeight="1">
      <c r="A90" s="26">
        <v>18</v>
      </c>
      <c r="B90" s="122" t="s">
        <v>75</v>
      </c>
      <c r="C90" s="123" t="s">
        <v>94</v>
      </c>
      <c r="D90" s="36"/>
      <c r="E90" s="16"/>
      <c r="F90" s="34">
        <v>3</v>
      </c>
      <c r="G90" s="136">
        <v>207.55</v>
      </c>
      <c r="H90" s="106">
        <f>G90*F90/1000</f>
        <v>0.62265000000000004</v>
      </c>
      <c r="I90" s="80">
        <f>G90*1</f>
        <v>207.55</v>
      </c>
      <c r="J90" s="22"/>
      <c r="L90" s="18"/>
      <c r="M90" s="19"/>
      <c r="N90" s="20"/>
    </row>
    <row r="91" spans="1:14" ht="31.5" customHeight="1">
      <c r="A91" s="26">
        <v>19</v>
      </c>
      <c r="B91" s="122" t="s">
        <v>168</v>
      </c>
      <c r="C91" s="123" t="s">
        <v>94</v>
      </c>
      <c r="D91" s="36"/>
      <c r="E91" s="16"/>
      <c r="F91" s="34"/>
      <c r="G91" s="34">
        <v>26095.37</v>
      </c>
      <c r="H91" s="106"/>
      <c r="I91" s="80">
        <f>G91*0.01</f>
        <v>260.95369999999997</v>
      </c>
      <c r="J91" s="22"/>
      <c r="L91" s="18"/>
      <c r="M91" s="19"/>
      <c r="N91" s="20"/>
    </row>
    <row r="92" spans="1:14" ht="28.5" customHeight="1">
      <c r="A92" s="26">
        <v>20</v>
      </c>
      <c r="B92" s="122" t="s">
        <v>247</v>
      </c>
      <c r="C92" s="123" t="s">
        <v>174</v>
      </c>
      <c r="D92" s="140" t="s">
        <v>265</v>
      </c>
      <c r="E92" s="16"/>
      <c r="F92" s="34"/>
      <c r="G92" s="34">
        <v>1465</v>
      </c>
      <c r="H92" s="106"/>
      <c r="I92" s="80">
        <f>G92*1</f>
        <v>1465</v>
      </c>
      <c r="J92" s="22"/>
      <c r="L92" s="18"/>
      <c r="M92" s="19"/>
      <c r="N92" s="20"/>
    </row>
    <row r="93" spans="1:14" ht="18.75" customHeight="1">
      <c r="A93" s="26">
        <v>21</v>
      </c>
      <c r="B93" s="122" t="s">
        <v>261</v>
      </c>
      <c r="C93" s="123" t="s">
        <v>262</v>
      </c>
      <c r="D93" s="140" t="s">
        <v>267</v>
      </c>
      <c r="E93" s="16"/>
      <c r="F93" s="34"/>
      <c r="G93" s="34">
        <v>225.75</v>
      </c>
      <c r="H93" s="106"/>
      <c r="I93" s="80">
        <f>G93*1</f>
        <v>225.75</v>
      </c>
      <c r="J93" s="22"/>
      <c r="L93" s="18"/>
      <c r="M93" s="19"/>
      <c r="N93" s="20"/>
    </row>
    <row r="94" spans="1:14" ht="16.5" customHeight="1">
      <c r="A94" s="26">
        <v>22</v>
      </c>
      <c r="B94" s="122" t="s">
        <v>263</v>
      </c>
      <c r="C94" s="123" t="s">
        <v>264</v>
      </c>
      <c r="D94" s="140" t="s">
        <v>266</v>
      </c>
      <c r="E94" s="16"/>
      <c r="F94" s="34"/>
      <c r="G94" s="34">
        <v>214.07</v>
      </c>
      <c r="H94" s="106"/>
      <c r="I94" s="80">
        <f>G94*1</f>
        <v>214.07</v>
      </c>
      <c r="J94" s="22"/>
      <c r="L94" s="18"/>
      <c r="M94" s="19"/>
      <c r="N94" s="20"/>
    </row>
    <row r="95" spans="1:14" ht="15.75" customHeight="1">
      <c r="A95" s="26"/>
      <c r="B95" s="27" t="s">
        <v>49</v>
      </c>
      <c r="C95" s="40"/>
      <c r="D95" s="46"/>
      <c r="E95" s="40">
        <v>1</v>
      </c>
      <c r="F95" s="40"/>
      <c r="G95" s="40"/>
      <c r="H95" s="40"/>
      <c r="I95" s="30">
        <f>SUM(I88:I94)</f>
        <v>2558.8684894000003</v>
      </c>
      <c r="J95" s="22"/>
      <c r="L95" s="18"/>
      <c r="M95" s="19"/>
      <c r="N95" s="20"/>
    </row>
    <row r="96" spans="1:14" ht="15.75" customHeight="1">
      <c r="A96" s="26"/>
      <c r="B96" s="45" t="s">
        <v>72</v>
      </c>
      <c r="C96" s="14"/>
      <c r="D96" s="14"/>
      <c r="E96" s="41"/>
      <c r="F96" s="41"/>
      <c r="G96" s="42"/>
      <c r="H96" s="42"/>
      <c r="I96" s="16">
        <v>0</v>
      </c>
      <c r="J96" s="22"/>
      <c r="L96" s="18"/>
      <c r="M96" s="19"/>
      <c r="N96" s="20"/>
    </row>
    <row r="97" spans="1:22" ht="15.75" customHeight="1">
      <c r="A97" s="47"/>
      <c r="B97" s="44" t="s">
        <v>142</v>
      </c>
      <c r="C97" s="33"/>
      <c r="D97" s="33"/>
      <c r="E97" s="33"/>
      <c r="F97" s="33"/>
      <c r="G97" s="33"/>
      <c r="H97" s="33"/>
      <c r="I97" s="43">
        <f>I86+I95</f>
        <v>52141.730442733344</v>
      </c>
      <c r="J97" s="22"/>
      <c r="L97" s="18"/>
      <c r="M97" s="19"/>
      <c r="N97" s="20"/>
    </row>
    <row r="98" spans="1:22" ht="15.75" customHeight="1">
      <c r="A98" s="167" t="s">
        <v>268</v>
      </c>
      <c r="B98" s="167"/>
      <c r="C98" s="167"/>
      <c r="D98" s="167"/>
      <c r="E98" s="167"/>
      <c r="F98" s="167"/>
      <c r="G98" s="167"/>
      <c r="H98" s="167"/>
      <c r="I98" s="167"/>
      <c r="J98" s="22"/>
      <c r="L98" s="18"/>
      <c r="M98" s="19"/>
      <c r="N98" s="20"/>
    </row>
    <row r="99" spans="1:22" ht="15.75" customHeight="1">
      <c r="A99" s="8"/>
      <c r="B99" s="181" t="s">
        <v>269</v>
      </c>
      <c r="C99" s="181"/>
      <c r="D99" s="181"/>
      <c r="E99" s="181"/>
      <c r="F99" s="181"/>
      <c r="G99" s="181"/>
      <c r="H99" s="93"/>
      <c r="I99" s="3"/>
      <c r="J99" s="22"/>
      <c r="L99" s="18"/>
      <c r="M99" s="19"/>
      <c r="N99" s="20"/>
    </row>
    <row r="100" spans="1:22" ht="15.75" customHeight="1">
      <c r="A100" s="91"/>
      <c r="B100" s="182" t="s">
        <v>5</v>
      </c>
      <c r="C100" s="182"/>
      <c r="D100" s="182"/>
      <c r="E100" s="182"/>
      <c r="F100" s="182"/>
      <c r="G100" s="182"/>
      <c r="H100" s="23"/>
      <c r="I100" s="5"/>
      <c r="J100" s="22"/>
      <c r="K100" s="22"/>
      <c r="L100" s="22"/>
      <c r="M100" s="19"/>
      <c r="N100" s="20"/>
    </row>
    <row r="101" spans="1:22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22"/>
      <c r="K101" s="22"/>
      <c r="L101" s="22"/>
      <c r="M101" s="19"/>
      <c r="N101" s="20"/>
    </row>
    <row r="102" spans="1:22" ht="15.75" customHeight="1">
      <c r="A102" s="183" t="s">
        <v>6</v>
      </c>
      <c r="B102" s="183"/>
      <c r="C102" s="183"/>
      <c r="D102" s="183"/>
      <c r="E102" s="183"/>
      <c r="F102" s="183"/>
      <c r="G102" s="183"/>
      <c r="H102" s="183"/>
      <c r="I102" s="183"/>
      <c r="J102" s="22"/>
      <c r="K102" s="22"/>
      <c r="L102" s="22"/>
    </row>
    <row r="103" spans="1:22" ht="15.75" customHeight="1">
      <c r="A103" s="183" t="s">
        <v>7</v>
      </c>
      <c r="B103" s="183"/>
      <c r="C103" s="183"/>
      <c r="D103" s="183"/>
      <c r="E103" s="183"/>
      <c r="F103" s="183"/>
      <c r="G103" s="183"/>
      <c r="H103" s="183"/>
      <c r="I103" s="183"/>
      <c r="J103" s="22"/>
      <c r="K103" s="22"/>
      <c r="L103" s="22"/>
    </row>
    <row r="104" spans="1:22" ht="15.75" customHeight="1">
      <c r="A104" s="167" t="s">
        <v>8</v>
      </c>
      <c r="B104" s="167"/>
      <c r="C104" s="167"/>
      <c r="D104" s="167"/>
      <c r="E104" s="167"/>
      <c r="F104" s="167"/>
      <c r="G104" s="167"/>
      <c r="H104" s="167"/>
      <c r="I104" s="167"/>
    </row>
    <row r="105" spans="1:22" ht="15.75" customHeight="1">
      <c r="A105" s="10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7"/>
    </row>
    <row r="106" spans="1:22" ht="15.75" customHeight="1">
      <c r="A106" s="185" t="s">
        <v>9</v>
      </c>
      <c r="B106" s="185"/>
      <c r="C106" s="185"/>
      <c r="D106" s="185"/>
      <c r="E106" s="185"/>
      <c r="F106" s="185"/>
      <c r="G106" s="185"/>
      <c r="H106" s="185"/>
      <c r="I106" s="185"/>
      <c r="J106" s="24"/>
      <c r="K106" s="24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2" ht="15.75" customHeight="1">
      <c r="A107" s="4"/>
      <c r="J107" s="3"/>
      <c r="K107" s="3"/>
      <c r="L107" s="3"/>
      <c r="M107" s="3"/>
      <c r="N107" s="3"/>
      <c r="O107" s="3"/>
      <c r="P107" s="3"/>
      <c r="Q107" s="3"/>
      <c r="S107" s="3"/>
      <c r="T107" s="3"/>
      <c r="U107" s="3"/>
    </row>
    <row r="108" spans="1:22" ht="15.75" customHeight="1">
      <c r="A108" s="167" t="s">
        <v>10</v>
      </c>
      <c r="B108" s="167"/>
      <c r="C108" s="186" t="s">
        <v>79</v>
      </c>
      <c r="D108" s="186"/>
      <c r="E108" s="186"/>
      <c r="F108" s="57"/>
      <c r="I108" s="92"/>
      <c r="J108" s="5"/>
      <c r="K108" s="5"/>
      <c r="L108" s="5"/>
      <c r="M108" s="5"/>
      <c r="N108" s="5"/>
      <c r="O108" s="5"/>
      <c r="P108" s="5"/>
      <c r="Q108" s="5"/>
      <c r="R108" s="187"/>
      <c r="S108" s="187"/>
      <c r="T108" s="187"/>
      <c r="U108" s="187"/>
    </row>
    <row r="109" spans="1:22" ht="15.75" customHeight="1">
      <c r="A109" s="91"/>
      <c r="C109" s="182" t="s">
        <v>11</v>
      </c>
      <c r="D109" s="182"/>
      <c r="E109" s="182"/>
      <c r="F109" s="23"/>
      <c r="I109" s="89" t="s">
        <v>12</v>
      </c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2" ht="15.75" customHeight="1">
      <c r="A110" s="24"/>
      <c r="C110" s="11"/>
      <c r="D110" s="11"/>
      <c r="G110" s="11"/>
      <c r="H110" s="11"/>
    </row>
    <row r="111" spans="1:22" ht="15.75" customHeight="1">
      <c r="A111" s="167" t="s">
        <v>13</v>
      </c>
      <c r="B111" s="167"/>
      <c r="C111" s="188"/>
      <c r="D111" s="188"/>
      <c r="E111" s="188"/>
      <c r="F111" s="58"/>
      <c r="I111" s="92"/>
    </row>
    <row r="112" spans="1:22" ht="15.75" customHeight="1">
      <c r="A112" s="91"/>
      <c r="C112" s="187" t="s">
        <v>11</v>
      </c>
      <c r="D112" s="187"/>
      <c r="E112" s="187"/>
      <c r="F112" s="91"/>
      <c r="I112" s="89" t="s">
        <v>12</v>
      </c>
    </row>
    <row r="113" spans="1:9" ht="15.75" customHeight="1">
      <c r="A113" s="4" t="s">
        <v>14</v>
      </c>
    </row>
    <row r="114" spans="1:9" ht="15" customHeight="1">
      <c r="A114" s="189" t="s">
        <v>15</v>
      </c>
      <c r="B114" s="189"/>
      <c r="C114" s="189"/>
      <c r="D114" s="189"/>
      <c r="E114" s="189"/>
      <c r="F114" s="189"/>
      <c r="G114" s="189"/>
      <c r="H114" s="189"/>
      <c r="I114" s="189"/>
    </row>
    <row r="115" spans="1:9" ht="45" customHeight="1">
      <c r="A115" s="184" t="s">
        <v>16</v>
      </c>
      <c r="B115" s="184"/>
      <c r="C115" s="184"/>
      <c r="D115" s="184"/>
      <c r="E115" s="184"/>
      <c r="F115" s="184"/>
      <c r="G115" s="184"/>
      <c r="H115" s="184"/>
      <c r="I115" s="184"/>
    </row>
    <row r="116" spans="1:9" ht="30" customHeight="1">
      <c r="A116" s="184" t="s">
        <v>17</v>
      </c>
      <c r="B116" s="184"/>
      <c r="C116" s="184"/>
      <c r="D116" s="184"/>
      <c r="E116" s="184"/>
      <c r="F116" s="184"/>
      <c r="G116" s="184"/>
      <c r="H116" s="184"/>
      <c r="I116" s="184"/>
    </row>
    <row r="117" spans="1:9" ht="30" customHeight="1">
      <c r="A117" s="184" t="s">
        <v>21</v>
      </c>
      <c r="B117" s="184"/>
      <c r="C117" s="184"/>
      <c r="D117" s="184"/>
      <c r="E117" s="184"/>
      <c r="F117" s="184"/>
      <c r="G117" s="184"/>
      <c r="H117" s="184"/>
      <c r="I117" s="184"/>
    </row>
    <row r="118" spans="1:9" ht="15" customHeight="1">
      <c r="A118" s="184" t="s">
        <v>20</v>
      </c>
      <c r="B118" s="184"/>
      <c r="C118" s="184"/>
      <c r="D118" s="184"/>
      <c r="E118" s="184"/>
      <c r="F118" s="184"/>
      <c r="G118" s="184"/>
      <c r="H118" s="184"/>
      <c r="I118" s="184"/>
    </row>
  </sheetData>
  <autoFilter ref="I12:I104"/>
  <mergeCells count="31">
    <mergeCell ref="A14:I14"/>
    <mergeCell ref="A3:I3"/>
    <mergeCell ref="A4:I4"/>
    <mergeCell ref="A5:I5"/>
    <mergeCell ref="A8:I8"/>
    <mergeCell ref="A10:I10"/>
    <mergeCell ref="A104:I104"/>
    <mergeCell ref="A15:I15"/>
    <mergeCell ref="A28:I28"/>
    <mergeCell ref="A44:I44"/>
    <mergeCell ref="A55:I55"/>
    <mergeCell ref="A83:I83"/>
    <mergeCell ref="A87:I87"/>
    <mergeCell ref="A98:I98"/>
    <mergeCell ref="B99:G99"/>
    <mergeCell ref="B100:G100"/>
    <mergeCell ref="A102:I102"/>
    <mergeCell ref="A103:I103"/>
    <mergeCell ref="A118:I118"/>
    <mergeCell ref="A106:I106"/>
    <mergeCell ref="A108:B108"/>
    <mergeCell ref="C108:E108"/>
    <mergeCell ref="R108:U108"/>
    <mergeCell ref="C109:E109"/>
    <mergeCell ref="A111:B111"/>
    <mergeCell ref="C111:E111"/>
    <mergeCell ref="C112:E112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6"/>
  <sheetViews>
    <sheetView tabSelected="1" topLeftCell="A38" workbookViewId="0">
      <selection activeCell="I99" sqref="I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7" t="s">
        <v>161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62" t="s">
        <v>154</v>
      </c>
      <c r="B3" s="162"/>
      <c r="C3" s="162"/>
      <c r="D3" s="162"/>
      <c r="E3" s="162"/>
      <c r="F3" s="162"/>
      <c r="G3" s="162"/>
      <c r="H3" s="162"/>
      <c r="I3" s="162"/>
      <c r="J3" s="2"/>
      <c r="K3" s="2"/>
      <c r="L3" s="2"/>
      <c r="M3" s="2"/>
    </row>
    <row r="4" spans="1:15" s="25" customFormat="1" ht="31.5" customHeight="1">
      <c r="A4" s="163" t="s">
        <v>82</v>
      </c>
      <c r="B4" s="163"/>
      <c r="C4" s="163"/>
      <c r="D4" s="163"/>
      <c r="E4" s="163"/>
      <c r="F4" s="163"/>
      <c r="G4" s="163"/>
      <c r="H4" s="163"/>
      <c r="I4" s="163"/>
      <c r="J4" s="3"/>
      <c r="K4" s="3"/>
      <c r="L4" s="3"/>
    </row>
    <row r="5" spans="1:15" s="25" customFormat="1" ht="15.75" customHeight="1">
      <c r="A5" s="162" t="s">
        <v>270</v>
      </c>
      <c r="B5" s="164"/>
      <c r="C5" s="164"/>
      <c r="D5" s="164"/>
      <c r="E5" s="164"/>
      <c r="F5" s="164"/>
      <c r="G5" s="164"/>
      <c r="H5" s="164"/>
      <c r="I5" s="164"/>
    </row>
    <row r="6" spans="1:15" s="25" customFormat="1" ht="15.75">
      <c r="A6" s="2"/>
      <c r="B6" s="94"/>
      <c r="C6" s="94"/>
      <c r="D6" s="94"/>
      <c r="E6" s="94"/>
      <c r="F6" s="94"/>
      <c r="G6" s="94"/>
      <c r="H6" s="94"/>
      <c r="I6" s="29">
        <v>43830</v>
      </c>
      <c r="J6" s="2"/>
      <c r="K6" s="2"/>
      <c r="L6" s="2"/>
      <c r="M6" s="2"/>
    </row>
    <row r="7" spans="1:15" ht="15.75">
      <c r="B7" s="90"/>
      <c r="C7" s="90"/>
      <c r="D7" s="90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65" t="s">
        <v>162</v>
      </c>
      <c r="B8" s="165"/>
      <c r="C8" s="165"/>
      <c r="D8" s="165"/>
      <c r="E8" s="165"/>
      <c r="F8" s="165"/>
      <c r="G8" s="165"/>
      <c r="H8" s="165"/>
      <c r="I8" s="16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66" t="s">
        <v>155</v>
      </c>
      <c r="B10" s="166"/>
      <c r="C10" s="166"/>
      <c r="D10" s="166"/>
      <c r="E10" s="166"/>
      <c r="F10" s="166"/>
      <c r="G10" s="166"/>
      <c r="H10" s="166"/>
      <c r="I10" s="166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132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59" t="s">
        <v>133</v>
      </c>
      <c r="B14" s="160"/>
      <c r="C14" s="160"/>
      <c r="D14" s="160"/>
      <c r="E14" s="160"/>
      <c r="F14" s="160"/>
      <c r="G14" s="160"/>
      <c r="H14" s="160"/>
      <c r="I14" s="160"/>
      <c r="J14" s="99"/>
      <c r="K14" s="99"/>
      <c r="L14" s="6"/>
      <c r="M14" s="6"/>
      <c r="N14" s="6"/>
      <c r="O14" s="6"/>
    </row>
    <row r="15" spans="1:15" ht="15.75" customHeight="1">
      <c r="A15" s="168" t="s">
        <v>3</v>
      </c>
      <c r="B15" s="169"/>
      <c r="C15" s="169"/>
      <c r="D15" s="169"/>
      <c r="E15" s="169"/>
      <c r="F15" s="169"/>
      <c r="G15" s="169"/>
      <c r="H15" s="169"/>
      <c r="I15" s="170"/>
      <c r="J15" s="6"/>
      <c r="K15" s="6"/>
      <c r="L15" s="6"/>
      <c r="M15" s="6"/>
    </row>
    <row r="16" spans="1:15" ht="15.75" customHeight="1">
      <c r="A16" s="26">
        <v>1</v>
      </c>
      <c r="B16" s="51" t="s">
        <v>77</v>
      </c>
      <c r="C16" s="59" t="s">
        <v>83</v>
      </c>
      <c r="D16" s="51" t="s">
        <v>203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6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80</v>
      </c>
      <c r="C17" s="59" t="s">
        <v>83</v>
      </c>
      <c r="D17" s="51" t="s">
        <v>204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81</v>
      </c>
      <c r="C18" s="59" t="s">
        <v>83</v>
      </c>
      <c r="D18" s="51" t="s">
        <v>205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84</v>
      </c>
      <c r="C19" s="59" t="s">
        <v>85</v>
      </c>
      <c r="D19" s="51" t="s">
        <v>86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1" t="s">
        <v>87</v>
      </c>
      <c r="C20" s="59" t="s">
        <v>83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1" t="s">
        <v>88</v>
      </c>
      <c r="C21" s="59" t="s">
        <v>83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89</v>
      </c>
      <c r="C22" s="59" t="s">
        <v>50</v>
      </c>
      <c r="D22" s="51" t="s">
        <v>86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90</v>
      </c>
      <c r="C23" s="59" t="s">
        <v>50</v>
      </c>
      <c r="D23" s="51" t="s">
        <v>86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91</v>
      </c>
      <c r="C24" s="59" t="s">
        <v>50</v>
      </c>
      <c r="D24" s="52" t="s">
        <v>86</v>
      </c>
      <c r="E24" s="17">
        <v>15</v>
      </c>
      <c r="F24" s="64">
        <f t="shared" si="2"/>
        <v>0.15</v>
      </c>
      <c r="G24" s="61">
        <v>511.12</v>
      </c>
      <c r="H24" s="62">
        <f t="shared" si="0"/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92</v>
      </c>
      <c r="C25" s="59" t="s">
        <v>50</v>
      </c>
      <c r="D25" s="51" t="s">
        <v>86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202</v>
      </c>
      <c r="C26" s="39" t="s">
        <v>157</v>
      </c>
      <c r="D26" s="32" t="s">
        <v>206</v>
      </c>
      <c r="E26" s="157">
        <v>4.5999999999999996</v>
      </c>
      <c r="F26" s="31">
        <f>E26*258</f>
        <v>1186.8</v>
      </c>
      <c r="G26" s="31">
        <v>10.39</v>
      </c>
      <c r="H26" s="62">
        <f t="shared" si="0"/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hidden="1" customHeight="1">
      <c r="A27" s="26">
        <v>5</v>
      </c>
      <c r="B27" s="68" t="s">
        <v>23</v>
      </c>
      <c r="C27" s="59" t="s">
        <v>24</v>
      </c>
      <c r="D27" s="51"/>
      <c r="E27" s="60">
        <v>3181</v>
      </c>
      <c r="F27" s="61">
        <f>SUM(E27*12)</f>
        <v>38172</v>
      </c>
      <c r="G27" s="61">
        <v>2.67</v>
      </c>
      <c r="H27" s="62">
        <f t="shared" ref="H27" si="4">SUM(F27*G27/1000)</f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68" t="s">
        <v>134</v>
      </c>
      <c r="B28" s="169"/>
      <c r="C28" s="169"/>
      <c r="D28" s="169"/>
      <c r="E28" s="169"/>
      <c r="F28" s="169"/>
      <c r="G28" s="169"/>
      <c r="H28" s="169"/>
      <c r="I28" s="170"/>
      <c r="J28" s="21"/>
      <c r="K28" s="6"/>
      <c r="L28" s="6"/>
      <c r="M28" s="6"/>
    </row>
    <row r="29" spans="1:13" ht="15.75" hidden="1" customHeight="1">
      <c r="A29" s="102"/>
      <c r="B29" s="55" t="s">
        <v>135</v>
      </c>
      <c r="C29" s="103"/>
      <c r="D29" s="103"/>
      <c r="E29" s="103"/>
      <c r="F29" s="103"/>
      <c r="G29" s="103"/>
      <c r="H29" s="103"/>
      <c r="I29" s="103"/>
      <c r="J29" s="21"/>
      <c r="K29" s="6"/>
      <c r="L29" s="6"/>
      <c r="M29" s="6"/>
    </row>
    <row r="30" spans="1:13" ht="15.75" hidden="1" customHeight="1">
      <c r="A30" s="100">
        <v>6</v>
      </c>
      <c r="B30" s="51" t="s">
        <v>136</v>
      </c>
      <c r="C30" s="59" t="s">
        <v>93</v>
      </c>
      <c r="D30" s="51" t="s">
        <v>139</v>
      </c>
      <c r="E30" s="61">
        <v>210.2</v>
      </c>
      <c r="F30" s="61">
        <f>SUM(E30*52/1000)</f>
        <v>10.930399999999999</v>
      </c>
      <c r="G30" s="61">
        <v>204.44</v>
      </c>
      <c r="H30" s="62">
        <f t="shared" ref="H30:H35" si="5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hidden="1" customHeight="1">
      <c r="A31" s="26">
        <v>7</v>
      </c>
      <c r="B31" s="51" t="s">
        <v>137</v>
      </c>
      <c r="C31" s="59" t="s">
        <v>93</v>
      </c>
      <c r="D31" s="51" t="s">
        <v>140</v>
      </c>
      <c r="E31" s="61">
        <v>92</v>
      </c>
      <c r="F31" s="61">
        <f>SUM(E31*78/1000)</f>
        <v>7.1760000000000002</v>
      </c>
      <c r="G31" s="61">
        <v>339.21</v>
      </c>
      <c r="H31" s="62">
        <f t="shared" si="5"/>
        <v>2.4341709599999999</v>
      </c>
      <c r="I31" s="12">
        <f t="shared" ref="I31:I33" si="6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1" t="s">
        <v>26</v>
      </c>
      <c r="C32" s="59" t="s">
        <v>93</v>
      </c>
      <c r="D32" s="51" t="s">
        <v>51</v>
      </c>
      <c r="E32" s="61">
        <f>E30</f>
        <v>210.2</v>
      </c>
      <c r="F32" s="61">
        <f>SUM(E32/1000)</f>
        <v>0.2102</v>
      </c>
      <c r="G32" s="61">
        <v>3961.23</v>
      </c>
      <c r="H32" s="62">
        <f t="shared" si="5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hidden="1" customHeight="1">
      <c r="A33" s="26">
        <v>8</v>
      </c>
      <c r="B33" s="51" t="s">
        <v>138</v>
      </c>
      <c r="C33" s="59" t="s">
        <v>28</v>
      </c>
      <c r="D33" s="51" t="s">
        <v>59</v>
      </c>
      <c r="E33" s="67">
        <f>1/3</f>
        <v>0.33333333333333331</v>
      </c>
      <c r="F33" s="61">
        <f>155/3</f>
        <v>51.666666666666664</v>
      </c>
      <c r="G33" s="61">
        <v>74.349999999999994</v>
      </c>
      <c r="H33" s="62">
        <f t="shared" si="5"/>
        <v>3.841416666666666</v>
      </c>
      <c r="I33" s="12">
        <f t="shared" si="6"/>
        <v>640.23611111111109</v>
      </c>
      <c r="J33" s="21"/>
      <c r="K33" s="6"/>
      <c r="L33" s="6"/>
      <c r="M33" s="6"/>
    </row>
    <row r="34" spans="1:14" ht="15.75" hidden="1" customHeight="1">
      <c r="A34" s="26"/>
      <c r="B34" s="51" t="s">
        <v>60</v>
      </c>
      <c r="C34" s="59" t="s">
        <v>30</v>
      </c>
      <c r="D34" s="51" t="s">
        <v>61</v>
      </c>
      <c r="E34" s="60"/>
      <c r="F34" s="61">
        <v>1</v>
      </c>
      <c r="G34" s="61">
        <v>250.92</v>
      </c>
      <c r="H34" s="62">
        <f t="shared" si="5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5"/>
      <c r="B35" s="51" t="s">
        <v>104</v>
      </c>
      <c r="C35" s="59" t="s">
        <v>29</v>
      </c>
      <c r="D35" s="51" t="s">
        <v>61</v>
      </c>
      <c r="E35" s="60"/>
      <c r="F35" s="61">
        <v>1</v>
      </c>
      <c r="G35" s="61">
        <v>1490.31</v>
      </c>
      <c r="H35" s="62">
        <f t="shared" si="5"/>
        <v>1.49031</v>
      </c>
      <c r="I35" s="12">
        <v>0</v>
      </c>
      <c r="J35" s="21"/>
      <c r="K35" s="6"/>
      <c r="L35" s="6"/>
      <c r="M35" s="6"/>
    </row>
    <row r="36" spans="1:14" ht="15.75" customHeight="1">
      <c r="A36" s="102"/>
      <c r="B36" s="55" t="s">
        <v>4</v>
      </c>
      <c r="C36" s="104"/>
      <c r="D36" s="104"/>
      <c r="E36" s="104"/>
      <c r="F36" s="104"/>
      <c r="G36" s="104"/>
      <c r="H36" s="104"/>
      <c r="I36" s="104"/>
      <c r="J36" s="21"/>
      <c r="K36" s="6"/>
      <c r="L36" s="6"/>
      <c r="M36" s="6"/>
    </row>
    <row r="37" spans="1:14" ht="15.75" hidden="1" customHeight="1">
      <c r="A37" s="100">
        <v>5</v>
      </c>
      <c r="B37" s="51" t="s">
        <v>25</v>
      </c>
      <c r="C37" s="59" t="s">
        <v>29</v>
      </c>
      <c r="D37" s="51"/>
      <c r="E37" s="60"/>
      <c r="F37" s="61">
        <v>3</v>
      </c>
      <c r="G37" s="61">
        <v>2003</v>
      </c>
      <c r="H37" s="62">
        <f t="shared" ref="H37" si="7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customHeight="1">
      <c r="A38" s="26">
        <v>5</v>
      </c>
      <c r="B38" s="51" t="s">
        <v>143</v>
      </c>
      <c r="C38" s="59" t="s">
        <v>27</v>
      </c>
      <c r="D38" s="51" t="s">
        <v>207</v>
      </c>
      <c r="E38" s="60">
        <v>92</v>
      </c>
      <c r="F38" s="61">
        <f>E38*30/1000</f>
        <v>2.76</v>
      </c>
      <c r="G38" s="61">
        <v>2757.78</v>
      </c>
      <c r="H38" s="62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1" t="s">
        <v>106</v>
      </c>
      <c r="C39" s="59" t="s">
        <v>107</v>
      </c>
      <c r="D39" s="51" t="s">
        <v>61</v>
      </c>
      <c r="E39" s="60"/>
      <c r="F39" s="61">
        <v>52</v>
      </c>
      <c r="G39" s="61">
        <v>239.09</v>
      </c>
      <c r="H39" s="62">
        <f>G39*F39/1000</f>
        <v>12.43268</v>
      </c>
      <c r="I39" s="12">
        <f t="shared" ref="I39:I41" si="8">F39/6*G39</f>
        <v>2072.1133333333332</v>
      </c>
      <c r="J39" s="21"/>
      <c r="K39" s="6"/>
    </row>
    <row r="40" spans="1:14" ht="15.75" customHeight="1">
      <c r="A40" s="26">
        <v>6</v>
      </c>
      <c r="B40" s="51" t="s">
        <v>62</v>
      </c>
      <c r="C40" s="59" t="s">
        <v>27</v>
      </c>
      <c r="D40" s="51" t="s">
        <v>208</v>
      </c>
      <c r="E40" s="61">
        <f>E38</f>
        <v>92</v>
      </c>
      <c r="F40" s="61">
        <f>SUM(E40*155/1000)</f>
        <v>14.26</v>
      </c>
      <c r="G40" s="61">
        <v>460.02</v>
      </c>
      <c r="H40" s="62">
        <f t="shared" ref="H40:H43" si="9">SUM(F40*G40/1000)</f>
        <v>6.5598852000000001</v>
      </c>
      <c r="I40" s="12">
        <f t="shared" si="8"/>
        <v>1093.3141999999998</v>
      </c>
      <c r="J40" s="22"/>
    </row>
    <row r="41" spans="1:14" ht="48" customHeight="1">
      <c r="A41" s="26">
        <v>7</v>
      </c>
      <c r="B41" s="51" t="s">
        <v>76</v>
      </c>
      <c r="C41" s="59" t="s">
        <v>93</v>
      </c>
      <c r="D41" s="51" t="s">
        <v>209</v>
      </c>
      <c r="E41" s="61">
        <v>92</v>
      </c>
      <c r="F41" s="61">
        <f>SUM(E41*35/1000)</f>
        <v>3.22</v>
      </c>
      <c r="G41" s="61">
        <v>7611.16</v>
      </c>
      <c r="H41" s="62">
        <f t="shared" si="9"/>
        <v>24.507935199999999</v>
      </c>
      <c r="I41" s="12">
        <f t="shared" si="8"/>
        <v>4084.655866666667</v>
      </c>
      <c r="J41" s="22"/>
    </row>
    <row r="42" spans="1:14" ht="15.75" customHeight="1">
      <c r="A42" s="26">
        <v>8</v>
      </c>
      <c r="B42" s="51" t="s">
        <v>109</v>
      </c>
      <c r="C42" s="59" t="s">
        <v>93</v>
      </c>
      <c r="D42" s="51" t="s">
        <v>210</v>
      </c>
      <c r="E42" s="61">
        <f>E38</f>
        <v>92</v>
      </c>
      <c r="F42" s="61">
        <f>SUM(E42*20/1000)</f>
        <v>1.84</v>
      </c>
      <c r="G42" s="61">
        <v>562.25</v>
      </c>
      <c r="H42" s="62">
        <f t="shared" si="9"/>
        <v>1.03454</v>
      </c>
      <c r="I42" s="12">
        <f>F42/7.5*G42</f>
        <v>137.93866666666668</v>
      </c>
      <c r="J42" s="22"/>
    </row>
    <row r="43" spans="1:14" ht="15.75" customHeight="1">
      <c r="A43" s="26">
        <v>9</v>
      </c>
      <c r="B43" s="51" t="s">
        <v>63</v>
      </c>
      <c r="C43" s="59" t="s">
        <v>30</v>
      </c>
      <c r="D43" s="51"/>
      <c r="E43" s="60"/>
      <c r="F43" s="61">
        <v>0.8</v>
      </c>
      <c r="G43" s="61">
        <v>992.97</v>
      </c>
      <c r="H43" s="62">
        <f t="shared" si="9"/>
        <v>0.79437600000000008</v>
      </c>
      <c r="I43" s="12">
        <f>F43/7.5*G43</f>
        <v>105.91680000000001</v>
      </c>
      <c r="J43" s="22"/>
    </row>
    <row r="44" spans="1:14" ht="15.75" customHeight="1">
      <c r="A44" s="171" t="s">
        <v>121</v>
      </c>
      <c r="B44" s="172"/>
      <c r="C44" s="172"/>
      <c r="D44" s="172"/>
      <c r="E44" s="172"/>
      <c r="F44" s="172"/>
      <c r="G44" s="172"/>
      <c r="H44" s="172"/>
      <c r="I44" s="173"/>
      <c r="J44" s="22"/>
      <c r="L44" s="18"/>
      <c r="M44" s="19"/>
      <c r="N44" s="20"/>
    </row>
    <row r="45" spans="1:14" ht="15.75" hidden="1" customHeight="1">
      <c r="A45" s="26">
        <v>11</v>
      </c>
      <c r="B45" s="32" t="s">
        <v>110</v>
      </c>
      <c r="C45" s="39" t="s">
        <v>93</v>
      </c>
      <c r="D45" s="32" t="s">
        <v>39</v>
      </c>
      <c r="E45" s="107">
        <v>1114.25</v>
      </c>
      <c r="F45" s="31">
        <f>SUM(E45*2/1000)</f>
        <v>2.2284999999999999</v>
      </c>
      <c r="G45" s="34">
        <v>1193.71</v>
      </c>
      <c r="H45" s="108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12</v>
      </c>
      <c r="B46" s="32" t="s">
        <v>33</v>
      </c>
      <c r="C46" s="39" t="s">
        <v>93</v>
      </c>
      <c r="D46" s="32" t="s">
        <v>39</v>
      </c>
      <c r="E46" s="107">
        <v>2631</v>
      </c>
      <c r="F46" s="31">
        <f>SUM(E46*2/1000)</f>
        <v>5.2619999999999996</v>
      </c>
      <c r="G46" s="34">
        <v>1803.69</v>
      </c>
      <c r="H46" s="108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hidden="1" customHeight="1">
      <c r="A47" s="26">
        <v>13</v>
      </c>
      <c r="B47" s="32" t="s">
        <v>34</v>
      </c>
      <c r="C47" s="39" t="s">
        <v>93</v>
      </c>
      <c r="D47" s="32" t="s">
        <v>39</v>
      </c>
      <c r="E47" s="107">
        <v>1953.8</v>
      </c>
      <c r="F47" s="31">
        <f>SUM(E47*2/1000)</f>
        <v>3.9076</v>
      </c>
      <c r="G47" s="34">
        <v>1243.43</v>
      </c>
      <c r="H47" s="108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hidden="1" customHeight="1">
      <c r="A48" s="26">
        <v>14</v>
      </c>
      <c r="B48" s="32" t="s">
        <v>31</v>
      </c>
      <c r="C48" s="39" t="s">
        <v>32</v>
      </c>
      <c r="D48" s="32" t="s">
        <v>39</v>
      </c>
      <c r="E48" s="107">
        <v>91.84</v>
      </c>
      <c r="F48" s="31">
        <f>SUM(E48*2/100)</f>
        <v>1.8368</v>
      </c>
      <c r="G48" s="109">
        <v>1172.4100000000001</v>
      </c>
      <c r="H48" s="108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customHeight="1">
      <c r="A49" s="26">
        <v>10</v>
      </c>
      <c r="B49" s="32" t="s">
        <v>54</v>
      </c>
      <c r="C49" s="39" t="s">
        <v>93</v>
      </c>
      <c r="D49" s="32" t="s">
        <v>211</v>
      </c>
      <c r="E49" s="107">
        <v>3181</v>
      </c>
      <c r="F49" s="31">
        <f>SUM(E49*5/1000)</f>
        <v>15.904999999999999</v>
      </c>
      <c r="G49" s="34">
        <v>1083.69</v>
      </c>
      <c r="H49" s="108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16</v>
      </c>
      <c r="B50" s="32" t="s">
        <v>111</v>
      </c>
      <c r="C50" s="39" t="s">
        <v>93</v>
      </c>
      <c r="D50" s="32" t="s">
        <v>39</v>
      </c>
      <c r="E50" s="107">
        <v>3181</v>
      </c>
      <c r="F50" s="31">
        <f>SUM(E50*2/1000)</f>
        <v>6.3620000000000001</v>
      </c>
      <c r="G50" s="34">
        <v>1591.6</v>
      </c>
      <c r="H50" s="108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17</v>
      </c>
      <c r="B51" s="32" t="s">
        <v>112</v>
      </c>
      <c r="C51" s="39" t="s">
        <v>35</v>
      </c>
      <c r="D51" s="32" t="s">
        <v>39</v>
      </c>
      <c r="E51" s="107">
        <v>20</v>
      </c>
      <c r="F51" s="31">
        <f>SUM(E51*2/100)</f>
        <v>0.4</v>
      </c>
      <c r="G51" s="34">
        <v>4058.32</v>
      </c>
      <c r="H51" s="108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18</v>
      </c>
      <c r="B52" s="32" t="s">
        <v>36</v>
      </c>
      <c r="C52" s="39" t="s">
        <v>37</v>
      </c>
      <c r="D52" s="32" t="s">
        <v>39</v>
      </c>
      <c r="E52" s="107">
        <v>1</v>
      </c>
      <c r="F52" s="31">
        <v>0.02</v>
      </c>
      <c r="G52" s="34">
        <v>7412.92</v>
      </c>
      <c r="H52" s="108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hidden="1" customHeight="1">
      <c r="A53" s="26">
        <v>19</v>
      </c>
      <c r="B53" s="32" t="s">
        <v>113</v>
      </c>
      <c r="C53" s="39" t="s">
        <v>94</v>
      </c>
      <c r="D53" s="32" t="s">
        <v>64</v>
      </c>
      <c r="E53" s="107">
        <v>70</v>
      </c>
      <c r="F53" s="31">
        <f>E53*3</f>
        <v>210</v>
      </c>
      <c r="G53" s="34">
        <v>185.08</v>
      </c>
      <c r="H53" s="108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20</v>
      </c>
      <c r="B54" s="32" t="s">
        <v>38</v>
      </c>
      <c r="C54" s="39" t="s">
        <v>94</v>
      </c>
      <c r="D54" s="32" t="s">
        <v>64</v>
      </c>
      <c r="E54" s="107">
        <v>140</v>
      </c>
      <c r="F54" s="31">
        <f>E54*3</f>
        <v>420</v>
      </c>
      <c r="G54" s="35">
        <v>86.15</v>
      </c>
      <c r="H54" s="108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71" t="s">
        <v>122</v>
      </c>
      <c r="B55" s="174"/>
      <c r="C55" s="174"/>
      <c r="D55" s="174"/>
      <c r="E55" s="174"/>
      <c r="F55" s="174"/>
      <c r="G55" s="174"/>
      <c r="H55" s="174"/>
      <c r="I55" s="175"/>
      <c r="J55" s="22"/>
      <c r="L55" s="18"/>
      <c r="M55" s="19"/>
      <c r="N55" s="20"/>
    </row>
    <row r="56" spans="1:14" ht="15.75" hidden="1" customHeight="1">
      <c r="A56" s="26"/>
      <c r="B56" s="81" t="s">
        <v>40</v>
      </c>
      <c r="C56" s="59"/>
      <c r="D56" s="51"/>
      <c r="E56" s="60"/>
      <c r="F56" s="61"/>
      <c r="G56" s="61"/>
      <c r="H56" s="62"/>
      <c r="I56" s="12"/>
      <c r="J56" s="22"/>
      <c r="L56" s="18"/>
      <c r="M56" s="19"/>
      <c r="N56" s="20"/>
    </row>
    <row r="57" spans="1:14" ht="31.5" hidden="1" customHeight="1">
      <c r="A57" s="26">
        <v>12</v>
      </c>
      <c r="B57" s="51" t="s">
        <v>114</v>
      </c>
      <c r="C57" s="59" t="s">
        <v>83</v>
      </c>
      <c r="D57" s="51" t="s">
        <v>115</v>
      </c>
      <c r="E57" s="60">
        <v>111.2</v>
      </c>
      <c r="F57" s="61">
        <f>SUM(E57*6/100)</f>
        <v>6.6720000000000006</v>
      </c>
      <c r="G57" s="12">
        <v>2431.1799999999998</v>
      </c>
      <c r="H57" s="62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20.25" hidden="1" customHeight="1">
      <c r="A58" s="26">
        <v>13</v>
      </c>
      <c r="B58" s="70" t="s">
        <v>117</v>
      </c>
      <c r="C58" s="69" t="s">
        <v>118</v>
      </c>
      <c r="D58" s="13" t="s">
        <v>61</v>
      </c>
      <c r="E58" s="71"/>
      <c r="F58" s="72">
        <v>3</v>
      </c>
      <c r="G58" s="12">
        <v>1582.05</v>
      </c>
      <c r="H58" s="62">
        <f>SUM(F58*G58/1000)</f>
        <v>4.7461499999999992</v>
      </c>
      <c r="I58" s="12">
        <f>G58*1.5</f>
        <v>2373.0749999999998</v>
      </c>
      <c r="J58" s="22"/>
      <c r="L58" s="18"/>
      <c r="M58" s="19"/>
      <c r="N58" s="20"/>
    </row>
    <row r="59" spans="1:14" ht="13.5" hidden="1" customHeight="1">
      <c r="A59" s="26"/>
      <c r="B59" s="82" t="s">
        <v>41</v>
      </c>
      <c r="C59" s="69"/>
      <c r="D59" s="70"/>
      <c r="E59" s="71"/>
      <c r="F59" s="72"/>
      <c r="G59" s="12"/>
      <c r="H59" s="73"/>
      <c r="I59" s="12"/>
      <c r="J59" s="22"/>
      <c r="L59" s="18"/>
      <c r="M59" s="19"/>
      <c r="N59" s="20"/>
    </row>
    <row r="60" spans="1:14" ht="15" hidden="1" customHeight="1">
      <c r="A60" s="26"/>
      <c r="B60" s="70" t="s">
        <v>42</v>
      </c>
      <c r="C60" s="69" t="s">
        <v>50</v>
      </c>
      <c r="D60" s="70" t="s">
        <v>51</v>
      </c>
      <c r="E60" s="71">
        <v>222.85</v>
      </c>
      <c r="F60" s="72">
        <v>8.9</v>
      </c>
      <c r="G60" s="12">
        <v>1040.8399999999999</v>
      </c>
      <c r="H60" s="73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82" t="s">
        <v>43</v>
      </c>
      <c r="C61" s="69"/>
      <c r="D61" s="70"/>
      <c r="E61" s="71"/>
      <c r="F61" s="74"/>
      <c r="G61" s="74"/>
      <c r="H61" s="72" t="s">
        <v>102</v>
      </c>
      <c r="I61" s="12"/>
      <c r="J61" s="22"/>
      <c r="L61" s="18"/>
      <c r="M61" s="19"/>
      <c r="N61" s="20"/>
    </row>
    <row r="62" spans="1:14" ht="15.75" hidden="1" customHeight="1">
      <c r="A62" s="26">
        <v>9</v>
      </c>
      <c r="B62" s="13" t="s">
        <v>44</v>
      </c>
      <c r="C62" s="15" t="s">
        <v>94</v>
      </c>
      <c r="D62" s="13" t="s">
        <v>61</v>
      </c>
      <c r="E62" s="17">
        <v>4</v>
      </c>
      <c r="F62" s="61">
        <f>E62</f>
        <v>4</v>
      </c>
      <c r="G62" s="12">
        <v>291.68</v>
      </c>
      <c r="H62" s="75">
        <f t="shared" ref="H62:H70" si="13">SUM(F62*G62/1000)</f>
        <v>1.16672</v>
      </c>
      <c r="I62" s="12">
        <f>G62*2</f>
        <v>583.36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45</v>
      </c>
      <c r="C63" s="15" t="s">
        <v>94</v>
      </c>
      <c r="D63" s="13" t="s">
        <v>61</v>
      </c>
      <c r="E63" s="17">
        <v>4</v>
      </c>
      <c r="F63" s="61">
        <f>E63</f>
        <v>4</v>
      </c>
      <c r="G63" s="12">
        <v>100.01</v>
      </c>
      <c r="H63" s="75">
        <f t="shared" si="13"/>
        <v>0.40004000000000001</v>
      </c>
      <c r="I63" s="12">
        <f t="shared" ref="I63:I68" si="14">G63*2</f>
        <v>200.02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46</v>
      </c>
      <c r="C64" s="15" t="s">
        <v>95</v>
      </c>
      <c r="D64" s="13" t="s">
        <v>51</v>
      </c>
      <c r="E64" s="60">
        <v>12702</v>
      </c>
      <c r="F64" s="12">
        <f>SUM(E64/100)</f>
        <v>127.02</v>
      </c>
      <c r="G64" s="12">
        <v>278.24</v>
      </c>
      <c r="H64" s="75">
        <f t="shared" si="13"/>
        <v>35.342044800000004</v>
      </c>
      <c r="I64" s="12">
        <f t="shared" si="14"/>
        <v>556.48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47</v>
      </c>
      <c r="C65" s="15" t="s">
        <v>96</v>
      </c>
      <c r="D65" s="13"/>
      <c r="E65" s="60">
        <v>12702</v>
      </c>
      <c r="F65" s="12">
        <f>SUM(E65/1000)</f>
        <v>12.702</v>
      </c>
      <c r="G65" s="12">
        <v>216.68</v>
      </c>
      <c r="H65" s="75">
        <f t="shared" si="13"/>
        <v>2.7522693600000001</v>
      </c>
      <c r="I65" s="12">
        <f t="shared" si="14"/>
        <v>433.36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48</v>
      </c>
      <c r="C66" s="15" t="s">
        <v>70</v>
      </c>
      <c r="D66" s="13" t="s">
        <v>51</v>
      </c>
      <c r="E66" s="60">
        <v>2200</v>
      </c>
      <c r="F66" s="12">
        <f>SUM(E66/100)</f>
        <v>22</v>
      </c>
      <c r="G66" s="12">
        <v>2720.94</v>
      </c>
      <c r="H66" s="75">
        <f t="shared" si="13"/>
        <v>59.860680000000002</v>
      </c>
      <c r="I66" s="12">
        <f t="shared" si="14"/>
        <v>5441.88</v>
      </c>
      <c r="J66" s="22"/>
      <c r="L66" s="18"/>
      <c r="M66" s="19"/>
      <c r="N66" s="20"/>
    </row>
    <row r="67" spans="1:14" ht="15.75" hidden="1" customHeight="1">
      <c r="A67" s="26">
        <v>27</v>
      </c>
      <c r="B67" s="76" t="s">
        <v>97</v>
      </c>
      <c r="C67" s="15" t="s">
        <v>30</v>
      </c>
      <c r="D67" s="13"/>
      <c r="E67" s="60">
        <v>9.6</v>
      </c>
      <c r="F67" s="12">
        <f>SUM(E67)</f>
        <v>9.6</v>
      </c>
      <c r="G67" s="12">
        <v>42.61</v>
      </c>
      <c r="H67" s="75">
        <f t="shared" si="13"/>
        <v>0.40905599999999998</v>
      </c>
      <c r="I67" s="12">
        <f t="shared" si="14"/>
        <v>85.22</v>
      </c>
      <c r="J67" s="22"/>
      <c r="L67" s="18"/>
      <c r="M67" s="19"/>
      <c r="N67" s="20"/>
    </row>
    <row r="68" spans="1:14" ht="15.75" hidden="1" customHeight="1">
      <c r="A68" s="26">
        <v>28</v>
      </c>
      <c r="B68" s="76" t="s">
        <v>98</v>
      </c>
      <c r="C68" s="15" t="s">
        <v>30</v>
      </c>
      <c r="D68" s="13"/>
      <c r="E68" s="60">
        <v>9.6</v>
      </c>
      <c r="F68" s="12">
        <f>SUM(E68)</f>
        <v>9.6</v>
      </c>
      <c r="G68" s="12">
        <v>46.04</v>
      </c>
      <c r="H68" s="75">
        <f t="shared" si="13"/>
        <v>0.44198399999999999</v>
      </c>
      <c r="I68" s="12">
        <f t="shared" si="14"/>
        <v>92.08</v>
      </c>
      <c r="J68" s="22"/>
      <c r="L68" s="18"/>
      <c r="M68" s="19"/>
      <c r="N68" s="20"/>
    </row>
    <row r="69" spans="1:14" ht="15.75" hidden="1" customHeight="1">
      <c r="A69" s="26">
        <v>22</v>
      </c>
      <c r="B69" s="13" t="s">
        <v>55</v>
      </c>
      <c r="C69" s="15" t="s">
        <v>56</v>
      </c>
      <c r="D69" s="13" t="s">
        <v>51</v>
      </c>
      <c r="E69" s="17">
        <v>4</v>
      </c>
      <c r="F69" s="12">
        <f>SUM(E69)</f>
        <v>4</v>
      </c>
      <c r="G69" s="12">
        <v>65.42</v>
      </c>
      <c r="H69" s="75">
        <f t="shared" si="13"/>
        <v>0.26168000000000002</v>
      </c>
      <c r="I69" s="12">
        <f>G69*4</f>
        <v>261.68</v>
      </c>
      <c r="J69" s="22"/>
      <c r="L69" s="18"/>
      <c r="M69" s="19"/>
      <c r="N69" s="20"/>
    </row>
    <row r="70" spans="1:14" ht="15.75" customHeight="1">
      <c r="A70" s="26">
        <v>11</v>
      </c>
      <c r="B70" s="13" t="s">
        <v>146</v>
      </c>
      <c r="C70" s="26" t="s">
        <v>147</v>
      </c>
      <c r="D70" s="13"/>
      <c r="E70" s="17">
        <v>3181</v>
      </c>
      <c r="F70" s="61">
        <f>SUM(E70)*12</f>
        <v>38172</v>
      </c>
      <c r="G70" s="12">
        <v>2.2799999999999998</v>
      </c>
      <c r="H70" s="75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8" customHeight="1">
      <c r="A71" s="26"/>
      <c r="B71" s="55" t="s">
        <v>65</v>
      </c>
      <c r="C71" s="15"/>
      <c r="D71" s="13"/>
      <c r="E71" s="17"/>
      <c r="F71" s="12"/>
      <c r="G71" s="12"/>
      <c r="H71" s="75" t="s">
        <v>102</v>
      </c>
      <c r="I71" s="12"/>
      <c r="J71" s="22"/>
      <c r="L71" s="18"/>
      <c r="M71" s="19"/>
      <c r="N71" s="20"/>
    </row>
    <row r="72" spans="1:14" ht="26.25" hidden="1" customHeight="1">
      <c r="A72" s="26">
        <v>18</v>
      </c>
      <c r="B72" s="13" t="s">
        <v>148</v>
      </c>
      <c r="C72" s="15" t="s">
        <v>28</v>
      </c>
      <c r="D72" s="13" t="s">
        <v>61</v>
      </c>
      <c r="E72" s="17">
        <v>1</v>
      </c>
      <c r="F72" s="61">
        <f t="shared" ref="F72" si="15">E72</f>
        <v>1</v>
      </c>
      <c r="G72" s="12">
        <v>1543.4</v>
      </c>
      <c r="H72" s="75">
        <f>G72*F72/1000</f>
        <v>1.5434000000000001</v>
      </c>
      <c r="I72" s="12">
        <v>0</v>
      </c>
      <c r="J72" s="22"/>
      <c r="L72" s="18"/>
      <c r="M72" s="19"/>
      <c r="N72" s="20"/>
    </row>
    <row r="73" spans="1:14" ht="30" hidden="1" customHeight="1">
      <c r="A73" s="26"/>
      <c r="B73" s="50" t="s">
        <v>149</v>
      </c>
      <c r="C73" s="54" t="s">
        <v>94</v>
      </c>
      <c r="D73" s="13" t="s">
        <v>61</v>
      </c>
      <c r="E73" s="17">
        <v>1</v>
      </c>
      <c r="F73" s="61">
        <f>E73</f>
        <v>1</v>
      </c>
      <c r="G73" s="12">
        <v>130.96</v>
      </c>
      <c r="H73" s="75">
        <f>G73*F73/1000</f>
        <v>0.13096000000000002</v>
      </c>
      <c r="I73" s="12">
        <v>0</v>
      </c>
      <c r="J73" s="22"/>
      <c r="L73" s="18"/>
      <c r="M73" s="19"/>
      <c r="N73" s="20"/>
    </row>
    <row r="74" spans="1:14" ht="22.5" hidden="1" customHeight="1">
      <c r="A74" s="26"/>
      <c r="B74" s="13" t="s">
        <v>66</v>
      </c>
      <c r="C74" s="15" t="s">
        <v>68</v>
      </c>
      <c r="D74" s="13" t="s">
        <v>61</v>
      </c>
      <c r="E74" s="17">
        <v>3</v>
      </c>
      <c r="F74" s="61">
        <f>E74/10</f>
        <v>0.3</v>
      </c>
      <c r="G74" s="12">
        <v>657.87</v>
      </c>
      <c r="H74" s="75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24.75" hidden="1" customHeight="1">
      <c r="A75" s="26"/>
      <c r="B75" s="13" t="s">
        <v>67</v>
      </c>
      <c r="C75" s="15" t="s">
        <v>28</v>
      </c>
      <c r="D75" s="13" t="s">
        <v>61</v>
      </c>
      <c r="E75" s="17">
        <v>1</v>
      </c>
      <c r="F75" s="61">
        <f>E75</f>
        <v>1</v>
      </c>
      <c r="G75" s="12">
        <v>1118.72</v>
      </c>
      <c r="H75" s="75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24.75" hidden="1" customHeight="1">
      <c r="A76" s="26"/>
      <c r="B76" s="50" t="s">
        <v>150</v>
      </c>
      <c r="C76" s="54" t="s">
        <v>94</v>
      </c>
      <c r="D76" s="13" t="s">
        <v>61</v>
      </c>
      <c r="E76" s="17">
        <v>1</v>
      </c>
      <c r="F76" s="61">
        <f>E76</f>
        <v>1</v>
      </c>
      <c r="G76" s="12">
        <v>1605.83</v>
      </c>
      <c r="H76" s="75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28.5" customHeight="1">
      <c r="A77" s="26">
        <v>12</v>
      </c>
      <c r="B77" s="50" t="s">
        <v>151</v>
      </c>
      <c r="C77" s="54" t="s">
        <v>94</v>
      </c>
      <c r="D77" s="13"/>
      <c r="E77" s="17">
        <v>2</v>
      </c>
      <c r="F77" s="61">
        <f>E77*12</f>
        <v>24</v>
      </c>
      <c r="G77" s="12">
        <v>53.42</v>
      </c>
      <c r="H77" s="75">
        <f t="shared" si="16"/>
        <v>1.2820799999999999</v>
      </c>
      <c r="I77" s="12">
        <f>G77*2</f>
        <v>106.84</v>
      </c>
      <c r="J77" s="22"/>
      <c r="L77" s="18"/>
      <c r="M77" s="19"/>
      <c r="N77" s="20"/>
    </row>
    <row r="78" spans="1:14" ht="22.5" hidden="1" customHeight="1">
      <c r="A78" s="26"/>
      <c r="B78" s="77" t="s">
        <v>69</v>
      </c>
      <c r="C78" s="15"/>
      <c r="D78" s="13"/>
      <c r="E78" s="17"/>
      <c r="F78" s="12"/>
      <c r="G78" s="12" t="s">
        <v>102</v>
      </c>
      <c r="H78" s="75" t="s">
        <v>102</v>
      </c>
      <c r="I78" s="12"/>
      <c r="J78" s="22"/>
      <c r="L78" s="18"/>
      <c r="M78" s="19"/>
      <c r="N78" s="20"/>
    </row>
    <row r="79" spans="1:14" ht="27" hidden="1" customHeight="1">
      <c r="A79" s="26"/>
      <c r="B79" s="45" t="s">
        <v>101</v>
      </c>
      <c r="C79" s="15" t="s">
        <v>70</v>
      </c>
      <c r="D79" s="13"/>
      <c r="E79" s="17"/>
      <c r="F79" s="12">
        <v>1</v>
      </c>
      <c r="G79" s="12">
        <v>3370.89</v>
      </c>
      <c r="H79" s="75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23.25" hidden="1" customHeight="1">
      <c r="A80" s="26"/>
      <c r="B80" s="55" t="s">
        <v>99</v>
      </c>
      <c r="C80" s="77"/>
      <c r="D80" s="27"/>
      <c r="E80" s="30"/>
      <c r="F80" s="66"/>
      <c r="G80" s="66"/>
      <c r="H80" s="78">
        <f>SUM(H57:H79)</f>
        <v>227.14633412000001</v>
      </c>
      <c r="I80" s="66"/>
      <c r="J80" s="22"/>
      <c r="L80" s="18"/>
      <c r="M80" s="19"/>
      <c r="N80" s="20"/>
    </row>
    <row r="81" spans="1:14" ht="26.25" hidden="1" customHeight="1">
      <c r="A81" s="105">
        <v>15</v>
      </c>
      <c r="B81" s="53" t="s">
        <v>100</v>
      </c>
      <c r="C81" s="110"/>
      <c r="D81" s="111"/>
      <c r="E81" s="111"/>
      <c r="F81" s="112">
        <v>1</v>
      </c>
      <c r="G81" s="112">
        <v>23195</v>
      </c>
      <c r="H81" s="113">
        <f>G81*F81/1000</f>
        <v>23.195</v>
      </c>
      <c r="I81" s="80">
        <f>G81</f>
        <v>23195</v>
      </c>
      <c r="J81" s="22"/>
      <c r="L81" s="18"/>
      <c r="M81" s="19"/>
      <c r="N81" s="20"/>
    </row>
    <row r="82" spans="1:14" ht="23.25" hidden="1" customHeight="1">
      <c r="A82" s="49"/>
      <c r="B82" s="114" t="s">
        <v>152</v>
      </c>
      <c r="C82" s="15"/>
      <c r="D82" s="13"/>
      <c r="E82" s="13"/>
      <c r="F82" s="12">
        <v>69</v>
      </c>
      <c r="G82" s="12">
        <v>700</v>
      </c>
      <c r="H82" s="75">
        <f>G82*F82/1000</f>
        <v>48.3</v>
      </c>
      <c r="I82" s="115">
        <v>0</v>
      </c>
      <c r="J82" s="22"/>
      <c r="L82" s="18"/>
      <c r="M82" s="19"/>
      <c r="N82" s="20"/>
    </row>
    <row r="83" spans="1:14" ht="15.75" customHeight="1">
      <c r="A83" s="168" t="s">
        <v>123</v>
      </c>
      <c r="B83" s="176"/>
      <c r="C83" s="176"/>
      <c r="D83" s="176"/>
      <c r="E83" s="176"/>
      <c r="F83" s="176"/>
      <c r="G83" s="176"/>
      <c r="H83" s="176"/>
      <c r="I83" s="177"/>
      <c r="J83" s="22"/>
      <c r="L83" s="18"/>
      <c r="M83" s="19"/>
      <c r="N83" s="20"/>
    </row>
    <row r="84" spans="1:14" ht="15.75" customHeight="1">
      <c r="A84" s="100">
        <v>13</v>
      </c>
      <c r="B84" s="32" t="s">
        <v>116</v>
      </c>
      <c r="C84" s="37" t="s">
        <v>52</v>
      </c>
      <c r="D84" s="79"/>
      <c r="E84" s="34">
        <v>3181</v>
      </c>
      <c r="F84" s="34">
        <f>SUM(E84*12)</f>
        <v>38172</v>
      </c>
      <c r="G84" s="34">
        <v>3.1</v>
      </c>
      <c r="H84" s="106">
        <f>SUM(F84*G84/1000)</f>
        <v>118.33319999999999</v>
      </c>
      <c r="I84" s="101">
        <f>F84/12*G84</f>
        <v>9861.1</v>
      </c>
      <c r="J84" s="22"/>
      <c r="L84" s="18"/>
      <c r="M84" s="19"/>
      <c r="N84" s="20"/>
    </row>
    <row r="85" spans="1:14" ht="31.5" customHeight="1">
      <c r="A85" s="26">
        <v>14</v>
      </c>
      <c r="B85" s="13" t="s">
        <v>71</v>
      </c>
      <c r="C85" s="15"/>
      <c r="D85" s="79"/>
      <c r="E85" s="60">
        <v>3181</v>
      </c>
      <c r="F85" s="12">
        <f>E85*12</f>
        <v>38172</v>
      </c>
      <c r="G85" s="12">
        <v>3.5</v>
      </c>
      <c r="H85" s="75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49"/>
      <c r="B86" s="38" t="s">
        <v>74</v>
      </c>
      <c r="C86" s="15"/>
      <c r="D86" s="45"/>
      <c r="E86" s="12"/>
      <c r="F86" s="12"/>
      <c r="G86" s="12"/>
      <c r="H86" s="75">
        <f>H85</f>
        <v>133.602</v>
      </c>
      <c r="I86" s="66">
        <f>I85+I84+I77+I70+I49+I43+I42+I41+I40+I38+I26+I18+I17+I16</f>
        <v>50043.119843333334</v>
      </c>
      <c r="J86" s="22"/>
      <c r="L86" s="18"/>
      <c r="M86" s="19"/>
      <c r="N86" s="20"/>
    </row>
    <row r="87" spans="1:14" ht="15.75" customHeight="1">
      <c r="A87" s="178" t="s">
        <v>57</v>
      </c>
      <c r="B87" s="179"/>
      <c r="C87" s="179"/>
      <c r="D87" s="179"/>
      <c r="E87" s="179"/>
      <c r="F87" s="179"/>
      <c r="G87" s="179"/>
      <c r="H87" s="179"/>
      <c r="I87" s="180"/>
      <c r="J87" s="22"/>
      <c r="L87" s="18"/>
      <c r="M87" s="19"/>
      <c r="N87" s="20"/>
    </row>
    <row r="88" spans="1:14" ht="15.75" customHeight="1">
      <c r="A88" s="26">
        <v>15</v>
      </c>
      <c r="B88" s="70" t="s">
        <v>156</v>
      </c>
      <c r="C88" s="69" t="s">
        <v>157</v>
      </c>
      <c r="D88" s="70"/>
      <c r="E88" s="71"/>
      <c r="F88" s="74">
        <v>96</v>
      </c>
      <c r="G88" s="56">
        <v>1.4</v>
      </c>
      <c r="H88" s="72">
        <f>F88*G88/1000</f>
        <v>0.13439999999999996</v>
      </c>
      <c r="I88" s="12">
        <f>G88*48</f>
        <v>67.199999999999989</v>
      </c>
      <c r="J88" s="22"/>
      <c r="L88" s="18"/>
      <c r="M88" s="19"/>
      <c r="N88" s="20"/>
    </row>
    <row r="89" spans="1:14" ht="35.25" customHeight="1">
      <c r="A89" s="26">
        <v>16</v>
      </c>
      <c r="B89" s="122" t="s">
        <v>167</v>
      </c>
      <c r="C89" s="123" t="s">
        <v>93</v>
      </c>
      <c r="D89" s="13"/>
      <c r="E89" s="17"/>
      <c r="F89" s="12">
        <v>1</v>
      </c>
      <c r="G89" s="136">
        <v>19757.060000000001</v>
      </c>
      <c r="H89" s="75">
        <f>G89*F89/1000</f>
        <v>19.757060000000003</v>
      </c>
      <c r="I89" s="80">
        <f>G89*0.599*10/1000</f>
        <v>118.34478940000001</v>
      </c>
      <c r="J89" s="22"/>
      <c r="L89" s="18"/>
      <c r="M89" s="19"/>
      <c r="N89" s="20"/>
    </row>
    <row r="90" spans="1:14" ht="18" customHeight="1">
      <c r="A90" s="26">
        <v>17</v>
      </c>
      <c r="B90" s="122" t="s">
        <v>173</v>
      </c>
      <c r="C90" s="123" t="s">
        <v>174</v>
      </c>
      <c r="D90" s="36"/>
      <c r="E90" s="16"/>
      <c r="F90" s="34"/>
      <c r="G90" s="136">
        <v>273</v>
      </c>
      <c r="H90" s="106"/>
      <c r="I90" s="80">
        <f>G90*4</f>
        <v>1092</v>
      </c>
      <c r="J90" s="22"/>
      <c r="L90" s="18"/>
      <c r="M90" s="19"/>
      <c r="N90" s="20"/>
    </row>
    <row r="91" spans="1:14" ht="17.25" customHeight="1">
      <c r="A91" s="26">
        <v>18</v>
      </c>
      <c r="B91" s="122" t="s">
        <v>75</v>
      </c>
      <c r="C91" s="123" t="s">
        <v>94</v>
      </c>
      <c r="D91" s="36"/>
      <c r="E91" s="16"/>
      <c r="F91" s="34"/>
      <c r="G91" s="136">
        <v>207.55</v>
      </c>
      <c r="H91" s="106"/>
      <c r="I91" s="80">
        <f>G91*1</f>
        <v>207.55</v>
      </c>
      <c r="J91" s="22"/>
      <c r="L91" s="18"/>
      <c r="M91" s="19"/>
      <c r="N91" s="20"/>
    </row>
    <row r="92" spans="1:14" ht="17.25" customHeight="1">
      <c r="A92" s="26">
        <v>19</v>
      </c>
      <c r="B92" s="122" t="s">
        <v>271</v>
      </c>
      <c r="C92" s="123" t="s">
        <v>201</v>
      </c>
      <c r="D92" s="36"/>
      <c r="E92" s="16"/>
      <c r="F92" s="34"/>
      <c r="G92" s="142">
        <v>2422.27</v>
      </c>
      <c r="H92" s="106"/>
      <c r="I92" s="80">
        <f>G92*1</f>
        <v>2422.27</v>
      </c>
      <c r="J92" s="22"/>
      <c r="L92" s="18"/>
      <c r="M92" s="19"/>
      <c r="N92" s="20"/>
    </row>
    <row r="93" spans="1:14" ht="15.75" customHeight="1">
      <c r="A93" s="26"/>
      <c r="B93" s="27" t="s">
        <v>49</v>
      </c>
      <c r="C93" s="40"/>
      <c r="D93" s="46"/>
      <c r="E93" s="40">
        <v>1</v>
      </c>
      <c r="F93" s="40"/>
      <c r="G93" s="40"/>
      <c r="H93" s="40"/>
      <c r="I93" s="30">
        <f>SUM(I88:I92)</f>
        <v>3907.3647893999996</v>
      </c>
      <c r="J93" s="22"/>
      <c r="L93" s="18"/>
      <c r="M93" s="19"/>
      <c r="N93" s="20"/>
    </row>
    <row r="94" spans="1:14" ht="15.75" customHeight="1">
      <c r="A94" s="26"/>
      <c r="B94" s="45" t="s">
        <v>72</v>
      </c>
      <c r="C94" s="14"/>
      <c r="D94" s="14"/>
      <c r="E94" s="41"/>
      <c r="F94" s="41"/>
      <c r="G94" s="42"/>
      <c r="H94" s="42"/>
      <c r="I94" s="16">
        <v>0</v>
      </c>
      <c r="J94" s="22"/>
      <c r="L94" s="18"/>
      <c r="M94" s="19"/>
      <c r="N94" s="20"/>
    </row>
    <row r="95" spans="1:14" ht="15.75" customHeight="1">
      <c r="A95" s="47"/>
      <c r="B95" s="44" t="s">
        <v>142</v>
      </c>
      <c r="C95" s="33"/>
      <c r="D95" s="33"/>
      <c r="E95" s="33"/>
      <c r="F95" s="33"/>
      <c r="G95" s="33"/>
      <c r="H95" s="33"/>
      <c r="I95" s="43">
        <f>I86+I93</f>
        <v>53950.484632733336</v>
      </c>
      <c r="J95" s="22"/>
      <c r="L95" s="18"/>
      <c r="M95" s="19"/>
      <c r="N95" s="20"/>
    </row>
    <row r="96" spans="1:14" ht="15.75" customHeight="1">
      <c r="A96" s="167" t="s">
        <v>272</v>
      </c>
      <c r="B96" s="167"/>
      <c r="C96" s="167"/>
      <c r="D96" s="167"/>
      <c r="E96" s="167"/>
      <c r="F96" s="167"/>
      <c r="G96" s="167"/>
      <c r="H96" s="167"/>
      <c r="I96" s="167"/>
      <c r="J96" s="22"/>
      <c r="L96" s="18"/>
      <c r="M96" s="19"/>
      <c r="N96" s="20"/>
    </row>
    <row r="97" spans="1:22" ht="15.75" customHeight="1">
      <c r="A97" s="8"/>
      <c r="B97" s="181" t="s">
        <v>273</v>
      </c>
      <c r="C97" s="181"/>
      <c r="D97" s="181"/>
      <c r="E97" s="181"/>
      <c r="F97" s="181"/>
      <c r="G97" s="181"/>
      <c r="H97" s="93"/>
      <c r="I97" s="3"/>
      <c r="J97" s="22"/>
      <c r="L97" s="18"/>
      <c r="M97" s="19"/>
      <c r="N97" s="20"/>
    </row>
    <row r="98" spans="1:22" ht="15.75" customHeight="1">
      <c r="A98" s="91"/>
      <c r="B98" s="182" t="s">
        <v>5</v>
      </c>
      <c r="C98" s="182"/>
      <c r="D98" s="182"/>
      <c r="E98" s="182"/>
      <c r="F98" s="182"/>
      <c r="G98" s="182"/>
      <c r="H98" s="23"/>
      <c r="I98" s="5"/>
      <c r="J98" s="22"/>
      <c r="K98" s="22"/>
      <c r="L98" s="22"/>
      <c r="M98" s="19"/>
      <c r="N98" s="20"/>
    </row>
    <row r="99" spans="1:22" ht="15.75" customHeight="1">
      <c r="A99" s="9"/>
      <c r="B99" s="9"/>
      <c r="C99" s="9"/>
      <c r="D99" s="9"/>
      <c r="E99" s="9"/>
      <c r="F99" s="9"/>
      <c r="G99" s="9"/>
      <c r="H99" s="9"/>
      <c r="I99" s="9"/>
      <c r="J99" s="22"/>
      <c r="K99" s="22"/>
      <c r="L99" s="22"/>
      <c r="M99" s="19"/>
      <c r="N99" s="20"/>
    </row>
    <row r="100" spans="1:22" ht="15.75" customHeight="1">
      <c r="A100" s="183" t="s">
        <v>6</v>
      </c>
      <c r="B100" s="183"/>
      <c r="C100" s="183"/>
      <c r="D100" s="183"/>
      <c r="E100" s="183"/>
      <c r="F100" s="183"/>
      <c r="G100" s="183"/>
      <c r="H100" s="183"/>
      <c r="I100" s="183"/>
      <c r="J100" s="22"/>
      <c r="K100" s="22"/>
      <c r="L100" s="22"/>
    </row>
    <row r="101" spans="1:22" ht="15.75" customHeight="1">
      <c r="A101" s="183" t="s">
        <v>7</v>
      </c>
      <c r="B101" s="183"/>
      <c r="C101" s="183"/>
      <c r="D101" s="183"/>
      <c r="E101" s="183"/>
      <c r="F101" s="183"/>
      <c r="G101" s="183"/>
      <c r="H101" s="183"/>
      <c r="I101" s="183"/>
      <c r="J101" s="22"/>
      <c r="K101" s="22"/>
      <c r="L101" s="22"/>
    </row>
    <row r="102" spans="1:22" ht="15.75" customHeight="1">
      <c r="A102" s="167" t="s">
        <v>8</v>
      </c>
      <c r="B102" s="167"/>
      <c r="C102" s="167"/>
      <c r="D102" s="167"/>
      <c r="E102" s="167"/>
      <c r="F102" s="167"/>
      <c r="G102" s="167"/>
      <c r="H102" s="167"/>
      <c r="I102" s="167"/>
    </row>
    <row r="103" spans="1:22" ht="15.75" customHeight="1">
      <c r="A103" s="10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7"/>
    </row>
    <row r="104" spans="1:22" ht="15.75" customHeight="1">
      <c r="A104" s="185" t="s">
        <v>9</v>
      </c>
      <c r="B104" s="185"/>
      <c r="C104" s="185"/>
      <c r="D104" s="185"/>
      <c r="E104" s="185"/>
      <c r="F104" s="185"/>
      <c r="G104" s="185"/>
      <c r="H104" s="185"/>
      <c r="I104" s="185"/>
      <c r="J104" s="24"/>
      <c r="K104" s="24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2" ht="15.75" customHeight="1">
      <c r="A105" s="4"/>
      <c r="J105" s="3"/>
      <c r="K105" s="3"/>
      <c r="L105" s="3"/>
      <c r="M105" s="3"/>
      <c r="N105" s="3"/>
      <c r="O105" s="3"/>
      <c r="P105" s="3"/>
      <c r="Q105" s="3"/>
      <c r="S105" s="3"/>
      <c r="T105" s="3"/>
      <c r="U105" s="3"/>
    </row>
    <row r="106" spans="1:22" ht="15.75" customHeight="1">
      <c r="A106" s="167" t="s">
        <v>10</v>
      </c>
      <c r="B106" s="167"/>
      <c r="C106" s="186" t="s">
        <v>79</v>
      </c>
      <c r="D106" s="186"/>
      <c r="E106" s="186"/>
      <c r="F106" s="57"/>
      <c r="I106" s="92"/>
      <c r="J106" s="5"/>
      <c r="K106" s="5"/>
      <c r="L106" s="5"/>
      <c r="M106" s="5"/>
      <c r="N106" s="5"/>
      <c r="O106" s="5"/>
      <c r="P106" s="5"/>
      <c r="Q106" s="5"/>
      <c r="R106" s="187"/>
      <c r="S106" s="187"/>
      <c r="T106" s="187"/>
      <c r="U106" s="187"/>
    </row>
    <row r="107" spans="1:22" ht="15.75" customHeight="1">
      <c r="A107" s="91"/>
      <c r="C107" s="182" t="s">
        <v>11</v>
      </c>
      <c r="D107" s="182"/>
      <c r="E107" s="182"/>
      <c r="F107" s="23"/>
      <c r="I107" s="89" t="s">
        <v>12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2" ht="15.75" customHeight="1">
      <c r="A108" s="24"/>
      <c r="C108" s="11"/>
      <c r="D108" s="11"/>
      <c r="G108" s="11"/>
      <c r="H108" s="11"/>
    </row>
    <row r="109" spans="1:22" ht="15.75" customHeight="1">
      <c r="A109" s="167" t="s">
        <v>13</v>
      </c>
      <c r="B109" s="167"/>
      <c r="C109" s="188"/>
      <c r="D109" s="188"/>
      <c r="E109" s="188"/>
      <c r="F109" s="58"/>
      <c r="I109" s="92"/>
    </row>
    <row r="110" spans="1:22" ht="15.75" customHeight="1">
      <c r="A110" s="91"/>
      <c r="C110" s="187" t="s">
        <v>11</v>
      </c>
      <c r="D110" s="187"/>
      <c r="E110" s="187"/>
      <c r="F110" s="91"/>
      <c r="I110" s="89" t="s">
        <v>12</v>
      </c>
    </row>
    <row r="111" spans="1:22" ht="15.75" customHeight="1">
      <c r="A111" s="4" t="s">
        <v>14</v>
      </c>
    </row>
    <row r="112" spans="1:22" ht="15" customHeight="1">
      <c r="A112" s="189" t="s">
        <v>15</v>
      </c>
      <c r="B112" s="189"/>
      <c r="C112" s="189"/>
      <c r="D112" s="189"/>
      <c r="E112" s="189"/>
      <c r="F112" s="189"/>
      <c r="G112" s="189"/>
      <c r="H112" s="189"/>
      <c r="I112" s="189"/>
    </row>
    <row r="113" spans="1:9" ht="45" customHeight="1">
      <c r="A113" s="184" t="s">
        <v>16</v>
      </c>
      <c r="B113" s="184"/>
      <c r="C113" s="184"/>
      <c r="D113" s="184"/>
      <c r="E113" s="184"/>
      <c r="F113" s="184"/>
      <c r="G113" s="184"/>
      <c r="H113" s="184"/>
      <c r="I113" s="184"/>
    </row>
    <row r="114" spans="1:9" ht="30" customHeight="1">
      <c r="A114" s="184" t="s">
        <v>17</v>
      </c>
      <c r="B114" s="184"/>
      <c r="C114" s="184"/>
      <c r="D114" s="184"/>
      <c r="E114" s="184"/>
      <c r="F114" s="184"/>
      <c r="G114" s="184"/>
      <c r="H114" s="184"/>
      <c r="I114" s="184"/>
    </row>
    <row r="115" spans="1:9" ht="30" customHeight="1">
      <c r="A115" s="184" t="s">
        <v>21</v>
      </c>
      <c r="B115" s="184"/>
      <c r="C115" s="184"/>
      <c r="D115" s="184"/>
      <c r="E115" s="184"/>
      <c r="F115" s="184"/>
      <c r="G115" s="184"/>
      <c r="H115" s="184"/>
      <c r="I115" s="184"/>
    </row>
    <row r="116" spans="1:9" ht="15" customHeight="1">
      <c r="A116" s="184" t="s">
        <v>20</v>
      </c>
      <c r="B116" s="184"/>
      <c r="C116" s="184"/>
      <c r="D116" s="184"/>
      <c r="E116" s="184"/>
      <c r="F116" s="184"/>
      <c r="G116" s="184"/>
      <c r="H116" s="184"/>
      <c r="I116" s="184"/>
    </row>
  </sheetData>
  <autoFilter ref="I12:I102"/>
  <mergeCells count="31">
    <mergeCell ref="A14:I14"/>
    <mergeCell ref="A3:I3"/>
    <mergeCell ref="A4:I4"/>
    <mergeCell ref="A5:I5"/>
    <mergeCell ref="A8:I8"/>
    <mergeCell ref="A10:I10"/>
    <mergeCell ref="A102:I102"/>
    <mergeCell ref="A15:I15"/>
    <mergeCell ref="A28:I28"/>
    <mergeCell ref="A44:I44"/>
    <mergeCell ref="A55:I55"/>
    <mergeCell ref="A83:I83"/>
    <mergeCell ref="A87:I87"/>
    <mergeCell ref="A96:I96"/>
    <mergeCell ref="B97:G97"/>
    <mergeCell ref="B98:G98"/>
    <mergeCell ref="A100:I100"/>
    <mergeCell ref="A101:I101"/>
    <mergeCell ref="A116:I116"/>
    <mergeCell ref="A104:I104"/>
    <mergeCell ref="A106:B106"/>
    <mergeCell ref="C106:E106"/>
    <mergeCell ref="R106:U106"/>
    <mergeCell ref="C107:E107"/>
    <mergeCell ref="A109:B109"/>
    <mergeCell ref="C109:E109"/>
    <mergeCell ref="C110:E110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6"/>
  <sheetViews>
    <sheetView workbookViewId="0">
      <selection activeCell="D37" sqref="D37:D4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50" t="s">
        <v>161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62" t="s">
        <v>124</v>
      </c>
      <c r="B3" s="162"/>
      <c r="C3" s="162"/>
      <c r="D3" s="162"/>
      <c r="E3" s="162"/>
      <c r="F3" s="162"/>
      <c r="G3" s="162"/>
      <c r="H3" s="162"/>
      <c r="I3" s="162"/>
      <c r="J3" s="2"/>
      <c r="K3" s="2"/>
      <c r="L3" s="2"/>
      <c r="M3" s="2"/>
    </row>
    <row r="4" spans="1:15" s="25" customFormat="1" ht="31.5" customHeight="1">
      <c r="A4" s="163" t="s">
        <v>82</v>
      </c>
      <c r="B4" s="163"/>
      <c r="C4" s="163"/>
      <c r="D4" s="163"/>
      <c r="E4" s="163"/>
      <c r="F4" s="163"/>
      <c r="G4" s="163"/>
      <c r="H4" s="163"/>
      <c r="I4" s="163"/>
      <c r="J4" s="3"/>
      <c r="K4" s="3"/>
      <c r="L4" s="3"/>
    </row>
    <row r="5" spans="1:15" s="25" customFormat="1" ht="15.75" customHeight="1">
      <c r="A5" s="162" t="s">
        <v>170</v>
      </c>
      <c r="B5" s="164"/>
      <c r="C5" s="164"/>
      <c r="D5" s="164"/>
      <c r="E5" s="164"/>
      <c r="F5" s="164"/>
      <c r="G5" s="164"/>
      <c r="H5" s="164"/>
      <c r="I5" s="164"/>
    </row>
    <row r="6" spans="1:15" s="25" customFormat="1" ht="15.75">
      <c r="A6" s="2"/>
      <c r="B6" s="117"/>
      <c r="C6" s="117"/>
      <c r="D6" s="117"/>
      <c r="E6" s="117"/>
      <c r="F6" s="117"/>
      <c r="G6" s="117"/>
      <c r="H6" s="117"/>
      <c r="I6" s="29">
        <v>43524</v>
      </c>
      <c r="J6" s="2"/>
      <c r="K6" s="2"/>
      <c r="L6" s="2"/>
      <c r="M6" s="2"/>
    </row>
    <row r="7" spans="1:15" ht="15.75">
      <c r="B7" s="120"/>
      <c r="C7" s="120"/>
      <c r="D7" s="120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65" t="s">
        <v>162</v>
      </c>
      <c r="B8" s="165"/>
      <c r="C8" s="165"/>
      <c r="D8" s="165"/>
      <c r="E8" s="165"/>
      <c r="F8" s="165"/>
      <c r="G8" s="165"/>
      <c r="H8" s="165"/>
      <c r="I8" s="16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66" t="s">
        <v>155</v>
      </c>
      <c r="B10" s="166"/>
      <c r="C10" s="166"/>
      <c r="D10" s="166"/>
      <c r="E10" s="166"/>
      <c r="F10" s="166"/>
      <c r="G10" s="166"/>
      <c r="H10" s="166"/>
      <c r="I10" s="166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132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59" t="s">
        <v>133</v>
      </c>
      <c r="B14" s="160"/>
      <c r="C14" s="160"/>
      <c r="D14" s="160"/>
      <c r="E14" s="160"/>
      <c r="F14" s="160"/>
      <c r="G14" s="160"/>
      <c r="H14" s="160"/>
      <c r="I14" s="161"/>
      <c r="J14" s="99"/>
      <c r="K14" s="99"/>
      <c r="L14" s="6"/>
      <c r="M14" s="6"/>
      <c r="N14" s="6"/>
      <c r="O14" s="6"/>
    </row>
    <row r="15" spans="1:15" ht="15.75" customHeight="1">
      <c r="A15" s="168" t="s">
        <v>3</v>
      </c>
      <c r="B15" s="169"/>
      <c r="C15" s="169"/>
      <c r="D15" s="169"/>
      <c r="E15" s="169"/>
      <c r="F15" s="169"/>
      <c r="G15" s="169"/>
      <c r="H15" s="169"/>
      <c r="I15" s="170"/>
      <c r="J15" s="6"/>
      <c r="K15" s="6"/>
      <c r="L15" s="6"/>
      <c r="M15" s="6"/>
    </row>
    <row r="16" spans="1:15" ht="15.75" customHeight="1">
      <c r="A16" s="26">
        <v>1</v>
      </c>
      <c r="B16" s="51" t="s">
        <v>77</v>
      </c>
      <c r="C16" s="59" t="s">
        <v>83</v>
      </c>
      <c r="D16" s="51" t="s">
        <v>203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80</v>
      </c>
      <c r="C17" s="59" t="s">
        <v>83</v>
      </c>
      <c r="D17" s="51" t="s">
        <v>204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81</v>
      </c>
      <c r="C18" s="59" t="s">
        <v>83</v>
      </c>
      <c r="D18" s="51" t="s">
        <v>205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84</v>
      </c>
      <c r="C19" s="59" t="s">
        <v>85</v>
      </c>
      <c r="D19" s="51" t="s">
        <v>86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1" t="s">
        <v>87</v>
      </c>
      <c r="C20" s="59" t="s">
        <v>83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1" t="s">
        <v>88</v>
      </c>
      <c r="C21" s="59" t="s">
        <v>83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89</v>
      </c>
      <c r="C22" s="59" t="s">
        <v>50</v>
      </c>
      <c r="D22" s="51" t="s">
        <v>86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90</v>
      </c>
      <c r="C23" s="59" t="s">
        <v>50</v>
      </c>
      <c r="D23" s="51" t="s">
        <v>86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91</v>
      </c>
      <c r="C24" s="59" t="s">
        <v>50</v>
      </c>
      <c r="D24" s="52" t="s">
        <v>86</v>
      </c>
      <c r="E24" s="17">
        <v>15</v>
      </c>
      <c r="F24" s="64">
        <f t="shared" si="2"/>
        <v>0.15</v>
      </c>
      <c r="G24" s="61">
        <v>511.12</v>
      </c>
      <c r="H24" s="62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92</v>
      </c>
      <c r="C25" s="59" t="s">
        <v>50</v>
      </c>
      <c r="D25" s="51" t="s">
        <v>86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202</v>
      </c>
      <c r="C26" s="39" t="s">
        <v>157</v>
      </c>
      <c r="D26" s="32" t="s">
        <v>206</v>
      </c>
      <c r="E26" s="157">
        <v>4.5999999999999996</v>
      </c>
      <c r="F26" s="31">
        <f>E26*258</f>
        <v>1186.8</v>
      </c>
      <c r="G26" s="31">
        <v>10.39</v>
      </c>
      <c r="H26" s="62">
        <f t="shared" ref="H26" si="5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68" t="s">
        <v>134</v>
      </c>
      <c r="B27" s="169"/>
      <c r="C27" s="169"/>
      <c r="D27" s="169"/>
      <c r="E27" s="169"/>
      <c r="F27" s="169"/>
      <c r="G27" s="169"/>
      <c r="H27" s="169"/>
      <c r="I27" s="170"/>
      <c r="J27" s="21"/>
      <c r="K27" s="6"/>
      <c r="L27" s="6"/>
      <c r="M27" s="6"/>
    </row>
    <row r="28" spans="1:13" ht="15.75" hidden="1" customHeight="1">
      <c r="A28" s="102"/>
      <c r="B28" s="55" t="s">
        <v>135</v>
      </c>
      <c r="C28" s="103"/>
      <c r="D28" s="103"/>
      <c r="E28" s="103"/>
      <c r="F28" s="103"/>
      <c r="G28" s="103"/>
      <c r="H28" s="103"/>
      <c r="I28" s="103"/>
      <c r="J28" s="21"/>
      <c r="K28" s="6"/>
      <c r="L28" s="6"/>
      <c r="M28" s="6"/>
    </row>
    <row r="29" spans="1:13" ht="15.75" hidden="1" customHeight="1">
      <c r="A29" s="100">
        <v>6</v>
      </c>
      <c r="B29" s="51" t="s">
        <v>136</v>
      </c>
      <c r="C29" s="59" t="s">
        <v>93</v>
      </c>
      <c r="D29" s="51" t="s">
        <v>139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4" si="6">SUM(F29*G29/1000)</f>
        <v>2.2346109759999999</v>
      </c>
      <c r="I29" s="12">
        <f>F29/6*G29</f>
        <v>372.43516266666666</v>
      </c>
      <c r="J29" s="21"/>
      <c r="K29" s="6"/>
      <c r="L29" s="6"/>
      <c r="M29" s="6"/>
    </row>
    <row r="30" spans="1:13" ht="31.5" hidden="1" customHeight="1">
      <c r="A30" s="26">
        <v>7</v>
      </c>
      <c r="B30" s="51" t="s">
        <v>137</v>
      </c>
      <c r="C30" s="59" t="s">
        <v>93</v>
      </c>
      <c r="D30" s="51" t="s">
        <v>140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6"/>
        <v>2.4341709599999999</v>
      </c>
      <c r="I30" s="12">
        <f t="shared" ref="I30:I32" si="7">F30/6*G30</f>
        <v>405.69515999999999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93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si="6"/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>
        <v>8</v>
      </c>
      <c r="B32" s="51" t="s">
        <v>138</v>
      </c>
      <c r="C32" s="59" t="s">
        <v>28</v>
      </c>
      <c r="D32" s="51" t="s">
        <v>59</v>
      </c>
      <c r="E32" s="67">
        <f>1/3</f>
        <v>0.33333333333333331</v>
      </c>
      <c r="F32" s="61">
        <f>155/3</f>
        <v>51.666666666666664</v>
      </c>
      <c r="G32" s="61">
        <v>74.349999999999994</v>
      </c>
      <c r="H32" s="62">
        <f t="shared" si="6"/>
        <v>3.841416666666666</v>
      </c>
      <c r="I32" s="12">
        <f t="shared" si="7"/>
        <v>640.23611111111109</v>
      </c>
      <c r="J32" s="21"/>
      <c r="K32" s="6"/>
      <c r="L32" s="6"/>
      <c r="M32" s="6"/>
    </row>
    <row r="33" spans="1:14" ht="15.75" hidden="1" customHeight="1">
      <c r="A33" s="26"/>
      <c r="B33" s="51" t="s">
        <v>60</v>
      </c>
      <c r="C33" s="59" t="s">
        <v>30</v>
      </c>
      <c r="D33" s="51" t="s">
        <v>61</v>
      </c>
      <c r="E33" s="60"/>
      <c r="F33" s="61">
        <v>1</v>
      </c>
      <c r="G33" s="61">
        <v>250.92</v>
      </c>
      <c r="H33" s="62">
        <f t="shared" si="6"/>
        <v>0.25091999999999998</v>
      </c>
      <c r="I33" s="12">
        <v>0</v>
      </c>
      <c r="J33" s="21"/>
      <c r="K33" s="6"/>
      <c r="L33" s="6"/>
      <c r="M33" s="6"/>
    </row>
    <row r="34" spans="1:14" ht="15.75" hidden="1" customHeight="1">
      <c r="A34" s="105"/>
      <c r="B34" s="51" t="s">
        <v>104</v>
      </c>
      <c r="C34" s="59" t="s">
        <v>29</v>
      </c>
      <c r="D34" s="51" t="s">
        <v>61</v>
      </c>
      <c r="E34" s="60"/>
      <c r="F34" s="61">
        <v>1</v>
      </c>
      <c r="G34" s="61">
        <v>1490.31</v>
      </c>
      <c r="H34" s="62">
        <f t="shared" si="6"/>
        <v>1.49031</v>
      </c>
      <c r="I34" s="12">
        <v>0</v>
      </c>
      <c r="J34" s="21"/>
      <c r="K34" s="6"/>
      <c r="L34" s="6"/>
      <c r="M34" s="6"/>
    </row>
    <row r="35" spans="1:14" ht="15.75" customHeight="1">
      <c r="A35" s="102"/>
      <c r="B35" s="55" t="s">
        <v>4</v>
      </c>
      <c r="C35" s="104"/>
      <c r="D35" s="104"/>
      <c r="E35" s="104"/>
      <c r="F35" s="104"/>
      <c r="G35" s="104"/>
      <c r="H35" s="104"/>
      <c r="I35" s="104"/>
      <c r="J35" s="21"/>
      <c r="K35" s="6"/>
      <c r="L35" s="6"/>
      <c r="M35" s="6"/>
    </row>
    <row r="36" spans="1:14" ht="15.75" hidden="1" customHeight="1">
      <c r="A36" s="100">
        <v>6</v>
      </c>
      <c r="B36" s="51" t="s">
        <v>25</v>
      </c>
      <c r="C36" s="59" t="s">
        <v>29</v>
      </c>
      <c r="D36" s="51"/>
      <c r="E36" s="60"/>
      <c r="F36" s="61">
        <v>3</v>
      </c>
      <c r="G36" s="61">
        <v>2003</v>
      </c>
      <c r="H36" s="62">
        <f t="shared" ref="H36:H42" si="8">SUM(F36*G36/1000)</f>
        <v>6.0090000000000003</v>
      </c>
      <c r="I36" s="12">
        <f>F36/6*G36</f>
        <v>1001.5</v>
      </c>
      <c r="J36" s="21"/>
      <c r="K36" s="6"/>
      <c r="L36" s="6"/>
      <c r="M36" s="6"/>
    </row>
    <row r="37" spans="1:14" ht="15.75" customHeight="1">
      <c r="A37" s="26">
        <v>5</v>
      </c>
      <c r="B37" s="51" t="s">
        <v>143</v>
      </c>
      <c r="C37" s="59" t="s">
        <v>27</v>
      </c>
      <c r="D37" s="51" t="s">
        <v>207</v>
      </c>
      <c r="E37" s="60">
        <v>92</v>
      </c>
      <c r="F37" s="61">
        <f>E37*30/1000</f>
        <v>2.76</v>
      </c>
      <c r="G37" s="61">
        <v>2757.78</v>
      </c>
      <c r="H37" s="62">
        <f>G37*F37/1000</f>
        <v>7.6114727999999996</v>
      </c>
      <c r="I37" s="12">
        <f>F37/6*G37</f>
        <v>1268.5788</v>
      </c>
      <c r="J37" s="21"/>
      <c r="K37" s="6"/>
      <c r="L37" s="6"/>
      <c r="M37" s="6"/>
    </row>
    <row r="38" spans="1:14" ht="15.75" hidden="1" customHeight="1">
      <c r="A38" s="26">
        <v>8</v>
      </c>
      <c r="B38" s="51" t="s">
        <v>106</v>
      </c>
      <c r="C38" s="59" t="s">
        <v>107</v>
      </c>
      <c r="D38" s="51" t="s">
        <v>61</v>
      </c>
      <c r="E38" s="60"/>
      <c r="F38" s="61">
        <v>52</v>
      </c>
      <c r="G38" s="61">
        <v>239.09</v>
      </c>
      <c r="H38" s="62">
        <f>G38*F38/1000</f>
        <v>12.43268</v>
      </c>
      <c r="I38" s="12">
        <f t="shared" ref="I38:I40" si="9">F38/6*G38</f>
        <v>2072.1133333333332</v>
      </c>
      <c r="J38" s="21"/>
      <c r="K38" s="6"/>
    </row>
    <row r="39" spans="1:14" ht="15.75" customHeight="1">
      <c r="A39" s="26">
        <v>6</v>
      </c>
      <c r="B39" s="51" t="s">
        <v>62</v>
      </c>
      <c r="C39" s="59" t="s">
        <v>27</v>
      </c>
      <c r="D39" s="51" t="s">
        <v>208</v>
      </c>
      <c r="E39" s="61">
        <f>E37</f>
        <v>92</v>
      </c>
      <c r="F39" s="61">
        <f>SUM(E39*155/1000)</f>
        <v>14.26</v>
      </c>
      <c r="G39" s="61">
        <v>460.02</v>
      </c>
      <c r="H39" s="62">
        <f t="shared" si="8"/>
        <v>6.5598852000000001</v>
      </c>
      <c r="I39" s="12">
        <f t="shared" si="9"/>
        <v>1093.3141999999998</v>
      </c>
      <c r="J39" s="22"/>
    </row>
    <row r="40" spans="1:14" ht="48" customHeight="1">
      <c r="A40" s="26">
        <v>7</v>
      </c>
      <c r="B40" s="51" t="s">
        <v>76</v>
      </c>
      <c r="C40" s="59" t="s">
        <v>93</v>
      </c>
      <c r="D40" s="51" t="s">
        <v>209</v>
      </c>
      <c r="E40" s="61">
        <v>92</v>
      </c>
      <c r="F40" s="61">
        <f>SUM(E40*35/1000)</f>
        <v>3.22</v>
      </c>
      <c r="G40" s="61">
        <v>7611.16</v>
      </c>
      <c r="H40" s="62">
        <f t="shared" si="8"/>
        <v>24.507935199999999</v>
      </c>
      <c r="I40" s="12">
        <f t="shared" si="9"/>
        <v>4084.655866666667</v>
      </c>
      <c r="J40" s="22"/>
    </row>
    <row r="41" spans="1:14" ht="15.75" customHeight="1">
      <c r="A41" s="26">
        <v>8</v>
      </c>
      <c r="B41" s="51" t="s">
        <v>109</v>
      </c>
      <c r="C41" s="59" t="s">
        <v>93</v>
      </c>
      <c r="D41" s="51" t="s">
        <v>210</v>
      </c>
      <c r="E41" s="61">
        <f>E37</f>
        <v>92</v>
      </c>
      <c r="F41" s="61">
        <f>SUM(E41*20/1000)</f>
        <v>1.84</v>
      </c>
      <c r="G41" s="61">
        <v>562.25</v>
      </c>
      <c r="H41" s="62">
        <f t="shared" si="8"/>
        <v>1.03454</v>
      </c>
      <c r="I41" s="12">
        <f>F41/7.5*G41</f>
        <v>137.93866666666668</v>
      </c>
      <c r="J41" s="22"/>
    </row>
    <row r="42" spans="1:14" ht="15.75" customHeight="1">
      <c r="A42" s="26">
        <v>9</v>
      </c>
      <c r="B42" s="51" t="s">
        <v>63</v>
      </c>
      <c r="C42" s="59" t="s">
        <v>30</v>
      </c>
      <c r="D42" s="51"/>
      <c r="E42" s="60"/>
      <c r="F42" s="61">
        <v>0.8</v>
      </c>
      <c r="G42" s="61">
        <v>992.97</v>
      </c>
      <c r="H42" s="62">
        <f t="shared" si="8"/>
        <v>0.79437600000000008</v>
      </c>
      <c r="I42" s="12">
        <f>F42/7.5*G42</f>
        <v>105.91680000000001</v>
      </c>
      <c r="J42" s="22"/>
    </row>
    <row r="43" spans="1:14" ht="15.75" customHeight="1">
      <c r="A43" s="171" t="s">
        <v>121</v>
      </c>
      <c r="B43" s="172"/>
      <c r="C43" s="172"/>
      <c r="D43" s="172"/>
      <c r="E43" s="172"/>
      <c r="F43" s="172"/>
      <c r="G43" s="172"/>
      <c r="H43" s="172"/>
      <c r="I43" s="173"/>
      <c r="J43" s="22"/>
      <c r="L43" s="18"/>
      <c r="M43" s="19"/>
      <c r="N43" s="20"/>
    </row>
    <row r="44" spans="1:14" ht="15.75" hidden="1" customHeight="1">
      <c r="A44" s="26">
        <v>11</v>
      </c>
      <c r="B44" s="32" t="s">
        <v>110</v>
      </c>
      <c r="C44" s="39" t="s">
        <v>93</v>
      </c>
      <c r="D44" s="32" t="s">
        <v>39</v>
      </c>
      <c r="E44" s="107">
        <v>1114.25</v>
      </c>
      <c r="F44" s="31">
        <f>SUM(E44*2/1000)</f>
        <v>2.2284999999999999</v>
      </c>
      <c r="G44" s="34">
        <v>1193.71</v>
      </c>
      <c r="H44" s="108">
        <f t="shared" ref="H44:H53" si="10">SUM(F44*G44/1000)</f>
        <v>2.6601827349999998</v>
      </c>
      <c r="I44" s="12">
        <f t="shared" ref="I44:I46" si="11">F44/2*G44</f>
        <v>1330.0913674999999</v>
      </c>
      <c r="J44" s="22"/>
      <c r="L44" s="18"/>
      <c r="M44" s="19"/>
      <c r="N44" s="20"/>
    </row>
    <row r="45" spans="1:14" ht="15.75" hidden="1" customHeight="1">
      <c r="A45" s="26">
        <v>12</v>
      </c>
      <c r="B45" s="32" t="s">
        <v>33</v>
      </c>
      <c r="C45" s="39" t="s">
        <v>93</v>
      </c>
      <c r="D45" s="32" t="s">
        <v>39</v>
      </c>
      <c r="E45" s="107">
        <v>2631</v>
      </c>
      <c r="F45" s="31">
        <f>SUM(E45*2/1000)</f>
        <v>5.2619999999999996</v>
      </c>
      <c r="G45" s="34">
        <v>1803.69</v>
      </c>
      <c r="H45" s="108">
        <f t="shared" si="10"/>
        <v>9.4910167800000007</v>
      </c>
      <c r="I45" s="12">
        <f t="shared" si="11"/>
        <v>4745.50839</v>
      </c>
      <c r="J45" s="22"/>
      <c r="L45" s="18"/>
      <c r="M45" s="19"/>
      <c r="N45" s="20"/>
    </row>
    <row r="46" spans="1:14" ht="15.75" hidden="1" customHeight="1">
      <c r="A46" s="26">
        <v>13</v>
      </c>
      <c r="B46" s="32" t="s">
        <v>34</v>
      </c>
      <c r="C46" s="39" t="s">
        <v>93</v>
      </c>
      <c r="D46" s="32" t="s">
        <v>39</v>
      </c>
      <c r="E46" s="107">
        <v>1953.8</v>
      </c>
      <c r="F46" s="31">
        <f>SUM(E46*2/1000)</f>
        <v>3.9076</v>
      </c>
      <c r="G46" s="34">
        <v>1243.43</v>
      </c>
      <c r="H46" s="108">
        <f t="shared" si="10"/>
        <v>4.8588270680000001</v>
      </c>
      <c r="I46" s="12">
        <f t="shared" si="11"/>
        <v>2429.4135340000003</v>
      </c>
      <c r="J46" s="22"/>
      <c r="L46" s="18"/>
      <c r="M46" s="19"/>
      <c r="N46" s="20"/>
    </row>
    <row r="47" spans="1:14" ht="15.75" hidden="1" customHeight="1">
      <c r="A47" s="26">
        <v>14</v>
      </c>
      <c r="B47" s="32" t="s">
        <v>31</v>
      </c>
      <c r="C47" s="39" t="s">
        <v>32</v>
      </c>
      <c r="D47" s="32" t="s">
        <v>39</v>
      </c>
      <c r="E47" s="107">
        <v>91.84</v>
      </c>
      <c r="F47" s="31">
        <f>SUM(E47*2/100)</f>
        <v>1.8368</v>
      </c>
      <c r="G47" s="109">
        <v>1172.4100000000001</v>
      </c>
      <c r="H47" s="108">
        <f t="shared" si="10"/>
        <v>2.153482688</v>
      </c>
      <c r="I47" s="12">
        <f>F47/2*G47</f>
        <v>1076.741344</v>
      </c>
      <c r="J47" s="22"/>
      <c r="L47" s="18"/>
      <c r="M47" s="19"/>
      <c r="N47" s="20"/>
    </row>
    <row r="48" spans="1:14" ht="15.75" customHeight="1">
      <c r="A48" s="26">
        <v>10</v>
      </c>
      <c r="B48" s="32" t="s">
        <v>54</v>
      </c>
      <c r="C48" s="39" t="s">
        <v>93</v>
      </c>
      <c r="D48" s="32" t="s">
        <v>211</v>
      </c>
      <c r="E48" s="107">
        <v>3181</v>
      </c>
      <c r="F48" s="31">
        <f>SUM(E48*5/1000)</f>
        <v>15.904999999999999</v>
      </c>
      <c r="G48" s="34">
        <v>1083.69</v>
      </c>
      <c r="H48" s="108">
        <f t="shared" si="10"/>
        <v>17.236089449999998</v>
      </c>
      <c r="I48" s="12">
        <f>F48/5*G48</f>
        <v>3447.2178900000004</v>
      </c>
      <c r="J48" s="22"/>
      <c r="L48" s="18"/>
      <c r="M48" s="19"/>
      <c r="N48" s="20"/>
    </row>
    <row r="49" spans="1:14" ht="31.5" hidden="1" customHeight="1">
      <c r="A49" s="26">
        <v>16</v>
      </c>
      <c r="B49" s="32" t="s">
        <v>111</v>
      </c>
      <c r="C49" s="39" t="s">
        <v>93</v>
      </c>
      <c r="D49" s="32" t="s">
        <v>39</v>
      </c>
      <c r="E49" s="107">
        <v>3181</v>
      </c>
      <c r="F49" s="31">
        <f>SUM(E49*2/1000)</f>
        <v>6.3620000000000001</v>
      </c>
      <c r="G49" s="34">
        <v>1591.6</v>
      </c>
      <c r="H49" s="108">
        <f t="shared" si="10"/>
        <v>10.125759200000001</v>
      </c>
      <c r="I49" s="12">
        <f>F49/2*G49</f>
        <v>5062.8796000000002</v>
      </c>
      <c r="J49" s="22"/>
      <c r="L49" s="18"/>
      <c r="M49" s="19"/>
      <c r="N49" s="20"/>
    </row>
    <row r="50" spans="1:14" ht="31.5" hidden="1" customHeight="1">
      <c r="A50" s="26">
        <v>17</v>
      </c>
      <c r="B50" s="32" t="s">
        <v>112</v>
      </c>
      <c r="C50" s="39" t="s">
        <v>35</v>
      </c>
      <c r="D50" s="32" t="s">
        <v>39</v>
      </c>
      <c r="E50" s="107">
        <v>20</v>
      </c>
      <c r="F50" s="31">
        <f>SUM(E50*2/100)</f>
        <v>0.4</v>
      </c>
      <c r="G50" s="34">
        <v>4058.32</v>
      </c>
      <c r="H50" s="108">
        <f t="shared" si="10"/>
        <v>1.6233280000000001</v>
      </c>
      <c r="I50" s="12">
        <f t="shared" ref="I50:I51" si="12">F50/2*G50</f>
        <v>811.6640000000001</v>
      </c>
      <c r="J50" s="22"/>
      <c r="L50" s="18"/>
      <c r="M50" s="19"/>
      <c r="N50" s="20"/>
    </row>
    <row r="51" spans="1:14" ht="15.75" hidden="1" customHeight="1">
      <c r="A51" s="26">
        <v>18</v>
      </c>
      <c r="B51" s="32" t="s">
        <v>36</v>
      </c>
      <c r="C51" s="39" t="s">
        <v>37</v>
      </c>
      <c r="D51" s="32" t="s">
        <v>39</v>
      </c>
      <c r="E51" s="107">
        <v>1</v>
      </c>
      <c r="F51" s="31">
        <v>0.02</v>
      </c>
      <c r="G51" s="34">
        <v>7412.92</v>
      </c>
      <c r="H51" s="108">
        <f t="shared" si="10"/>
        <v>0.14825839999999998</v>
      </c>
      <c r="I51" s="12">
        <f t="shared" si="12"/>
        <v>74.129199999999997</v>
      </c>
      <c r="J51" s="22"/>
      <c r="L51" s="18"/>
      <c r="M51" s="19"/>
      <c r="N51" s="20"/>
    </row>
    <row r="52" spans="1:14" ht="19.5" customHeight="1">
      <c r="A52" s="26">
        <v>11</v>
      </c>
      <c r="B52" s="32" t="s">
        <v>113</v>
      </c>
      <c r="C52" s="39" t="s">
        <v>94</v>
      </c>
      <c r="D52" s="158">
        <v>43518</v>
      </c>
      <c r="E52" s="107">
        <v>70</v>
      </c>
      <c r="F52" s="31">
        <f>E52*3</f>
        <v>210</v>
      </c>
      <c r="G52" s="34">
        <v>185.08</v>
      </c>
      <c r="H52" s="108">
        <f t="shared" si="10"/>
        <v>38.866800000000005</v>
      </c>
      <c r="I52" s="12">
        <f>E52*G52</f>
        <v>12955.6</v>
      </c>
      <c r="J52" s="22"/>
      <c r="L52" s="18"/>
      <c r="M52" s="19"/>
      <c r="N52" s="20"/>
    </row>
    <row r="53" spans="1:14" ht="17.25" customHeight="1">
      <c r="A53" s="26">
        <v>12</v>
      </c>
      <c r="B53" s="32" t="s">
        <v>38</v>
      </c>
      <c r="C53" s="39" t="s">
        <v>94</v>
      </c>
      <c r="D53" s="158">
        <v>43518</v>
      </c>
      <c r="E53" s="107">
        <v>140</v>
      </c>
      <c r="F53" s="31">
        <f>E53*3</f>
        <v>420</v>
      </c>
      <c r="G53" s="35">
        <v>86.15</v>
      </c>
      <c r="H53" s="108">
        <f t="shared" si="10"/>
        <v>36.183</v>
      </c>
      <c r="I53" s="12">
        <f>E53*G53</f>
        <v>12061</v>
      </c>
      <c r="J53" s="22"/>
      <c r="L53" s="18"/>
      <c r="M53" s="19"/>
      <c r="N53" s="20"/>
    </row>
    <row r="54" spans="1:14" ht="15.75" customHeight="1">
      <c r="A54" s="171" t="s">
        <v>122</v>
      </c>
      <c r="B54" s="174"/>
      <c r="C54" s="174"/>
      <c r="D54" s="174"/>
      <c r="E54" s="174"/>
      <c r="F54" s="174"/>
      <c r="G54" s="174"/>
      <c r="H54" s="174"/>
      <c r="I54" s="175"/>
      <c r="J54" s="22"/>
      <c r="L54" s="18"/>
      <c r="M54" s="19"/>
      <c r="N54" s="20"/>
    </row>
    <row r="55" spans="1:14" ht="21" customHeight="1">
      <c r="A55" s="26"/>
      <c r="B55" s="81" t="s">
        <v>40</v>
      </c>
      <c r="C55" s="59"/>
      <c r="D55" s="51"/>
      <c r="E55" s="60"/>
      <c r="F55" s="61"/>
      <c r="G55" s="61"/>
      <c r="H55" s="62"/>
      <c r="I55" s="12"/>
      <c r="J55" s="22"/>
      <c r="L55" s="18"/>
      <c r="M55" s="19"/>
      <c r="N55" s="20"/>
    </row>
    <row r="56" spans="1:14" ht="20.25" hidden="1" customHeight="1">
      <c r="A56" s="26">
        <v>13</v>
      </c>
      <c r="B56" s="51" t="s">
        <v>114</v>
      </c>
      <c r="C56" s="59" t="s">
        <v>83</v>
      </c>
      <c r="D56" s="51" t="s">
        <v>115</v>
      </c>
      <c r="E56" s="60">
        <v>111.2</v>
      </c>
      <c r="F56" s="61">
        <f>SUM(E56*6/100)</f>
        <v>6.6720000000000006</v>
      </c>
      <c r="G56" s="12">
        <v>2431.1799999999998</v>
      </c>
      <c r="H56" s="62">
        <f>SUM(F56*G56/1000)</f>
        <v>16.220832959999999</v>
      </c>
      <c r="I56" s="12">
        <f>F56/6*G56</f>
        <v>2703.4721600000003</v>
      </c>
      <c r="J56" s="22"/>
      <c r="L56" s="18"/>
      <c r="M56" s="19"/>
      <c r="N56" s="20"/>
    </row>
    <row r="57" spans="1:14" ht="20.25" customHeight="1">
      <c r="A57" s="26">
        <v>13</v>
      </c>
      <c r="B57" s="70" t="s">
        <v>117</v>
      </c>
      <c r="C57" s="69" t="s">
        <v>118</v>
      </c>
      <c r="D57" s="13" t="s">
        <v>215</v>
      </c>
      <c r="E57" s="71"/>
      <c r="F57" s="72">
        <v>3</v>
      </c>
      <c r="G57" s="12">
        <v>1582.05</v>
      </c>
      <c r="H57" s="62">
        <f>SUM(F57*G57/1000)</f>
        <v>4.7461499999999992</v>
      </c>
      <c r="I57" s="12">
        <f>G57*2</f>
        <v>3164.1</v>
      </c>
      <c r="J57" s="22"/>
      <c r="L57" s="18"/>
      <c r="M57" s="19"/>
      <c r="N57" s="20"/>
    </row>
    <row r="58" spans="1:14" ht="24" hidden="1" customHeight="1">
      <c r="A58" s="26"/>
      <c r="B58" s="82" t="s">
        <v>41</v>
      </c>
      <c r="C58" s="69"/>
      <c r="D58" s="70"/>
      <c r="E58" s="71"/>
      <c r="F58" s="72"/>
      <c r="G58" s="12"/>
      <c r="H58" s="73"/>
      <c r="I58" s="12"/>
      <c r="J58" s="22"/>
      <c r="L58" s="18"/>
      <c r="M58" s="19"/>
      <c r="N58" s="20"/>
    </row>
    <row r="59" spans="1:14" ht="21" hidden="1" customHeight="1">
      <c r="A59" s="26"/>
      <c r="B59" s="70" t="s">
        <v>42</v>
      </c>
      <c r="C59" s="69" t="s">
        <v>50</v>
      </c>
      <c r="D59" s="70" t="s">
        <v>51</v>
      </c>
      <c r="E59" s="71">
        <v>222.85</v>
      </c>
      <c r="F59" s="72">
        <v>8.9</v>
      </c>
      <c r="G59" s="12">
        <v>1040.8399999999999</v>
      </c>
      <c r="H59" s="73">
        <f>F59*G59/1000</f>
        <v>9.2634759999999989</v>
      </c>
      <c r="I59" s="12">
        <v>0</v>
      </c>
      <c r="J59" s="22"/>
      <c r="L59" s="18"/>
      <c r="M59" s="19"/>
      <c r="N59" s="20"/>
    </row>
    <row r="60" spans="1:14" ht="15.75" customHeight="1">
      <c r="A60" s="26"/>
      <c r="B60" s="82" t="s">
        <v>43</v>
      </c>
      <c r="C60" s="69"/>
      <c r="D60" s="70"/>
      <c r="E60" s="71"/>
      <c r="F60" s="74"/>
      <c r="G60" s="74"/>
      <c r="H60" s="72" t="s">
        <v>102</v>
      </c>
      <c r="I60" s="12"/>
      <c r="J60" s="22"/>
      <c r="L60" s="18"/>
      <c r="M60" s="19"/>
      <c r="N60" s="20"/>
    </row>
    <row r="61" spans="1:14" ht="15.75" hidden="1" customHeight="1">
      <c r="A61" s="26">
        <v>9</v>
      </c>
      <c r="B61" s="13" t="s">
        <v>44</v>
      </c>
      <c r="C61" s="15" t="s">
        <v>94</v>
      </c>
      <c r="D61" s="13" t="s">
        <v>61</v>
      </c>
      <c r="E61" s="17">
        <v>4</v>
      </c>
      <c r="F61" s="61">
        <f>E61</f>
        <v>4</v>
      </c>
      <c r="G61" s="12">
        <v>291.68</v>
      </c>
      <c r="H61" s="75">
        <f t="shared" ref="H61:H69" si="13">SUM(F61*G61/1000)</f>
        <v>1.16672</v>
      </c>
      <c r="I61" s="12">
        <f>G61*2</f>
        <v>583.36</v>
      </c>
      <c r="J61" s="22"/>
      <c r="L61" s="18"/>
      <c r="M61" s="19"/>
      <c r="N61" s="20"/>
    </row>
    <row r="62" spans="1:14" ht="15.75" hidden="1" customHeight="1">
      <c r="A62" s="26">
        <v>17</v>
      </c>
      <c r="B62" s="13" t="s">
        <v>45</v>
      </c>
      <c r="C62" s="15" t="s">
        <v>94</v>
      </c>
      <c r="D62" s="13" t="s">
        <v>61</v>
      </c>
      <c r="E62" s="17">
        <v>4</v>
      </c>
      <c r="F62" s="61">
        <f>E62</f>
        <v>4</v>
      </c>
      <c r="G62" s="12">
        <v>100.01</v>
      </c>
      <c r="H62" s="75">
        <f t="shared" si="13"/>
        <v>0.40004000000000001</v>
      </c>
      <c r="I62" s="12">
        <f t="shared" ref="I62:I67" si="14">G62*2</f>
        <v>200.02</v>
      </c>
      <c r="J62" s="22"/>
      <c r="L62" s="18"/>
      <c r="M62" s="19"/>
      <c r="N62" s="20"/>
    </row>
    <row r="63" spans="1:14" ht="15.75" hidden="1" customHeight="1">
      <c r="A63" s="26">
        <v>24</v>
      </c>
      <c r="B63" s="13" t="s">
        <v>46</v>
      </c>
      <c r="C63" s="15" t="s">
        <v>95</v>
      </c>
      <c r="D63" s="13" t="s">
        <v>51</v>
      </c>
      <c r="E63" s="60">
        <v>12702</v>
      </c>
      <c r="F63" s="12">
        <f>SUM(E63/100)</f>
        <v>127.02</v>
      </c>
      <c r="G63" s="12">
        <v>278.24</v>
      </c>
      <c r="H63" s="75">
        <f t="shared" si="13"/>
        <v>35.342044800000004</v>
      </c>
      <c r="I63" s="12">
        <f t="shared" si="14"/>
        <v>556.48</v>
      </c>
      <c r="J63" s="22"/>
      <c r="L63" s="18"/>
      <c r="M63" s="19"/>
      <c r="N63" s="20"/>
    </row>
    <row r="64" spans="1:14" ht="15.75" hidden="1" customHeight="1">
      <c r="A64" s="26">
        <v>25</v>
      </c>
      <c r="B64" s="13" t="s">
        <v>47</v>
      </c>
      <c r="C64" s="15" t="s">
        <v>96</v>
      </c>
      <c r="D64" s="13"/>
      <c r="E64" s="60">
        <v>12702</v>
      </c>
      <c r="F64" s="12">
        <f>SUM(E64/1000)</f>
        <v>12.702</v>
      </c>
      <c r="G64" s="12">
        <v>216.68</v>
      </c>
      <c r="H64" s="75">
        <f t="shared" si="13"/>
        <v>2.7522693600000001</v>
      </c>
      <c r="I64" s="12">
        <f t="shared" si="14"/>
        <v>433.36</v>
      </c>
      <c r="J64" s="22"/>
      <c r="L64" s="18"/>
      <c r="M64" s="19"/>
      <c r="N64" s="20"/>
    </row>
    <row r="65" spans="1:14" ht="15.75" hidden="1" customHeight="1">
      <c r="A65" s="26">
        <v>26</v>
      </c>
      <c r="B65" s="13" t="s">
        <v>48</v>
      </c>
      <c r="C65" s="15" t="s">
        <v>70</v>
      </c>
      <c r="D65" s="13" t="s">
        <v>51</v>
      </c>
      <c r="E65" s="60">
        <v>2200</v>
      </c>
      <c r="F65" s="12">
        <f>SUM(E65/100)</f>
        <v>22</v>
      </c>
      <c r="G65" s="12">
        <v>2720.94</v>
      </c>
      <c r="H65" s="75">
        <f t="shared" si="13"/>
        <v>59.860680000000002</v>
      </c>
      <c r="I65" s="12">
        <f t="shared" si="14"/>
        <v>5441.88</v>
      </c>
      <c r="J65" s="22"/>
      <c r="L65" s="18"/>
      <c r="M65" s="19"/>
      <c r="N65" s="20"/>
    </row>
    <row r="66" spans="1:14" ht="15.75" hidden="1" customHeight="1">
      <c r="A66" s="26">
        <v>27</v>
      </c>
      <c r="B66" s="76" t="s">
        <v>97</v>
      </c>
      <c r="C66" s="15" t="s">
        <v>30</v>
      </c>
      <c r="D66" s="13"/>
      <c r="E66" s="60">
        <v>9.6</v>
      </c>
      <c r="F66" s="12">
        <f>SUM(E66)</f>
        <v>9.6</v>
      </c>
      <c r="G66" s="12">
        <v>42.61</v>
      </c>
      <c r="H66" s="75">
        <f t="shared" si="13"/>
        <v>0.40905599999999998</v>
      </c>
      <c r="I66" s="12">
        <f t="shared" si="14"/>
        <v>85.22</v>
      </c>
      <c r="J66" s="22"/>
      <c r="L66" s="18"/>
      <c r="M66" s="19"/>
      <c r="N66" s="20"/>
    </row>
    <row r="67" spans="1:14" ht="15.75" hidden="1" customHeight="1">
      <c r="A67" s="26">
        <v>28</v>
      </c>
      <c r="B67" s="76" t="s">
        <v>98</v>
      </c>
      <c r="C67" s="15" t="s">
        <v>30</v>
      </c>
      <c r="D67" s="13"/>
      <c r="E67" s="60">
        <v>9.6</v>
      </c>
      <c r="F67" s="12">
        <f>SUM(E67)</f>
        <v>9.6</v>
      </c>
      <c r="G67" s="12">
        <v>46.04</v>
      </c>
      <c r="H67" s="75">
        <f t="shared" si="13"/>
        <v>0.44198399999999999</v>
      </c>
      <c r="I67" s="12">
        <f t="shared" si="14"/>
        <v>92.08</v>
      </c>
      <c r="J67" s="22"/>
      <c r="L67" s="18"/>
      <c r="M67" s="19"/>
      <c r="N67" s="20"/>
    </row>
    <row r="68" spans="1:14" ht="15.75" hidden="1" customHeight="1">
      <c r="A68" s="26">
        <v>22</v>
      </c>
      <c r="B68" s="13" t="s">
        <v>55</v>
      </c>
      <c r="C68" s="15" t="s">
        <v>56</v>
      </c>
      <c r="D68" s="13" t="s">
        <v>51</v>
      </c>
      <c r="E68" s="17">
        <v>4</v>
      </c>
      <c r="F68" s="12">
        <f>SUM(E68)</f>
        <v>4</v>
      </c>
      <c r="G68" s="12">
        <v>65.42</v>
      </c>
      <c r="H68" s="75">
        <f t="shared" si="13"/>
        <v>0.26168000000000002</v>
      </c>
      <c r="I68" s="12">
        <f>G68*4</f>
        <v>261.68</v>
      </c>
      <c r="J68" s="22"/>
      <c r="L68" s="18"/>
      <c r="M68" s="19"/>
      <c r="N68" s="20"/>
    </row>
    <row r="69" spans="1:14" ht="15.75" customHeight="1">
      <c r="A69" s="26">
        <v>14</v>
      </c>
      <c r="B69" s="13" t="s">
        <v>146</v>
      </c>
      <c r="C69" s="26" t="s">
        <v>147</v>
      </c>
      <c r="D69" s="13"/>
      <c r="E69" s="17">
        <v>3181</v>
      </c>
      <c r="F69" s="61">
        <f>SUM(E69)*12</f>
        <v>38172</v>
      </c>
      <c r="G69" s="12">
        <v>2.2799999999999998</v>
      </c>
      <c r="H69" s="75">
        <f t="shared" si="13"/>
        <v>87.03215999999999</v>
      </c>
      <c r="I69" s="12">
        <f>F69/12*G69</f>
        <v>7252.6799999999994</v>
      </c>
      <c r="J69" s="22"/>
      <c r="L69" s="18"/>
      <c r="M69" s="19"/>
      <c r="N69" s="20"/>
    </row>
    <row r="70" spans="1:14" ht="15.75" customHeight="1">
      <c r="A70" s="26"/>
      <c r="B70" s="55" t="s">
        <v>65</v>
      </c>
      <c r="C70" s="15"/>
      <c r="D70" s="13"/>
      <c r="E70" s="17"/>
      <c r="F70" s="12"/>
      <c r="G70" s="12"/>
      <c r="H70" s="75" t="s">
        <v>102</v>
      </c>
      <c r="I70" s="12"/>
      <c r="J70" s="22"/>
      <c r="L70" s="18"/>
      <c r="M70" s="19"/>
      <c r="N70" s="20"/>
    </row>
    <row r="71" spans="1:14" ht="19.5" hidden="1" customHeight="1">
      <c r="A71" s="26">
        <v>18</v>
      </c>
      <c r="B71" s="13" t="s">
        <v>148</v>
      </c>
      <c r="C71" s="15" t="s">
        <v>28</v>
      </c>
      <c r="D71" s="13" t="s">
        <v>61</v>
      </c>
      <c r="E71" s="17">
        <v>1</v>
      </c>
      <c r="F71" s="61">
        <f t="shared" ref="F71" si="15">E71</f>
        <v>1</v>
      </c>
      <c r="G71" s="12">
        <v>1543.4</v>
      </c>
      <c r="H71" s="75">
        <f>G71*F71/1000</f>
        <v>1.5434000000000001</v>
      </c>
      <c r="I71" s="12">
        <v>0</v>
      </c>
      <c r="J71" s="22"/>
      <c r="L71" s="18"/>
      <c r="M71" s="19"/>
      <c r="N71" s="20"/>
    </row>
    <row r="72" spans="1:14" ht="15.75" hidden="1" customHeight="1">
      <c r="A72" s="26">
        <v>14</v>
      </c>
      <c r="B72" s="50" t="s">
        <v>149</v>
      </c>
      <c r="C72" s="54" t="s">
        <v>94</v>
      </c>
      <c r="D72" s="13" t="s">
        <v>61</v>
      </c>
      <c r="E72" s="17">
        <v>1</v>
      </c>
      <c r="F72" s="61">
        <f>E72</f>
        <v>1</v>
      </c>
      <c r="G72" s="12">
        <v>130.96</v>
      </c>
      <c r="H72" s="75">
        <f>G72*F72/1000</f>
        <v>0.13096000000000002</v>
      </c>
      <c r="I72" s="12">
        <f>G72</f>
        <v>130.96</v>
      </c>
      <c r="J72" s="22"/>
      <c r="L72" s="18"/>
      <c r="M72" s="19"/>
      <c r="N72" s="20"/>
    </row>
    <row r="73" spans="1:14" ht="15" customHeight="1">
      <c r="A73" s="26">
        <v>15</v>
      </c>
      <c r="B73" s="13" t="s">
        <v>66</v>
      </c>
      <c r="C73" s="15" t="s">
        <v>68</v>
      </c>
      <c r="D73" s="13" t="s">
        <v>216</v>
      </c>
      <c r="E73" s="17">
        <v>3</v>
      </c>
      <c r="F73" s="61">
        <f>E73/10</f>
        <v>0.3</v>
      </c>
      <c r="G73" s="12">
        <v>657.87</v>
      </c>
      <c r="H73" s="75">
        <f t="shared" ref="H73:H76" si="16">SUM(F73*G73/1000)</f>
        <v>0.19736099999999998</v>
      </c>
      <c r="I73" s="12">
        <f>G73*1.2</f>
        <v>789.44399999999996</v>
      </c>
      <c r="J73" s="22"/>
      <c r="L73" s="18"/>
      <c r="M73" s="19"/>
      <c r="N73" s="20"/>
    </row>
    <row r="74" spans="1:14" ht="25.5" hidden="1" customHeight="1">
      <c r="A74" s="26"/>
      <c r="B74" s="13" t="s">
        <v>67</v>
      </c>
      <c r="C74" s="15" t="s">
        <v>28</v>
      </c>
      <c r="D74" s="13" t="s">
        <v>61</v>
      </c>
      <c r="E74" s="17">
        <v>1</v>
      </c>
      <c r="F74" s="61">
        <f>E74</f>
        <v>1</v>
      </c>
      <c r="G74" s="12">
        <v>1118.72</v>
      </c>
      <c r="H74" s="75">
        <f t="shared" si="16"/>
        <v>1.1187199999999999</v>
      </c>
      <c r="I74" s="12">
        <v>0</v>
      </c>
      <c r="J74" s="22"/>
      <c r="L74" s="18"/>
      <c r="M74" s="19"/>
      <c r="N74" s="20"/>
    </row>
    <row r="75" spans="1:14" ht="21.75" hidden="1" customHeight="1">
      <c r="A75" s="26"/>
      <c r="B75" s="50" t="s">
        <v>150</v>
      </c>
      <c r="C75" s="54" t="s">
        <v>94</v>
      </c>
      <c r="D75" s="13" t="s">
        <v>61</v>
      </c>
      <c r="E75" s="17">
        <v>1</v>
      </c>
      <c r="F75" s="61">
        <f>E75</f>
        <v>1</v>
      </c>
      <c r="G75" s="12">
        <v>1605.83</v>
      </c>
      <c r="H75" s="75">
        <f t="shared" si="16"/>
        <v>1.6058299999999999</v>
      </c>
      <c r="I75" s="12">
        <v>0</v>
      </c>
      <c r="J75" s="22"/>
      <c r="L75" s="18"/>
      <c r="M75" s="19"/>
      <c r="N75" s="20"/>
    </row>
    <row r="76" spans="1:14" ht="15.75" customHeight="1">
      <c r="A76" s="26">
        <v>16</v>
      </c>
      <c r="B76" s="50" t="s">
        <v>151</v>
      </c>
      <c r="C76" s="54" t="s">
        <v>94</v>
      </c>
      <c r="D76" s="13" t="s">
        <v>211</v>
      </c>
      <c r="E76" s="17">
        <v>2</v>
      </c>
      <c r="F76" s="61">
        <f>E76*12</f>
        <v>24</v>
      </c>
      <c r="G76" s="12">
        <v>53.42</v>
      </c>
      <c r="H76" s="75">
        <f t="shared" si="16"/>
        <v>1.2820799999999999</v>
      </c>
      <c r="I76" s="12">
        <f>G76*2</f>
        <v>106.84</v>
      </c>
      <c r="J76" s="22"/>
      <c r="L76" s="18"/>
      <c r="M76" s="19"/>
      <c r="N76" s="20"/>
    </row>
    <row r="77" spans="1:14" ht="21" customHeight="1">
      <c r="A77" s="26"/>
      <c r="B77" s="77" t="s">
        <v>69</v>
      </c>
      <c r="C77" s="15"/>
      <c r="D77" s="13"/>
      <c r="E77" s="17"/>
      <c r="F77" s="12"/>
      <c r="G77" s="12" t="s">
        <v>102</v>
      </c>
      <c r="H77" s="75" t="s">
        <v>102</v>
      </c>
      <c r="I77" s="12"/>
      <c r="J77" s="22"/>
      <c r="L77" s="18"/>
      <c r="M77" s="19"/>
      <c r="N77" s="20"/>
    </row>
    <row r="78" spans="1:14" ht="17.25" customHeight="1">
      <c r="A78" s="26">
        <v>17</v>
      </c>
      <c r="B78" s="45" t="s">
        <v>101</v>
      </c>
      <c r="C78" s="15" t="s">
        <v>70</v>
      </c>
      <c r="D78" s="13"/>
      <c r="E78" s="17"/>
      <c r="F78" s="12">
        <v>1</v>
      </c>
      <c r="G78" s="12">
        <v>3370.89</v>
      </c>
      <c r="H78" s="75">
        <f t="shared" ref="H78" si="17">SUM(F78*G78/1000)</f>
        <v>3.3708899999999997</v>
      </c>
      <c r="I78" s="12">
        <f>G78*0.03</f>
        <v>101.12669999999999</v>
      </c>
      <c r="J78" s="22"/>
      <c r="L78" s="18"/>
      <c r="M78" s="19"/>
      <c r="N78" s="20"/>
    </row>
    <row r="79" spans="1:14" ht="20.25" hidden="1" customHeight="1">
      <c r="A79" s="26"/>
      <c r="B79" s="55" t="s">
        <v>99</v>
      </c>
      <c r="C79" s="77"/>
      <c r="D79" s="27"/>
      <c r="E79" s="30"/>
      <c r="F79" s="66"/>
      <c r="G79" s="66"/>
      <c r="H79" s="78">
        <f>SUM(H56:H78)</f>
        <v>227.14633412000001</v>
      </c>
      <c r="I79" s="66"/>
      <c r="J79" s="22"/>
      <c r="L79" s="18"/>
      <c r="M79" s="19"/>
      <c r="N79" s="20"/>
    </row>
    <row r="80" spans="1:14" ht="20.25" hidden="1" customHeight="1">
      <c r="A80" s="105">
        <v>16</v>
      </c>
      <c r="B80" s="53" t="s">
        <v>100</v>
      </c>
      <c r="C80" s="110"/>
      <c r="D80" s="111"/>
      <c r="E80" s="111"/>
      <c r="F80" s="112">
        <v>1</v>
      </c>
      <c r="G80" s="112">
        <v>23195</v>
      </c>
      <c r="H80" s="113">
        <f>G80*F80/1000</f>
        <v>23.195</v>
      </c>
      <c r="I80" s="80">
        <f>G80</f>
        <v>23195</v>
      </c>
      <c r="J80" s="22"/>
      <c r="L80" s="18"/>
      <c r="M80" s="19"/>
      <c r="N80" s="20"/>
    </row>
    <row r="81" spans="1:14" ht="19.5" hidden="1" customHeight="1">
      <c r="A81" s="49"/>
      <c r="B81" s="114" t="s">
        <v>152</v>
      </c>
      <c r="C81" s="15"/>
      <c r="D81" s="13"/>
      <c r="E81" s="13"/>
      <c r="F81" s="12">
        <v>69</v>
      </c>
      <c r="G81" s="12">
        <v>700</v>
      </c>
      <c r="H81" s="75">
        <f>G81*F81/1000</f>
        <v>48.3</v>
      </c>
      <c r="I81" s="115">
        <v>0</v>
      </c>
      <c r="J81" s="22"/>
      <c r="L81" s="18"/>
      <c r="M81" s="19"/>
      <c r="N81" s="20"/>
    </row>
    <row r="82" spans="1:14" ht="15.75" customHeight="1">
      <c r="A82" s="168" t="s">
        <v>123</v>
      </c>
      <c r="B82" s="176"/>
      <c r="C82" s="176"/>
      <c r="D82" s="176"/>
      <c r="E82" s="176"/>
      <c r="F82" s="176"/>
      <c r="G82" s="176"/>
      <c r="H82" s="176"/>
      <c r="I82" s="177"/>
      <c r="J82" s="22"/>
      <c r="L82" s="18"/>
      <c r="M82" s="19"/>
      <c r="N82" s="20"/>
    </row>
    <row r="83" spans="1:14" ht="15.75" customHeight="1">
      <c r="A83" s="100">
        <v>18</v>
      </c>
      <c r="B83" s="32" t="s">
        <v>116</v>
      </c>
      <c r="C83" s="37" t="s">
        <v>52</v>
      </c>
      <c r="D83" s="79"/>
      <c r="E83" s="34">
        <v>3181</v>
      </c>
      <c r="F83" s="34">
        <f>SUM(E83*12)</f>
        <v>38172</v>
      </c>
      <c r="G83" s="34">
        <v>3.1</v>
      </c>
      <c r="H83" s="106">
        <f>SUM(F83*G83/1000)</f>
        <v>118.33319999999999</v>
      </c>
      <c r="I83" s="101">
        <f>F83/12*G83</f>
        <v>9861.1</v>
      </c>
      <c r="J83" s="22"/>
      <c r="L83" s="18"/>
      <c r="M83" s="19"/>
      <c r="N83" s="20"/>
    </row>
    <row r="84" spans="1:14" ht="31.5" customHeight="1">
      <c r="A84" s="26">
        <v>19</v>
      </c>
      <c r="B84" s="13" t="s">
        <v>71</v>
      </c>
      <c r="C84" s="15"/>
      <c r="D84" s="79"/>
      <c r="E84" s="60">
        <v>3181</v>
      </c>
      <c r="F84" s="12">
        <f>E84*12</f>
        <v>38172</v>
      </c>
      <c r="G84" s="12">
        <v>3.5</v>
      </c>
      <c r="H84" s="75">
        <f>F84*G84/1000</f>
        <v>133.602</v>
      </c>
      <c r="I84" s="12">
        <f>F84/12*G84</f>
        <v>11133.5</v>
      </c>
      <c r="J84" s="22"/>
      <c r="L84" s="18"/>
      <c r="M84" s="19"/>
      <c r="N84" s="20"/>
    </row>
    <row r="85" spans="1:14" ht="15.75" customHeight="1">
      <c r="A85" s="49"/>
      <c r="B85" s="38" t="s">
        <v>74</v>
      </c>
      <c r="C85" s="15"/>
      <c r="D85" s="45"/>
      <c r="E85" s="12"/>
      <c r="F85" s="12"/>
      <c r="G85" s="12"/>
      <c r="H85" s="75">
        <f>H84</f>
        <v>133.602</v>
      </c>
      <c r="I85" s="66">
        <f>I84+I83+I78+I76+I73+I69+I53+I52+I48+I42+I41+I40+I39+I37+I26+I18+I17+I16+I57</f>
        <v>79114.390543333328</v>
      </c>
      <c r="J85" s="22"/>
      <c r="L85" s="18"/>
      <c r="M85" s="19"/>
      <c r="N85" s="20"/>
    </row>
    <row r="86" spans="1:14" ht="15.75" customHeight="1">
      <c r="A86" s="178" t="s">
        <v>57</v>
      </c>
      <c r="B86" s="179"/>
      <c r="C86" s="179"/>
      <c r="D86" s="179"/>
      <c r="E86" s="179"/>
      <c r="F86" s="179"/>
      <c r="G86" s="179"/>
      <c r="H86" s="179"/>
      <c r="I86" s="180"/>
      <c r="J86" s="22"/>
      <c r="L86" s="18"/>
      <c r="M86" s="19"/>
      <c r="N86" s="20"/>
    </row>
    <row r="87" spans="1:14" ht="15.75" customHeight="1">
      <c r="A87" s="26">
        <v>20</v>
      </c>
      <c r="B87" s="13" t="s">
        <v>156</v>
      </c>
      <c r="C87" s="15" t="s">
        <v>157</v>
      </c>
      <c r="D87" s="13"/>
      <c r="E87" s="17"/>
      <c r="F87" s="12">
        <v>96</v>
      </c>
      <c r="G87" s="12">
        <v>1.4</v>
      </c>
      <c r="H87" s="12">
        <f>F87*G87/1000</f>
        <v>0.13439999999999996</v>
      </c>
      <c r="I87" s="12">
        <f>G87*48</f>
        <v>67.199999999999989</v>
      </c>
      <c r="J87" s="22"/>
      <c r="L87" s="18"/>
      <c r="M87" s="19"/>
      <c r="N87" s="20"/>
    </row>
    <row r="88" spans="1:14" ht="15.75" customHeight="1">
      <c r="A88" s="26">
        <v>21</v>
      </c>
      <c r="B88" s="122" t="s">
        <v>171</v>
      </c>
      <c r="C88" s="123" t="s">
        <v>94</v>
      </c>
      <c r="D88" s="36"/>
      <c r="E88" s="16"/>
      <c r="F88" s="34">
        <v>0.01</v>
      </c>
      <c r="G88" s="34">
        <v>145.27000000000001</v>
      </c>
      <c r="H88" s="106">
        <f>G88*F88/1000</f>
        <v>1.4527000000000001E-3</v>
      </c>
      <c r="I88" s="12">
        <f>G88*1</f>
        <v>145.27000000000001</v>
      </c>
      <c r="J88" s="22"/>
      <c r="L88" s="18"/>
      <c r="M88" s="19"/>
      <c r="N88" s="20"/>
    </row>
    <row r="89" spans="1:14" ht="16.5" customHeight="1">
      <c r="A89" s="26">
        <v>22</v>
      </c>
      <c r="B89" s="122" t="s">
        <v>163</v>
      </c>
      <c r="C89" s="123" t="s">
        <v>94</v>
      </c>
      <c r="D89" s="36"/>
      <c r="E89" s="16"/>
      <c r="F89" s="34"/>
      <c r="G89" s="34">
        <v>87.32</v>
      </c>
      <c r="H89" s="106"/>
      <c r="I89" s="12">
        <f>G89*1</f>
        <v>87.32</v>
      </c>
      <c r="J89" s="22"/>
      <c r="L89" s="18"/>
      <c r="M89" s="19"/>
      <c r="N89" s="20"/>
    </row>
    <row r="90" spans="1:14" ht="16.5" customHeight="1">
      <c r="A90" s="26">
        <v>23</v>
      </c>
      <c r="B90" s="122" t="s">
        <v>172</v>
      </c>
      <c r="C90" s="123" t="s">
        <v>27</v>
      </c>
      <c r="D90" s="36"/>
      <c r="E90" s="16"/>
      <c r="F90" s="34"/>
      <c r="G90" s="34">
        <v>8319.2999999999993</v>
      </c>
      <c r="H90" s="106"/>
      <c r="I90" s="12">
        <f>G90*0.003</f>
        <v>24.957899999999999</v>
      </c>
      <c r="J90" s="22"/>
      <c r="L90" s="18"/>
      <c r="M90" s="19"/>
      <c r="N90" s="20"/>
    </row>
    <row r="91" spans="1:14" ht="33.75" customHeight="1">
      <c r="A91" s="26">
        <v>24</v>
      </c>
      <c r="B91" s="122" t="s">
        <v>167</v>
      </c>
      <c r="C91" s="123" t="s">
        <v>93</v>
      </c>
      <c r="D91" s="36"/>
      <c r="E91" s="16"/>
      <c r="F91" s="34"/>
      <c r="G91" s="136">
        <v>19757.060000000001</v>
      </c>
      <c r="H91" s="106"/>
      <c r="I91" s="12">
        <f>G91*0.599*10/1000</f>
        <v>118.34478940000001</v>
      </c>
      <c r="J91" s="22"/>
      <c r="L91" s="18"/>
      <c r="M91" s="19"/>
      <c r="N91" s="20"/>
    </row>
    <row r="92" spans="1:14" ht="16.5" customHeight="1">
      <c r="A92" s="26">
        <v>25</v>
      </c>
      <c r="B92" s="122" t="s">
        <v>173</v>
      </c>
      <c r="C92" s="123" t="s">
        <v>174</v>
      </c>
      <c r="D92" s="36"/>
      <c r="E92" s="16"/>
      <c r="F92" s="34"/>
      <c r="G92" s="136">
        <v>273</v>
      </c>
      <c r="H92" s="106"/>
      <c r="I92" s="12">
        <f>G92*2</f>
        <v>546</v>
      </c>
      <c r="J92" s="22"/>
      <c r="L92" s="18"/>
      <c r="M92" s="19"/>
      <c r="N92" s="20"/>
    </row>
    <row r="93" spans="1:14" ht="32.25" customHeight="1">
      <c r="A93" s="26">
        <v>26</v>
      </c>
      <c r="B93" s="139" t="s">
        <v>175</v>
      </c>
      <c r="C93" s="140" t="s">
        <v>176</v>
      </c>
      <c r="D93" s="36"/>
      <c r="E93" s="16"/>
      <c r="F93" s="34"/>
      <c r="G93" s="136">
        <v>1801.52</v>
      </c>
      <c r="H93" s="106"/>
      <c r="I93" s="12">
        <f>G93*0.2</f>
        <v>360.30400000000003</v>
      </c>
      <c r="J93" s="22"/>
      <c r="L93" s="18"/>
      <c r="M93" s="19"/>
      <c r="N93" s="20"/>
    </row>
    <row r="94" spans="1:14" ht="16.5" customHeight="1">
      <c r="A94" s="26">
        <v>27</v>
      </c>
      <c r="B94" s="122" t="s">
        <v>75</v>
      </c>
      <c r="C94" s="123" t="s">
        <v>94</v>
      </c>
      <c r="D94" s="36"/>
      <c r="E94" s="16"/>
      <c r="F94" s="34"/>
      <c r="G94" s="136">
        <v>207.55</v>
      </c>
      <c r="H94" s="106"/>
      <c r="I94" s="12">
        <f>G94*1</f>
        <v>207.55</v>
      </c>
      <c r="J94" s="22"/>
      <c r="L94" s="18"/>
      <c r="M94" s="19"/>
      <c r="N94" s="20"/>
    </row>
    <row r="95" spans="1:14" ht="15.75" customHeight="1">
      <c r="A95" s="26">
        <v>28</v>
      </c>
      <c r="B95" s="122" t="s">
        <v>177</v>
      </c>
      <c r="C95" s="123" t="s">
        <v>178</v>
      </c>
      <c r="D95" s="36"/>
      <c r="E95" s="16"/>
      <c r="F95" s="34"/>
      <c r="G95" s="136">
        <v>888.32</v>
      </c>
      <c r="H95" s="106"/>
      <c r="I95" s="12">
        <f>G95*1</f>
        <v>888.32</v>
      </c>
      <c r="J95" s="22"/>
      <c r="L95" s="18"/>
      <c r="M95" s="19"/>
      <c r="N95" s="20"/>
    </row>
    <row r="96" spans="1:14" ht="16.5" customHeight="1">
      <c r="A96" s="26">
        <v>29</v>
      </c>
      <c r="B96" s="122" t="s">
        <v>179</v>
      </c>
      <c r="C96" s="123" t="s">
        <v>50</v>
      </c>
      <c r="D96" s="36"/>
      <c r="E96" s="16"/>
      <c r="F96" s="34"/>
      <c r="G96" s="136">
        <v>2218.11</v>
      </c>
      <c r="H96" s="106"/>
      <c r="I96" s="12">
        <f>G96*0.03</f>
        <v>66.543300000000002</v>
      </c>
      <c r="J96" s="22"/>
      <c r="L96" s="18"/>
      <c r="M96" s="19"/>
      <c r="N96" s="20"/>
    </row>
    <row r="97" spans="1:14" ht="33" customHeight="1">
      <c r="A97" s="26">
        <v>30</v>
      </c>
      <c r="B97" s="122" t="s">
        <v>168</v>
      </c>
      <c r="C97" s="123" t="s">
        <v>94</v>
      </c>
      <c r="D97" s="36"/>
      <c r="E97" s="16"/>
      <c r="F97" s="34"/>
      <c r="G97" s="34">
        <v>26095.37</v>
      </c>
      <c r="H97" s="106"/>
      <c r="I97" s="12">
        <f>G97*0.01</f>
        <v>260.95369999999997</v>
      </c>
      <c r="J97" s="22"/>
      <c r="L97" s="18"/>
      <c r="M97" s="19"/>
      <c r="N97" s="20"/>
    </row>
    <row r="98" spans="1:14" ht="31.5" customHeight="1">
      <c r="A98" s="26">
        <v>31</v>
      </c>
      <c r="B98" s="122" t="s">
        <v>180</v>
      </c>
      <c r="C98" s="123" t="s">
        <v>27</v>
      </c>
      <c r="D98" s="36"/>
      <c r="E98" s="16"/>
      <c r="F98" s="34"/>
      <c r="G98" s="34">
        <v>1739.68</v>
      </c>
      <c r="H98" s="106"/>
      <c r="I98" s="12">
        <f>G98*0.8914</f>
        <v>1550.7507519999999</v>
      </c>
      <c r="J98" s="22"/>
      <c r="L98" s="18"/>
      <c r="M98" s="19"/>
      <c r="N98" s="20"/>
    </row>
    <row r="99" spans="1:14" ht="36" customHeight="1">
      <c r="A99" s="26">
        <v>32</v>
      </c>
      <c r="B99" s="139" t="s">
        <v>181</v>
      </c>
      <c r="C99" s="140" t="s">
        <v>85</v>
      </c>
      <c r="D99" s="36"/>
      <c r="E99" s="16"/>
      <c r="F99" s="34"/>
      <c r="G99" s="34">
        <v>45187.4</v>
      </c>
      <c r="H99" s="106"/>
      <c r="I99" s="12">
        <f>G99*0.025</f>
        <v>1129.6850000000002</v>
      </c>
      <c r="J99" s="22"/>
      <c r="L99" s="18"/>
      <c r="M99" s="19"/>
      <c r="N99" s="20"/>
    </row>
    <row r="100" spans="1:14" ht="16.5" customHeight="1">
      <c r="A100" s="26">
        <v>33</v>
      </c>
      <c r="B100" s="122" t="s">
        <v>182</v>
      </c>
      <c r="C100" s="123" t="s">
        <v>27</v>
      </c>
      <c r="D100" s="36"/>
      <c r="E100" s="16"/>
      <c r="F100" s="34"/>
      <c r="G100" s="34">
        <v>1160.81</v>
      </c>
      <c r="H100" s="106"/>
      <c r="I100" s="12">
        <f>G100*0.01</f>
        <v>11.6081</v>
      </c>
      <c r="J100" s="22"/>
      <c r="L100" s="18"/>
      <c r="M100" s="19"/>
      <c r="N100" s="20"/>
    </row>
    <row r="101" spans="1:14" ht="16.5" customHeight="1">
      <c r="A101" s="26">
        <v>34</v>
      </c>
      <c r="B101" s="137" t="s">
        <v>183</v>
      </c>
      <c r="C101" s="138" t="s">
        <v>94</v>
      </c>
      <c r="D101" s="36"/>
      <c r="E101" s="16"/>
      <c r="F101" s="34"/>
      <c r="G101" s="34">
        <v>178</v>
      </c>
      <c r="H101" s="106"/>
      <c r="I101" s="12">
        <f>G101*1</f>
        <v>178</v>
      </c>
      <c r="J101" s="22"/>
      <c r="L101" s="18"/>
      <c r="M101" s="19"/>
      <c r="N101" s="20"/>
    </row>
    <row r="102" spans="1:14" ht="15.75" customHeight="1">
      <c r="A102" s="26">
        <v>35</v>
      </c>
      <c r="B102" s="152" t="s">
        <v>184</v>
      </c>
      <c r="C102" s="153" t="s">
        <v>185</v>
      </c>
      <c r="D102" s="36"/>
      <c r="E102" s="16"/>
      <c r="F102" s="34">
        <v>1</v>
      </c>
      <c r="G102" s="34">
        <v>1225.18</v>
      </c>
      <c r="H102" s="106">
        <f>G102*F102/1000</f>
        <v>1.2251800000000002</v>
      </c>
      <c r="I102" s="12">
        <f>G102*0.16</f>
        <v>196.02880000000002</v>
      </c>
      <c r="J102" s="22"/>
      <c r="L102" s="18"/>
      <c r="M102" s="19"/>
      <c r="N102" s="20"/>
    </row>
    <row r="103" spans="1:14" ht="15.75" customHeight="1">
      <c r="A103" s="26"/>
      <c r="B103" s="27" t="s">
        <v>49</v>
      </c>
      <c r="C103" s="40"/>
      <c r="D103" s="46"/>
      <c r="E103" s="40">
        <v>1</v>
      </c>
      <c r="F103" s="40"/>
      <c r="G103" s="40"/>
      <c r="H103" s="40"/>
      <c r="I103" s="30">
        <f>SUM(I87:I102)</f>
        <v>5838.8363414000005</v>
      </c>
      <c r="J103" s="22"/>
      <c r="L103" s="18"/>
      <c r="M103" s="19"/>
      <c r="N103" s="20"/>
    </row>
    <row r="104" spans="1:14" ht="15.75" customHeight="1">
      <c r="A104" s="26"/>
      <c r="B104" s="45" t="s">
        <v>72</v>
      </c>
      <c r="C104" s="14"/>
      <c r="D104" s="14"/>
      <c r="E104" s="41"/>
      <c r="F104" s="41"/>
      <c r="G104" s="42"/>
      <c r="H104" s="42"/>
      <c r="I104" s="16">
        <v>0</v>
      </c>
      <c r="J104" s="22"/>
      <c r="L104" s="18"/>
      <c r="M104" s="19"/>
      <c r="N104" s="20"/>
    </row>
    <row r="105" spans="1:14" ht="15.75" customHeight="1">
      <c r="A105" s="47"/>
      <c r="B105" s="44" t="s">
        <v>142</v>
      </c>
      <c r="C105" s="33"/>
      <c r="D105" s="33"/>
      <c r="E105" s="33"/>
      <c r="F105" s="33"/>
      <c r="G105" s="33"/>
      <c r="H105" s="33"/>
      <c r="I105" s="43">
        <f>I85+I103</f>
        <v>84953.226884733333</v>
      </c>
      <c r="J105" s="22"/>
      <c r="L105" s="18"/>
      <c r="M105" s="19"/>
      <c r="N105" s="20"/>
    </row>
    <row r="106" spans="1:14" ht="15.75" customHeight="1">
      <c r="A106" s="167" t="s">
        <v>217</v>
      </c>
      <c r="B106" s="167"/>
      <c r="C106" s="167"/>
      <c r="D106" s="167"/>
      <c r="E106" s="167"/>
      <c r="F106" s="167"/>
      <c r="G106" s="167"/>
      <c r="H106" s="167"/>
      <c r="I106" s="167"/>
      <c r="J106" s="22"/>
      <c r="L106" s="18"/>
      <c r="M106" s="19"/>
      <c r="N106" s="20"/>
    </row>
    <row r="107" spans="1:14" ht="15.75" customHeight="1">
      <c r="A107" s="8"/>
      <c r="B107" s="181" t="s">
        <v>218</v>
      </c>
      <c r="C107" s="181"/>
      <c r="D107" s="181"/>
      <c r="E107" s="181"/>
      <c r="F107" s="181"/>
      <c r="G107" s="181"/>
      <c r="H107" s="116"/>
      <c r="I107" s="3"/>
      <c r="J107" s="22"/>
      <c r="L107" s="18"/>
      <c r="M107" s="19"/>
      <c r="N107" s="20"/>
    </row>
    <row r="108" spans="1:14" ht="15.75" customHeight="1">
      <c r="A108" s="118"/>
      <c r="B108" s="182" t="s">
        <v>5</v>
      </c>
      <c r="C108" s="182"/>
      <c r="D108" s="182"/>
      <c r="E108" s="182"/>
      <c r="F108" s="182"/>
      <c r="G108" s="182"/>
      <c r="H108" s="23"/>
      <c r="I108" s="5"/>
      <c r="J108" s="22"/>
      <c r="K108" s="22"/>
      <c r="L108" s="22"/>
      <c r="M108" s="19"/>
      <c r="N108" s="20"/>
    </row>
    <row r="109" spans="1:14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22"/>
      <c r="K109" s="22"/>
      <c r="L109" s="22"/>
      <c r="M109" s="19"/>
      <c r="N109" s="20"/>
    </row>
    <row r="110" spans="1:14" ht="15.75" customHeight="1">
      <c r="A110" s="183" t="s">
        <v>6</v>
      </c>
      <c r="B110" s="183"/>
      <c r="C110" s="183"/>
      <c r="D110" s="183"/>
      <c r="E110" s="183"/>
      <c r="F110" s="183"/>
      <c r="G110" s="183"/>
      <c r="H110" s="183"/>
      <c r="I110" s="183"/>
      <c r="J110" s="22"/>
      <c r="K110" s="22"/>
      <c r="L110" s="22"/>
    </row>
    <row r="111" spans="1:14" ht="15.75" customHeight="1">
      <c r="A111" s="183" t="s">
        <v>7</v>
      </c>
      <c r="B111" s="183"/>
      <c r="C111" s="183"/>
      <c r="D111" s="183"/>
      <c r="E111" s="183"/>
      <c r="F111" s="183"/>
      <c r="G111" s="183"/>
      <c r="H111" s="183"/>
      <c r="I111" s="183"/>
      <c r="J111" s="22"/>
      <c r="K111" s="22"/>
      <c r="L111" s="22"/>
    </row>
    <row r="112" spans="1:14" ht="15.75" customHeight="1">
      <c r="A112" s="167" t="s">
        <v>8</v>
      </c>
      <c r="B112" s="167"/>
      <c r="C112" s="167"/>
      <c r="D112" s="167"/>
      <c r="E112" s="167"/>
      <c r="F112" s="167"/>
      <c r="G112" s="167"/>
      <c r="H112" s="167"/>
      <c r="I112" s="167"/>
    </row>
    <row r="113" spans="1:22" ht="15.75" customHeight="1">
      <c r="A113" s="10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7"/>
    </row>
    <row r="114" spans="1:22" ht="15.75" customHeight="1">
      <c r="A114" s="185" t="s">
        <v>9</v>
      </c>
      <c r="B114" s="185"/>
      <c r="C114" s="185"/>
      <c r="D114" s="185"/>
      <c r="E114" s="185"/>
      <c r="F114" s="185"/>
      <c r="G114" s="185"/>
      <c r="H114" s="185"/>
      <c r="I114" s="185"/>
      <c r="J114" s="24"/>
      <c r="K114" s="24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2" ht="15.75" customHeight="1">
      <c r="A115" s="4"/>
      <c r="J115" s="3"/>
      <c r="K115" s="3"/>
      <c r="L115" s="3"/>
      <c r="M115" s="3"/>
      <c r="N115" s="3"/>
      <c r="O115" s="3"/>
      <c r="P115" s="3"/>
      <c r="Q115" s="3"/>
      <c r="S115" s="3"/>
      <c r="T115" s="3"/>
      <c r="U115" s="3"/>
    </row>
    <row r="116" spans="1:22" ht="15.75" customHeight="1">
      <c r="A116" s="167" t="s">
        <v>10</v>
      </c>
      <c r="B116" s="167"/>
      <c r="C116" s="186" t="s">
        <v>79</v>
      </c>
      <c r="D116" s="186"/>
      <c r="E116" s="186"/>
      <c r="F116" s="57"/>
      <c r="I116" s="121"/>
      <c r="J116" s="5"/>
      <c r="K116" s="5"/>
      <c r="L116" s="5"/>
      <c r="M116" s="5"/>
      <c r="N116" s="5"/>
      <c r="O116" s="5"/>
      <c r="P116" s="5"/>
      <c r="Q116" s="5"/>
      <c r="R116" s="187"/>
      <c r="S116" s="187"/>
      <c r="T116" s="187"/>
      <c r="U116" s="187"/>
    </row>
    <row r="117" spans="1:22" ht="15.75" customHeight="1">
      <c r="A117" s="118"/>
      <c r="C117" s="182" t="s">
        <v>11</v>
      </c>
      <c r="D117" s="182"/>
      <c r="E117" s="182"/>
      <c r="F117" s="23"/>
      <c r="I117" s="119" t="s">
        <v>12</v>
      </c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2" ht="15.75" customHeight="1">
      <c r="A118" s="24"/>
      <c r="C118" s="11"/>
      <c r="D118" s="11"/>
      <c r="G118" s="11"/>
      <c r="H118" s="11"/>
    </row>
    <row r="119" spans="1:22" ht="15.75" customHeight="1">
      <c r="A119" s="167" t="s">
        <v>13</v>
      </c>
      <c r="B119" s="167"/>
      <c r="C119" s="188"/>
      <c r="D119" s="188"/>
      <c r="E119" s="188"/>
      <c r="F119" s="58"/>
      <c r="I119" s="121"/>
    </row>
    <row r="120" spans="1:22" ht="15.75" customHeight="1">
      <c r="A120" s="118"/>
      <c r="C120" s="187" t="s">
        <v>11</v>
      </c>
      <c r="D120" s="187"/>
      <c r="E120" s="187"/>
      <c r="F120" s="118"/>
      <c r="I120" s="119" t="s">
        <v>12</v>
      </c>
    </row>
    <row r="121" spans="1:22" ht="15.75" customHeight="1">
      <c r="A121" s="4" t="s">
        <v>14</v>
      </c>
    </row>
    <row r="122" spans="1:22" ht="15" customHeight="1">
      <c r="A122" s="189" t="s">
        <v>15</v>
      </c>
      <c r="B122" s="189"/>
      <c r="C122" s="189"/>
      <c r="D122" s="189"/>
      <c r="E122" s="189"/>
      <c r="F122" s="189"/>
      <c r="G122" s="189"/>
      <c r="H122" s="189"/>
      <c r="I122" s="189"/>
    </row>
    <row r="123" spans="1:22" ht="45" customHeight="1">
      <c r="A123" s="184" t="s">
        <v>16</v>
      </c>
      <c r="B123" s="184"/>
      <c r="C123" s="184"/>
      <c r="D123" s="184"/>
      <c r="E123" s="184"/>
      <c r="F123" s="184"/>
      <c r="G123" s="184"/>
      <c r="H123" s="184"/>
      <c r="I123" s="184"/>
    </row>
    <row r="124" spans="1:22" ht="30" customHeight="1">
      <c r="A124" s="184" t="s">
        <v>17</v>
      </c>
      <c r="B124" s="184"/>
      <c r="C124" s="184"/>
      <c r="D124" s="184"/>
      <c r="E124" s="184"/>
      <c r="F124" s="184"/>
      <c r="G124" s="184"/>
      <c r="H124" s="184"/>
      <c r="I124" s="184"/>
    </row>
    <row r="125" spans="1:22" ht="30" customHeight="1">
      <c r="A125" s="184" t="s">
        <v>21</v>
      </c>
      <c r="B125" s="184"/>
      <c r="C125" s="184"/>
      <c r="D125" s="184"/>
      <c r="E125" s="184"/>
      <c r="F125" s="184"/>
      <c r="G125" s="184"/>
      <c r="H125" s="184"/>
      <c r="I125" s="184"/>
    </row>
    <row r="126" spans="1:22" ht="15" customHeight="1">
      <c r="A126" s="184" t="s">
        <v>20</v>
      </c>
      <c r="B126" s="184"/>
      <c r="C126" s="184"/>
      <c r="D126" s="184"/>
      <c r="E126" s="184"/>
      <c r="F126" s="184"/>
      <c r="G126" s="184"/>
      <c r="H126" s="184"/>
      <c r="I126" s="184"/>
    </row>
  </sheetData>
  <autoFilter ref="I12:I112"/>
  <mergeCells count="31">
    <mergeCell ref="A126:I126"/>
    <mergeCell ref="A114:I114"/>
    <mergeCell ref="A116:B116"/>
    <mergeCell ref="C116:E116"/>
    <mergeCell ref="R116:U116"/>
    <mergeCell ref="C117:E117"/>
    <mergeCell ref="A119:B119"/>
    <mergeCell ref="C119:E119"/>
    <mergeCell ref="C120:E120"/>
    <mergeCell ref="A122:I122"/>
    <mergeCell ref="A123:I123"/>
    <mergeCell ref="A124:I124"/>
    <mergeCell ref="A125:I125"/>
    <mergeCell ref="A112:I112"/>
    <mergeCell ref="A15:I15"/>
    <mergeCell ref="A27:I27"/>
    <mergeCell ref="A43:I43"/>
    <mergeCell ref="A54:I54"/>
    <mergeCell ref="A82:I82"/>
    <mergeCell ref="A86:I86"/>
    <mergeCell ref="A106:I106"/>
    <mergeCell ref="B107:G107"/>
    <mergeCell ref="B108:G108"/>
    <mergeCell ref="A110:I110"/>
    <mergeCell ref="A111:I111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7"/>
  <sheetViews>
    <sheetView view="pageBreakPreview" topLeftCell="A88" zoomScale="60" workbookViewId="0">
      <selection activeCell="D37" sqref="D37:D4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51" t="s">
        <v>161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62" t="s">
        <v>158</v>
      </c>
      <c r="B3" s="162"/>
      <c r="C3" s="162"/>
      <c r="D3" s="162"/>
      <c r="E3" s="162"/>
      <c r="F3" s="162"/>
      <c r="G3" s="162"/>
      <c r="H3" s="162"/>
      <c r="I3" s="162"/>
      <c r="J3" s="2"/>
      <c r="K3" s="2"/>
      <c r="L3" s="2"/>
      <c r="M3" s="2"/>
    </row>
    <row r="4" spans="1:15" s="25" customFormat="1" ht="31.5" customHeight="1">
      <c r="A4" s="163" t="s">
        <v>82</v>
      </c>
      <c r="B4" s="163"/>
      <c r="C4" s="163"/>
      <c r="D4" s="163"/>
      <c r="E4" s="163"/>
      <c r="F4" s="163"/>
      <c r="G4" s="163"/>
      <c r="H4" s="163"/>
      <c r="I4" s="163"/>
      <c r="J4" s="3"/>
      <c r="K4" s="3"/>
      <c r="L4" s="3"/>
    </row>
    <row r="5" spans="1:15" s="25" customFormat="1" ht="15.75" customHeight="1">
      <c r="A5" s="162" t="s">
        <v>186</v>
      </c>
      <c r="B5" s="164"/>
      <c r="C5" s="164"/>
      <c r="D5" s="164"/>
      <c r="E5" s="164"/>
      <c r="F5" s="164"/>
      <c r="G5" s="164"/>
      <c r="H5" s="164"/>
      <c r="I5" s="164"/>
    </row>
    <row r="6" spans="1:15" s="25" customFormat="1" ht="15.75">
      <c r="A6" s="2"/>
      <c r="B6" s="129"/>
      <c r="C6" s="129"/>
      <c r="D6" s="129"/>
      <c r="E6" s="129"/>
      <c r="F6" s="129"/>
      <c r="G6" s="129"/>
      <c r="H6" s="129"/>
      <c r="I6" s="29">
        <v>43555</v>
      </c>
      <c r="J6" s="2"/>
      <c r="K6" s="2"/>
      <c r="L6" s="2"/>
      <c r="M6" s="2"/>
    </row>
    <row r="7" spans="1:15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65" t="s">
        <v>162</v>
      </c>
      <c r="B8" s="165"/>
      <c r="C8" s="165"/>
      <c r="D8" s="165"/>
      <c r="E8" s="165"/>
      <c r="F8" s="165"/>
      <c r="G8" s="165"/>
      <c r="H8" s="165"/>
      <c r="I8" s="16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66" t="s">
        <v>155</v>
      </c>
      <c r="B10" s="166"/>
      <c r="C10" s="166"/>
      <c r="D10" s="166"/>
      <c r="E10" s="166"/>
      <c r="F10" s="166"/>
      <c r="G10" s="166"/>
      <c r="H10" s="166"/>
      <c r="I10" s="166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132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59" t="s">
        <v>133</v>
      </c>
      <c r="B14" s="160"/>
      <c r="C14" s="160"/>
      <c r="D14" s="160"/>
      <c r="E14" s="160"/>
      <c r="F14" s="160"/>
      <c r="G14" s="160"/>
      <c r="H14" s="160"/>
      <c r="I14" s="161"/>
      <c r="J14" s="99"/>
      <c r="K14" s="99"/>
      <c r="L14" s="6"/>
      <c r="M14" s="6"/>
      <c r="N14" s="6"/>
      <c r="O14" s="6"/>
    </row>
    <row r="15" spans="1:15" ht="15.75" customHeight="1">
      <c r="A15" s="168" t="s">
        <v>3</v>
      </c>
      <c r="B15" s="169"/>
      <c r="C15" s="169"/>
      <c r="D15" s="169"/>
      <c r="E15" s="169"/>
      <c r="F15" s="169"/>
      <c r="G15" s="169"/>
      <c r="H15" s="169"/>
      <c r="I15" s="170"/>
      <c r="J15" s="6"/>
      <c r="K15" s="6"/>
      <c r="L15" s="6"/>
      <c r="M15" s="6"/>
    </row>
    <row r="16" spans="1:15" ht="15.75" customHeight="1">
      <c r="A16" s="26">
        <v>1</v>
      </c>
      <c r="B16" s="51" t="s">
        <v>77</v>
      </c>
      <c r="C16" s="59" t="s">
        <v>83</v>
      </c>
      <c r="D16" s="51" t="s">
        <v>203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80</v>
      </c>
      <c r="C17" s="59" t="s">
        <v>83</v>
      </c>
      <c r="D17" s="51" t="s">
        <v>204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81</v>
      </c>
      <c r="C18" s="59" t="s">
        <v>83</v>
      </c>
      <c r="D18" s="51" t="s">
        <v>205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84</v>
      </c>
      <c r="C19" s="59" t="s">
        <v>85</v>
      </c>
      <c r="D19" s="51" t="s">
        <v>86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1" t="s">
        <v>87</v>
      </c>
      <c r="C20" s="59" t="s">
        <v>83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1" t="s">
        <v>88</v>
      </c>
      <c r="C21" s="59" t="s">
        <v>83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89</v>
      </c>
      <c r="C22" s="59" t="s">
        <v>50</v>
      </c>
      <c r="D22" s="51" t="s">
        <v>86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90</v>
      </c>
      <c r="C23" s="59" t="s">
        <v>50</v>
      </c>
      <c r="D23" s="51" t="s">
        <v>86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91</v>
      </c>
      <c r="C24" s="59" t="s">
        <v>50</v>
      </c>
      <c r="D24" s="52" t="s">
        <v>86</v>
      </c>
      <c r="E24" s="17">
        <v>15</v>
      </c>
      <c r="F24" s="64">
        <f t="shared" si="2"/>
        <v>0.15</v>
      </c>
      <c r="G24" s="61">
        <v>511.12</v>
      </c>
      <c r="H24" s="62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92</v>
      </c>
      <c r="C25" s="59" t="s">
        <v>50</v>
      </c>
      <c r="D25" s="51" t="s">
        <v>86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202</v>
      </c>
      <c r="C26" s="39" t="s">
        <v>157</v>
      </c>
      <c r="D26" s="32" t="s">
        <v>206</v>
      </c>
      <c r="E26" s="157">
        <v>4.5999999999999996</v>
      </c>
      <c r="F26" s="31">
        <f>E26*258</f>
        <v>1186.8</v>
      </c>
      <c r="G26" s="31">
        <v>10.39</v>
      </c>
      <c r="H26" s="62">
        <f t="shared" ref="H26" si="5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68" t="s">
        <v>134</v>
      </c>
      <c r="B27" s="169"/>
      <c r="C27" s="169"/>
      <c r="D27" s="169"/>
      <c r="E27" s="169"/>
      <c r="F27" s="169"/>
      <c r="G27" s="169"/>
      <c r="H27" s="169"/>
      <c r="I27" s="170"/>
      <c r="J27" s="21"/>
      <c r="K27" s="6"/>
      <c r="L27" s="6"/>
      <c r="M27" s="6"/>
    </row>
    <row r="28" spans="1:13" ht="15.75" hidden="1" customHeight="1">
      <c r="A28" s="102"/>
      <c r="B28" s="55" t="s">
        <v>135</v>
      </c>
      <c r="C28" s="103"/>
      <c r="D28" s="103"/>
      <c r="E28" s="103"/>
      <c r="F28" s="103"/>
      <c r="G28" s="103"/>
      <c r="H28" s="103"/>
      <c r="I28" s="103"/>
      <c r="J28" s="21"/>
      <c r="K28" s="6"/>
      <c r="L28" s="6"/>
      <c r="M28" s="6"/>
    </row>
    <row r="29" spans="1:13" ht="15.75" hidden="1" customHeight="1">
      <c r="A29" s="100">
        <v>6</v>
      </c>
      <c r="B29" s="51" t="s">
        <v>136</v>
      </c>
      <c r="C29" s="59" t="s">
        <v>93</v>
      </c>
      <c r="D29" s="51" t="s">
        <v>139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4" si="6">SUM(F29*G29/1000)</f>
        <v>2.2346109759999999</v>
      </c>
      <c r="I29" s="12">
        <f>F29/6*G29</f>
        <v>372.43516266666666</v>
      </c>
      <c r="J29" s="21"/>
      <c r="K29" s="6"/>
      <c r="L29" s="6"/>
      <c r="M29" s="6"/>
    </row>
    <row r="30" spans="1:13" ht="31.5" hidden="1" customHeight="1">
      <c r="A30" s="26">
        <v>7</v>
      </c>
      <c r="B30" s="51" t="s">
        <v>137</v>
      </c>
      <c r="C30" s="59" t="s">
        <v>93</v>
      </c>
      <c r="D30" s="51" t="s">
        <v>140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6"/>
        <v>2.4341709599999999</v>
      </c>
      <c r="I30" s="12">
        <f t="shared" ref="I30:I32" si="7">F30/6*G30</f>
        <v>405.69515999999999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93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si="6"/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>
        <v>8</v>
      </c>
      <c r="B32" s="51" t="s">
        <v>138</v>
      </c>
      <c r="C32" s="59" t="s">
        <v>28</v>
      </c>
      <c r="D32" s="51" t="s">
        <v>59</v>
      </c>
      <c r="E32" s="67">
        <f>1/3</f>
        <v>0.33333333333333331</v>
      </c>
      <c r="F32" s="61">
        <f>155/3</f>
        <v>51.666666666666664</v>
      </c>
      <c r="G32" s="61">
        <v>74.349999999999994</v>
      </c>
      <c r="H32" s="62">
        <f t="shared" si="6"/>
        <v>3.841416666666666</v>
      </c>
      <c r="I32" s="12">
        <f t="shared" si="7"/>
        <v>640.23611111111109</v>
      </c>
      <c r="J32" s="21"/>
      <c r="K32" s="6"/>
      <c r="L32" s="6"/>
      <c r="M32" s="6"/>
    </row>
    <row r="33" spans="1:14" ht="15.75" hidden="1" customHeight="1">
      <c r="A33" s="26"/>
      <c r="B33" s="51" t="s">
        <v>60</v>
      </c>
      <c r="C33" s="59" t="s">
        <v>30</v>
      </c>
      <c r="D33" s="51" t="s">
        <v>61</v>
      </c>
      <c r="E33" s="60"/>
      <c r="F33" s="61">
        <v>1</v>
      </c>
      <c r="G33" s="61">
        <v>250.92</v>
      </c>
      <c r="H33" s="62">
        <f t="shared" si="6"/>
        <v>0.25091999999999998</v>
      </c>
      <c r="I33" s="12">
        <v>0</v>
      </c>
      <c r="J33" s="21"/>
      <c r="K33" s="6"/>
      <c r="L33" s="6"/>
      <c r="M33" s="6"/>
    </row>
    <row r="34" spans="1:14" ht="15.75" hidden="1" customHeight="1">
      <c r="A34" s="105"/>
      <c r="B34" s="51" t="s">
        <v>104</v>
      </c>
      <c r="C34" s="59" t="s">
        <v>29</v>
      </c>
      <c r="D34" s="51" t="s">
        <v>61</v>
      </c>
      <c r="E34" s="60"/>
      <c r="F34" s="61">
        <v>1</v>
      </c>
      <c r="G34" s="61">
        <v>1490.31</v>
      </c>
      <c r="H34" s="62">
        <f t="shared" si="6"/>
        <v>1.49031</v>
      </c>
      <c r="I34" s="12">
        <v>0</v>
      </c>
      <c r="J34" s="21"/>
      <c r="K34" s="6"/>
      <c r="L34" s="6"/>
      <c r="M34" s="6"/>
    </row>
    <row r="35" spans="1:14" ht="15.75" customHeight="1">
      <c r="A35" s="102"/>
      <c r="B35" s="55" t="s">
        <v>4</v>
      </c>
      <c r="C35" s="104"/>
      <c r="D35" s="104"/>
      <c r="E35" s="104"/>
      <c r="F35" s="104"/>
      <c r="G35" s="104"/>
      <c r="H35" s="104"/>
      <c r="I35" s="104"/>
      <c r="J35" s="21"/>
      <c r="K35" s="6"/>
      <c r="L35" s="6"/>
      <c r="M35" s="6"/>
    </row>
    <row r="36" spans="1:14" ht="15.75" customHeight="1">
      <c r="A36" s="100">
        <v>5</v>
      </c>
      <c r="B36" s="51" t="s">
        <v>25</v>
      </c>
      <c r="C36" s="59" t="s">
        <v>29</v>
      </c>
      <c r="D36" s="51"/>
      <c r="E36" s="60"/>
      <c r="F36" s="61">
        <v>3</v>
      </c>
      <c r="G36" s="61">
        <v>2003</v>
      </c>
      <c r="H36" s="62">
        <f t="shared" ref="H36:H42" si="8">SUM(F36*G36/1000)</f>
        <v>6.0090000000000003</v>
      </c>
      <c r="I36" s="12">
        <f>G36*0.9</f>
        <v>1802.7</v>
      </c>
      <c r="J36" s="21"/>
      <c r="K36" s="6"/>
      <c r="L36" s="6"/>
      <c r="M36" s="6"/>
    </row>
    <row r="37" spans="1:14" ht="15.75" customHeight="1">
      <c r="A37" s="26">
        <v>6</v>
      </c>
      <c r="B37" s="51" t="s">
        <v>143</v>
      </c>
      <c r="C37" s="59" t="s">
        <v>27</v>
      </c>
      <c r="D37" s="51" t="s">
        <v>207</v>
      </c>
      <c r="E37" s="60">
        <v>92</v>
      </c>
      <c r="F37" s="61">
        <f>E37*30/1000</f>
        <v>2.76</v>
      </c>
      <c r="G37" s="61">
        <v>2757.78</v>
      </c>
      <c r="H37" s="62">
        <f>G37*F37/1000</f>
        <v>7.6114727999999996</v>
      </c>
      <c r="I37" s="12">
        <f>F37/6*G37</f>
        <v>1268.5788</v>
      </c>
      <c r="J37" s="21"/>
      <c r="K37" s="6"/>
      <c r="L37" s="6"/>
      <c r="M37" s="6"/>
    </row>
    <row r="38" spans="1:14" ht="15.75" hidden="1" customHeight="1">
      <c r="A38" s="26">
        <v>8</v>
      </c>
      <c r="B38" s="51" t="s">
        <v>106</v>
      </c>
      <c r="C38" s="59" t="s">
        <v>107</v>
      </c>
      <c r="D38" s="51" t="s">
        <v>61</v>
      </c>
      <c r="E38" s="60"/>
      <c r="F38" s="61">
        <v>52</v>
      </c>
      <c r="G38" s="61">
        <v>239.09</v>
      </c>
      <c r="H38" s="62">
        <f>G38*F38/1000</f>
        <v>12.43268</v>
      </c>
      <c r="I38" s="12">
        <f t="shared" ref="I38:I40" si="9">F38/6*G38</f>
        <v>2072.1133333333332</v>
      </c>
      <c r="J38" s="21"/>
      <c r="K38" s="6"/>
    </row>
    <row r="39" spans="1:14" ht="15.75" customHeight="1">
      <c r="A39" s="26">
        <v>7</v>
      </c>
      <c r="B39" s="51" t="s">
        <v>62</v>
      </c>
      <c r="C39" s="59" t="s">
        <v>27</v>
      </c>
      <c r="D39" s="51" t="s">
        <v>208</v>
      </c>
      <c r="E39" s="61">
        <f>E37</f>
        <v>92</v>
      </c>
      <c r="F39" s="61">
        <f>SUM(E39*155/1000)</f>
        <v>14.26</v>
      </c>
      <c r="G39" s="61">
        <v>460.02</v>
      </c>
      <c r="H39" s="62">
        <f t="shared" si="8"/>
        <v>6.5598852000000001</v>
      </c>
      <c r="I39" s="12">
        <f t="shared" si="9"/>
        <v>1093.3141999999998</v>
      </c>
      <c r="J39" s="22"/>
    </row>
    <row r="40" spans="1:14" ht="48" customHeight="1">
      <c r="A40" s="26">
        <v>8</v>
      </c>
      <c r="B40" s="51" t="s">
        <v>76</v>
      </c>
      <c r="C40" s="59" t="s">
        <v>93</v>
      </c>
      <c r="D40" s="51" t="s">
        <v>209</v>
      </c>
      <c r="E40" s="61">
        <v>92</v>
      </c>
      <c r="F40" s="61">
        <f>SUM(E40*35/1000)</f>
        <v>3.22</v>
      </c>
      <c r="G40" s="61">
        <v>7611.16</v>
      </c>
      <c r="H40" s="62">
        <f t="shared" si="8"/>
        <v>24.507935199999999</v>
      </c>
      <c r="I40" s="12">
        <f t="shared" si="9"/>
        <v>4084.655866666667</v>
      </c>
      <c r="J40" s="22"/>
    </row>
    <row r="41" spans="1:14" ht="15.75" customHeight="1">
      <c r="A41" s="26">
        <v>9</v>
      </c>
      <c r="B41" s="51" t="s">
        <v>109</v>
      </c>
      <c r="C41" s="59" t="s">
        <v>93</v>
      </c>
      <c r="D41" s="51" t="s">
        <v>210</v>
      </c>
      <c r="E41" s="61">
        <f>E37</f>
        <v>92</v>
      </c>
      <c r="F41" s="61">
        <f>SUM(E41*20/1000)</f>
        <v>1.84</v>
      </c>
      <c r="G41" s="61">
        <v>562.25</v>
      </c>
      <c r="H41" s="62">
        <f t="shared" si="8"/>
        <v>1.03454</v>
      </c>
      <c r="I41" s="12">
        <f>(F41/7.5*1.5)*G41</f>
        <v>206.90799999999999</v>
      </c>
      <c r="J41" s="22"/>
    </row>
    <row r="42" spans="1:14" ht="15.75" customHeight="1">
      <c r="A42" s="26">
        <v>10</v>
      </c>
      <c r="B42" s="51" t="s">
        <v>63</v>
      </c>
      <c r="C42" s="59" t="s">
        <v>30</v>
      </c>
      <c r="D42" s="51"/>
      <c r="E42" s="60"/>
      <c r="F42" s="61">
        <v>0.8</v>
      </c>
      <c r="G42" s="61">
        <v>992.97</v>
      </c>
      <c r="H42" s="62">
        <f t="shared" si="8"/>
        <v>0.79437600000000008</v>
      </c>
      <c r="I42" s="12">
        <f>(F42/7.5*1.5)*G42</f>
        <v>158.87520000000001</v>
      </c>
      <c r="J42" s="22"/>
    </row>
    <row r="43" spans="1:14" ht="15.75" hidden="1" customHeight="1">
      <c r="A43" s="171" t="s">
        <v>121</v>
      </c>
      <c r="B43" s="172"/>
      <c r="C43" s="172"/>
      <c r="D43" s="172"/>
      <c r="E43" s="172"/>
      <c r="F43" s="172"/>
      <c r="G43" s="172"/>
      <c r="H43" s="172"/>
      <c r="I43" s="173"/>
      <c r="J43" s="22"/>
      <c r="L43" s="18"/>
      <c r="M43" s="19"/>
      <c r="N43" s="20"/>
    </row>
    <row r="44" spans="1:14" ht="15.75" hidden="1" customHeight="1">
      <c r="A44" s="26">
        <v>11</v>
      </c>
      <c r="B44" s="32" t="s">
        <v>110</v>
      </c>
      <c r="C44" s="39" t="s">
        <v>93</v>
      </c>
      <c r="D44" s="32" t="s">
        <v>39</v>
      </c>
      <c r="E44" s="107">
        <v>1114.25</v>
      </c>
      <c r="F44" s="31">
        <f>SUM(E44*2/1000)</f>
        <v>2.2284999999999999</v>
      </c>
      <c r="G44" s="34">
        <v>1193.71</v>
      </c>
      <c r="H44" s="108">
        <f t="shared" ref="H44:H53" si="10">SUM(F44*G44/1000)</f>
        <v>2.6601827349999998</v>
      </c>
      <c r="I44" s="12">
        <f t="shared" ref="I44:I46" si="11">F44/2*G44</f>
        <v>1330.0913674999999</v>
      </c>
      <c r="J44" s="22"/>
      <c r="L44" s="18"/>
      <c r="M44" s="19"/>
      <c r="N44" s="20"/>
    </row>
    <row r="45" spans="1:14" ht="15.75" hidden="1" customHeight="1">
      <c r="A45" s="26">
        <v>12</v>
      </c>
      <c r="B45" s="32" t="s">
        <v>33</v>
      </c>
      <c r="C45" s="39" t="s">
        <v>93</v>
      </c>
      <c r="D45" s="32" t="s">
        <v>39</v>
      </c>
      <c r="E45" s="107">
        <v>2631</v>
      </c>
      <c r="F45" s="31">
        <f>SUM(E45*2/1000)</f>
        <v>5.2619999999999996</v>
      </c>
      <c r="G45" s="34">
        <v>1803.69</v>
      </c>
      <c r="H45" s="108">
        <f t="shared" si="10"/>
        <v>9.4910167800000007</v>
      </c>
      <c r="I45" s="12">
        <f t="shared" si="11"/>
        <v>4745.50839</v>
      </c>
      <c r="J45" s="22"/>
      <c r="L45" s="18"/>
      <c r="M45" s="19"/>
      <c r="N45" s="20"/>
    </row>
    <row r="46" spans="1:14" ht="15.75" hidden="1" customHeight="1">
      <c r="A46" s="26">
        <v>13</v>
      </c>
      <c r="B46" s="32" t="s">
        <v>34</v>
      </c>
      <c r="C46" s="39" t="s">
        <v>93</v>
      </c>
      <c r="D46" s="32" t="s">
        <v>39</v>
      </c>
      <c r="E46" s="107">
        <v>1953.8</v>
      </c>
      <c r="F46" s="31">
        <f>SUM(E46*2/1000)</f>
        <v>3.9076</v>
      </c>
      <c r="G46" s="34">
        <v>1243.43</v>
      </c>
      <c r="H46" s="108">
        <f t="shared" si="10"/>
        <v>4.8588270680000001</v>
      </c>
      <c r="I46" s="12">
        <f t="shared" si="11"/>
        <v>2429.4135340000003</v>
      </c>
      <c r="J46" s="22"/>
      <c r="L46" s="18"/>
      <c r="M46" s="19"/>
      <c r="N46" s="20"/>
    </row>
    <row r="47" spans="1:14" ht="15.75" hidden="1" customHeight="1">
      <c r="A47" s="26">
        <v>14</v>
      </c>
      <c r="B47" s="32" t="s">
        <v>31</v>
      </c>
      <c r="C47" s="39" t="s">
        <v>32</v>
      </c>
      <c r="D47" s="32" t="s">
        <v>39</v>
      </c>
      <c r="E47" s="107">
        <v>91.84</v>
      </c>
      <c r="F47" s="31">
        <f>SUM(E47*2/100)</f>
        <v>1.8368</v>
      </c>
      <c r="G47" s="109">
        <v>1172.4100000000001</v>
      </c>
      <c r="H47" s="108">
        <f t="shared" si="10"/>
        <v>2.153482688</v>
      </c>
      <c r="I47" s="12">
        <f>F47/2*G47</f>
        <v>1076.741344</v>
      </c>
      <c r="J47" s="22"/>
      <c r="L47" s="18"/>
      <c r="M47" s="19"/>
      <c r="N47" s="20"/>
    </row>
    <row r="48" spans="1:14" ht="15.75" hidden="1" customHeight="1">
      <c r="A48" s="26">
        <v>12</v>
      </c>
      <c r="B48" s="32" t="s">
        <v>54</v>
      </c>
      <c r="C48" s="39" t="s">
        <v>93</v>
      </c>
      <c r="D48" s="32" t="s">
        <v>141</v>
      </c>
      <c r="E48" s="107">
        <v>3181</v>
      </c>
      <c r="F48" s="31">
        <f>SUM(E48*5/1000)</f>
        <v>15.904999999999999</v>
      </c>
      <c r="G48" s="34">
        <v>1083.69</v>
      </c>
      <c r="H48" s="108">
        <f t="shared" si="10"/>
        <v>17.236089449999998</v>
      </c>
      <c r="I48" s="12">
        <f>F48/5*G48</f>
        <v>3447.2178900000004</v>
      </c>
      <c r="J48" s="22"/>
      <c r="L48" s="18"/>
      <c r="M48" s="19"/>
      <c r="N48" s="20"/>
    </row>
    <row r="49" spans="1:14" ht="31.5" hidden="1" customHeight="1">
      <c r="A49" s="26">
        <v>16</v>
      </c>
      <c r="B49" s="32" t="s">
        <v>111</v>
      </c>
      <c r="C49" s="39" t="s">
        <v>93</v>
      </c>
      <c r="D49" s="32" t="s">
        <v>39</v>
      </c>
      <c r="E49" s="107">
        <v>3181</v>
      </c>
      <c r="F49" s="31">
        <f>SUM(E49*2/1000)</f>
        <v>6.3620000000000001</v>
      </c>
      <c r="G49" s="34">
        <v>1591.6</v>
      </c>
      <c r="H49" s="108">
        <f t="shared" si="10"/>
        <v>10.125759200000001</v>
      </c>
      <c r="I49" s="12">
        <f>F49/2*G49</f>
        <v>5062.8796000000002</v>
      </c>
      <c r="J49" s="22"/>
      <c r="L49" s="18"/>
      <c r="M49" s="19"/>
      <c r="N49" s="20"/>
    </row>
    <row r="50" spans="1:14" ht="31.5" hidden="1" customHeight="1">
      <c r="A50" s="26">
        <v>17</v>
      </c>
      <c r="B50" s="32" t="s">
        <v>112</v>
      </c>
      <c r="C50" s="39" t="s">
        <v>35</v>
      </c>
      <c r="D50" s="32" t="s">
        <v>39</v>
      </c>
      <c r="E50" s="107">
        <v>20</v>
      </c>
      <c r="F50" s="31">
        <f>SUM(E50*2/100)</f>
        <v>0.4</v>
      </c>
      <c r="G50" s="34">
        <v>4058.32</v>
      </c>
      <c r="H50" s="108">
        <f t="shared" si="10"/>
        <v>1.6233280000000001</v>
      </c>
      <c r="I50" s="12">
        <f t="shared" ref="I50:I51" si="12">F50/2*G50</f>
        <v>811.6640000000001</v>
      </c>
      <c r="J50" s="22"/>
      <c r="L50" s="18"/>
      <c r="M50" s="19"/>
      <c r="N50" s="20"/>
    </row>
    <row r="51" spans="1:14" ht="15.75" hidden="1" customHeight="1">
      <c r="A51" s="26">
        <v>18</v>
      </c>
      <c r="B51" s="32" t="s">
        <v>36</v>
      </c>
      <c r="C51" s="39" t="s">
        <v>37</v>
      </c>
      <c r="D51" s="32" t="s">
        <v>39</v>
      </c>
      <c r="E51" s="107">
        <v>1</v>
      </c>
      <c r="F51" s="31">
        <v>0.02</v>
      </c>
      <c r="G51" s="34">
        <v>7412.92</v>
      </c>
      <c r="H51" s="108">
        <f t="shared" si="10"/>
        <v>0.14825839999999998</v>
      </c>
      <c r="I51" s="12">
        <f t="shared" si="12"/>
        <v>74.129199999999997</v>
      </c>
      <c r="J51" s="22"/>
      <c r="L51" s="18"/>
      <c r="M51" s="19"/>
      <c r="N51" s="20"/>
    </row>
    <row r="52" spans="1:14" ht="15.75" hidden="1" customHeight="1">
      <c r="A52" s="26">
        <v>13</v>
      </c>
      <c r="B52" s="32" t="s">
        <v>113</v>
      </c>
      <c r="C52" s="39" t="s">
        <v>94</v>
      </c>
      <c r="D52" s="32" t="s">
        <v>64</v>
      </c>
      <c r="E52" s="107">
        <v>70</v>
      </c>
      <c r="F52" s="31">
        <f>E52*3</f>
        <v>210</v>
      </c>
      <c r="G52" s="34">
        <v>185.08</v>
      </c>
      <c r="H52" s="108">
        <f t="shared" si="10"/>
        <v>38.866800000000005</v>
      </c>
      <c r="I52" s="12">
        <f>E52*G52</f>
        <v>12955.6</v>
      </c>
      <c r="J52" s="22"/>
      <c r="L52" s="18"/>
      <c r="M52" s="19"/>
      <c r="N52" s="20"/>
    </row>
    <row r="53" spans="1:14" ht="15.75" hidden="1" customHeight="1">
      <c r="A53" s="26">
        <v>14</v>
      </c>
      <c r="B53" s="32" t="s">
        <v>38</v>
      </c>
      <c r="C53" s="39" t="s">
        <v>94</v>
      </c>
      <c r="D53" s="32" t="s">
        <v>64</v>
      </c>
      <c r="E53" s="107">
        <v>140</v>
      </c>
      <c r="F53" s="31">
        <f>E53*3</f>
        <v>420</v>
      </c>
      <c r="G53" s="35">
        <v>86.15</v>
      </c>
      <c r="H53" s="108">
        <f t="shared" si="10"/>
        <v>36.183</v>
      </c>
      <c r="I53" s="12">
        <f>E53*G53</f>
        <v>12061</v>
      </c>
      <c r="J53" s="22"/>
      <c r="L53" s="18"/>
      <c r="M53" s="19"/>
      <c r="N53" s="20"/>
    </row>
    <row r="54" spans="1:14" ht="15.75" customHeight="1">
      <c r="A54" s="171" t="s">
        <v>78</v>
      </c>
      <c r="B54" s="174"/>
      <c r="C54" s="174"/>
      <c r="D54" s="174"/>
      <c r="E54" s="174"/>
      <c r="F54" s="174"/>
      <c r="G54" s="174"/>
      <c r="H54" s="174"/>
      <c r="I54" s="175"/>
      <c r="J54" s="22"/>
      <c r="L54" s="18"/>
      <c r="M54" s="19"/>
      <c r="N54" s="20"/>
    </row>
    <row r="55" spans="1:14" ht="15.75" customHeight="1">
      <c r="A55" s="26"/>
      <c r="B55" s="81" t="s">
        <v>40</v>
      </c>
      <c r="C55" s="59"/>
      <c r="D55" s="51"/>
      <c r="E55" s="60"/>
      <c r="F55" s="61"/>
      <c r="G55" s="61"/>
      <c r="H55" s="62"/>
      <c r="I55" s="12"/>
      <c r="J55" s="22"/>
      <c r="L55" s="18"/>
      <c r="M55" s="19"/>
      <c r="N55" s="20"/>
    </row>
    <row r="56" spans="1:14" ht="31.5" customHeight="1">
      <c r="A56" s="26">
        <v>11</v>
      </c>
      <c r="B56" s="51" t="s">
        <v>114</v>
      </c>
      <c r="C56" s="59" t="s">
        <v>83</v>
      </c>
      <c r="D56" s="51"/>
      <c r="E56" s="60">
        <v>111.2</v>
      </c>
      <c r="F56" s="61">
        <f>SUM(E56*6/100)</f>
        <v>6.6720000000000006</v>
      </c>
      <c r="G56" s="12">
        <v>2431.1799999999998</v>
      </c>
      <c r="H56" s="62">
        <f>SUM(F56*G56/1000)</f>
        <v>16.220832959999999</v>
      </c>
      <c r="I56" s="12">
        <f>G56*0.691</f>
        <v>1679.9453799999997</v>
      </c>
      <c r="J56" s="22"/>
      <c r="L56" s="18"/>
      <c r="M56" s="19"/>
      <c r="N56" s="20"/>
    </row>
    <row r="57" spans="1:14" ht="15.75" customHeight="1">
      <c r="A57" s="26">
        <v>12</v>
      </c>
      <c r="B57" s="70" t="s">
        <v>117</v>
      </c>
      <c r="C57" s="69" t="s">
        <v>118</v>
      </c>
      <c r="D57" s="13" t="s">
        <v>212</v>
      </c>
      <c r="E57" s="71"/>
      <c r="F57" s="72">
        <v>3</v>
      </c>
      <c r="G57" s="12">
        <v>1582.05</v>
      </c>
      <c r="H57" s="62">
        <f>SUM(F57*G57/1000)</f>
        <v>4.7461499999999992</v>
      </c>
      <c r="I57" s="12">
        <f>G57*1.5</f>
        <v>2373.0749999999998</v>
      </c>
      <c r="J57" s="22"/>
      <c r="L57" s="18"/>
      <c r="M57" s="19"/>
      <c r="N57" s="20"/>
    </row>
    <row r="58" spans="1:14" ht="15.75" hidden="1" customHeight="1">
      <c r="A58" s="26"/>
      <c r="B58" s="82" t="s">
        <v>41</v>
      </c>
      <c r="C58" s="69"/>
      <c r="D58" s="70"/>
      <c r="E58" s="71"/>
      <c r="F58" s="72"/>
      <c r="G58" s="12"/>
      <c r="H58" s="73"/>
      <c r="I58" s="12"/>
      <c r="J58" s="22"/>
      <c r="L58" s="18"/>
      <c r="M58" s="19"/>
      <c r="N58" s="20"/>
    </row>
    <row r="59" spans="1:14" ht="15.75" hidden="1" customHeight="1">
      <c r="A59" s="26"/>
      <c r="B59" s="70" t="s">
        <v>42</v>
      </c>
      <c r="C59" s="69" t="s">
        <v>50</v>
      </c>
      <c r="D59" s="70" t="s">
        <v>51</v>
      </c>
      <c r="E59" s="71">
        <v>222.85</v>
      </c>
      <c r="F59" s="72">
        <v>8.9</v>
      </c>
      <c r="G59" s="12">
        <v>1040.8399999999999</v>
      </c>
      <c r="H59" s="73">
        <f>F59*G59/1000</f>
        <v>9.2634759999999989</v>
      </c>
      <c r="I59" s="12">
        <v>0</v>
      </c>
      <c r="J59" s="22"/>
      <c r="L59" s="18"/>
      <c r="M59" s="19"/>
      <c r="N59" s="20"/>
    </row>
    <row r="60" spans="1:14" ht="15.75" customHeight="1">
      <c r="A60" s="26"/>
      <c r="B60" s="82" t="s">
        <v>43</v>
      </c>
      <c r="C60" s="69"/>
      <c r="D60" s="70"/>
      <c r="E60" s="71"/>
      <c r="F60" s="74"/>
      <c r="G60" s="74"/>
      <c r="H60" s="72" t="s">
        <v>102</v>
      </c>
      <c r="I60" s="12"/>
      <c r="J60" s="22"/>
      <c r="L60" s="18"/>
      <c r="M60" s="19"/>
      <c r="N60" s="20"/>
    </row>
    <row r="61" spans="1:14" ht="15.75" hidden="1" customHeight="1">
      <c r="A61" s="26">
        <v>14</v>
      </c>
      <c r="B61" s="13" t="s">
        <v>44</v>
      </c>
      <c r="C61" s="15" t="s">
        <v>94</v>
      </c>
      <c r="D61" s="13" t="s">
        <v>61</v>
      </c>
      <c r="E61" s="17">
        <v>4</v>
      </c>
      <c r="F61" s="61">
        <f>E61</f>
        <v>4</v>
      </c>
      <c r="G61" s="12">
        <v>291.68</v>
      </c>
      <c r="H61" s="75">
        <f t="shared" ref="H61:H69" si="13">SUM(F61*G61/1000)</f>
        <v>1.16672</v>
      </c>
      <c r="I61" s="12">
        <f>G61*9</f>
        <v>2625.12</v>
      </c>
      <c r="J61" s="22"/>
      <c r="L61" s="18"/>
      <c r="M61" s="19"/>
      <c r="N61" s="20"/>
    </row>
    <row r="62" spans="1:14" ht="15.75" hidden="1" customHeight="1">
      <c r="A62" s="26">
        <v>17</v>
      </c>
      <c r="B62" s="13" t="s">
        <v>45</v>
      </c>
      <c r="C62" s="15" t="s">
        <v>94</v>
      </c>
      <c r="D62" s="13" t="s">
        <v>61</v>
      </c>
      <c r="E62" s="17">
        <v>4</v>
      </c>
      <c r="F62" s="61">
        <f>E62</f>
        <v>4</v>
      </c>
      <c r="G62" s="12">
        <v>100.01</v>
      </c>
      <c r="H62" s="75">
        <f t="shared" si="13"/>
        <v>0.40004000000000001</v>
      </c>
      <c r="I62" s="12">
        <f t="shared" ref="I62:I67" si="14">G62*2</f>
        <v>200.02</v>
      </c>
      <c r="J62" s="22"/>
      <c r="L62" s="18"/>
      <c r="M62" s="19"/>
      <c r="N62" s="20"/>
    </row>
    <row r="63" spans="1:14" ht="15.75" hidden="1" customHeight="1">
      <c r="A63" s="26">
        <v>24</v>
      </c>
      <c r="B63" s="13" t="s">
        <v>46</v>
      </c>
      <c r="C63" s="15" t="s">
        <v>95</v>
      </c>
      <c r="D63" s="13" t="s">
        <v>51</v>
      </c>
      <c r="E63" s="60">
        <v>12702</v>
      </c>
      <c r="F63" s="12">
        <f>SUM(E63/100)</f>
        <v>127.02</v>
      </c>
      <c r="G63" s="12">
        <v>278.24</v>
      </c>
      <c r="H63" s="75">
        <f t="shared" si="13"/>
        <v>35.342044800000004</v>
      </c>
      <c r="I63" s="12">
        <f t="shared" si="14"/>
        <v>556.48</v>
      </c>
      <c r="J63" s="22"/>
      <c r="L63" s="18"/>
      <c r="M63" s="19"/>
      <c r="N63" s="20"/>
    </row>
    <row r="64" spans="1:14" ht="15.75" hidden="1" customHeight="1">
      <c r="A64" s="26">
        <v>25</v>
      </c>
      <c r="B64" s="13" t="s">
        <v>47</v>
      </c>
      <c r="C64" s="15" t="s">
        <v>96</v>
      </c>
      <c r="D64" s="13"/>
      <c r="E64" s="60">
        <v>12702</v>
      </c>
      <c r="F64" s="12">
        <f>SUM(E64/1000)</f>
        <v>12.702</v>
      </c>
      <c r="G64" s="12">
        <v>216.68</v>
      </c>
      <c r="H64" s="75">
        <f t="shared" si="13"/>
        <v>2.7522693600000001</v>
      </c>
      <c r="I64" s="12">
        <f t="shared" si="14"/>
        <v>433.36</v>
      </c>
      <c r="J64" s="22"/>
      <c r="L64" s="18"/>
      <c r="M64" s="19"/>
      <c r="N64" s="20"/>
    </row>
    <row r="65" spans="1:14" ht="15.75" hidden="1" customHeight="1">
      <c r="A65" s="26">
        <v>26</v>
      </c>
      <c r="B65" s="13" t="s">
        <v>48</v>
      </c>
      <c r="C65" s="15" t="s">
        <v>70</v>
      </c>
      <c r="D65" s="13" t="s">
        <v>51</v>
      </c>
      <c r="E65" s="60">
        <v>2200</v>
      </c>
      <c r="F65" s="12">
        <f>SUM(E65/100)</f>
        <v>22</v>
      </c>
      <c r="G65" s="12">
        <v>2720.94</v>
      </c>
      <c r="H65" s="75">
        <f t="shared" si="13"/>
        <v>59.860680000000002</v>
      </c>
      <c r="I65" s="12">
        <f t="shared" si="14"/>
        <v>5441.88</v>
      </c>
      <c r="J65" s="22"/>
      <c r="L65" s="18"/>
      <c r="M65" s="19"/>
      <c r="N65" s="20"/>
    </row>
    <row r="66" spans="1:14" ht="15.75" hidden="1" customHeight="1">
      <c r="A66" s="26">
        <v>27</v>
      </c>
      <c r="B66" s="76" t="s">
        <v>97</v>
      </c>
      <c r="C66" s="15" t="s">
        <v>30</v>
      </c>
      <c r="D66" s="13"/>
      <c r="E66" s="60">
        <v>9.6</v>
      </c>
      <c r="F66" s="12">
        <f>SUM(E66)</f>
        <v>9.6</v>
      </c>
      <c r="G66" s="12">
        <v>42.61</v>
      </c>
      <c r="H66" s="75">
        <f t="shared" si="13"/>
        <v>0.40905599999999998</v>
      </c>
      <c r="I66" s="12">
        <f t="shared" si="14"/>
        <v>85.22</v>
      </c>
      <c r="J66" s="22"/>
      <c r="L66" s="18"/>
      <c r="M66" s="19"/>
      <c r="N66" s="20"/>
    </row>
    <row r="67" spans="1:14" ht="15.75" hidden="1" customHeight="1">
      <c r="A67" s="26">
        <v>28</v>
      </c>
      <c r="B67" s="76" t="s">
        <v>98</v>
      </c>
      <c r="C67" s="15" t="s">
        <v>30</v>
      </c>
      <c r="D67" s="13"/>
      <c r="E67" s="60">
        <v>9.6</v>
      </c>
      <c r="F67" s="12">
        <f>SUM(E67)</f>
        <v>9.6</v>
      </c>
      <c r="G67" s="12">
        <v>46.04</v>
      </c>
      <c r="H67" s="75">
        <f t="shared" si="13"/>
        <v>0.44198399999999999</v>
      </c>
      <c r="I67" s="12">
        <f t="shared" si="14"/>
        <v>92.08</v>
      </c>
      <c r="J67" s="22"/>
      <c r="L67" s="18"/>
      <c r="M67" s="19"/>
      <c r="N67" s="20"/>
    </row>
    <row r="68" spans="1:14" ht="15.75" hidden="1" customHeight="1">
      <c r="A68" s="26">
        <v>22</v>
      </c>
      <c r="B68" s="13" t="s">
        <v>55</v>
      </c>
      <c r="C68" s="15" t="s">
        <v>56</v>
      </c>
      <c r="D68" s="13" t="s">
        <v>51</v>
      </c>
      <c r="E68" s="17">
        <v>4</v>
      </c>
      <c r="F68" s="12">
        <f>SUM(E68)</f>
        <v>4</v>
      </c>
      <c r="G68" s="12">
        <v>65.42</v>
      </c>
      <c r="H68" s="75">
        <f t="shared" si="13"/>
        <v>0.26168000000000002</v>
      </c>
      <c r="I68" s="12">
        <f>G68*4</f>
        <v>261.68</v>
      </c>
      <c r="J68" s="22"/>
      <c r="L68" s="18"/>
      <c r="M68" s="19"/>
      <c r="N68" s="20"/>
    </row>
    <row r="69" spans="1:14" ht="15.75" customHeight="1">
      <c r="A69" s="26">
        <v>13</v>
      </c>
      <c r="B69" s="13" t="s">
        <v>146</v>
      </c>
      <c r="C69" s="26" t="s">
        <v>147</v>
      </c>
      <c r="D69" s="13"/>
      <c r="E69" s="17">
        <v>3181</v>
      </c>
      <c r="F69" s="61">
        <f>SUM(E69)*12</f>
        <v>38172</v>
      </c>
      <c r="G69" s="12">
        <v>2.2799999999999998</v>
      </c>
      <c r="H69" s="75">
        <f t="shared" si="13"/>
        <v>87.03215999999999</v>
      </c>
      <c r="I69" s="12">
        <f>F69/12*G69</f>
        <v>7252.6799999999994</v>
      </c>
      <c r="J69" s="22"/>
      <c r="L69" s="18"/>
      <c r="M69" s="19"/>
      <c r="N69" s="20"/>
    </row>
    <row r="70" spans="1:14" ht="15.75" customHeight="1">
      <c r="A70" s="26"/>
      <c r="B70" s="55" t="s">
        <v>65</v>
      </c>
      <c r="C70" s="15"/>
      <c r="D70" s="13"/>
      <c r="E70" s="17"/>
      <c r="F70" s="12"/>
      <c r="G70" s="12"/>
      <c r="H70" s="75" t="s">
        <v>102</v>
      </c>
      <c r="I70" s="12"/>
      <c r="J70" s="22"/>
      <c r="L70" s="18"/>
      <c r="M70" s="19"/>
      <c r="N70" s="20"/>
    </row>
    <row r="71" spans="1:14" ht="31.5" hidden="1" customHeight="1">
      <c r="A71" s="26">
        <v>18</v>
      </c>
      <c r="B71" s="13" t="s">
        <v>148</v>
      </c>
      <c r="C71" s="15" t="s">
        <v>28</v>
      </c>
      <c r="D71" s="13" t="s">
        <v>61</v>
      </c>
      <c r="E71" s="17">
        <v>1</v>
      </c>
      <c r="F71" s="61">
        <f t="shared" ref="F71" si="15">E71</f>
        <v>1</v>
      </c>
      <c r="G71" s="12">
        <v>1543.4</v>
      </c>
      <c r="H71" s="75">
        <f>G71*F71/1000</f>
        <v>1.5434000000000001</v>
      </c>
      <c r="I71" s="12">
        <v>0</v>
      </c>
      <c r="J71" s="22"/>
      <c r="L71" s="18"/>
      <c r="M71" s="19"/>
      <c r="N71" s="20"/>
    </row>
    <row r="72" spans="1:14" ht="15.75" hidden="1" customHeight="1">
      <c r="A72" s="26">
        <v>16</v>
      </c>
      <c r="B72" s="50" t="s">
        <v>149</v>
      </c>
      <c r="C72" s="54" t="s">
        <v>94</v>
      </c>
      <c r="D72" s="13" t="s">
        <v>61</v>
      </c>
      <c r="E72" s="17">
        <v>1</v>
      </c>
      <c r="F72" s="61">
        <f>E72</f>
        <v>1</v>
      </c>
      <c r="G72" s="12">
        <v>130.96</v>
      </c>
      <c r="H72" s="75">
        <f>G72*F72/1000</f>
        <v>0.13096000000000002</v>
      </c>
      <c r="I72" s="12">
        <f>G72</f>
        <v>130.96</v>
      </c>
      <c r="J72" s="22"/>
      <c r="L72" s="18"/>
      <c r="M72" s="19"/>
      <c r="N72" s="20"/>
    </row>
    <row r="73" spans="1:14" ht="15.75" hidden="1" customHeight="1">
      <c r="A73" s="26">
        <v>16</v>
      </c>
      <c r="B73" s="13" t="s">
        <v>66</v>
      </c>
      <c r="C73" s="15" t="s">
        <v>68</v>
      </c>
      <c r="D73" s="13" t="s">
        <v>61</v>
      </c>
      <c r="E73" s="17">
        <v>3</v>
      </c>
      <c r="F73" s="61">
        <f>E73/10</f>
        <v>0.3</v>
      </c>
      <c r="G73" s="12">
        <v>657.87</v>
      </c>
      <c r="H73" s="75">
        <f t="shared" ref="H73:H76" si="16">SUM(F73*G73/1000)</f>
        <v>0.19736099999999998</v>
      </c>
      <c r="I73" s="12">
        <f>G73*0.1</f>
        <v>65.787000000000006</v>
      </c>
      <c r="J73" s="22"/>
      <c r="L73" s="18"/>
      <c r="M73" s="19"/>
      <c r="N73" s="20"/>
    </row>
    <row r="74" spans="1:14" ht="18.75" customHeight="1">
      <c r="A74" s="26">
        <v>14</v>
      </c>
      <c r="B74" s="13" t="s">
        <v>67</v>
      </c>
      <c r="C74" s="15" t="s">
        <v>28</v>
      </c>
      <c r="D74" s="13" t="s">
        <v>219</v>
      </c>
      <c r="E74" s="17">
        <v>1</v>
      </c>
      <c r="F74" s="61">
        <f>E74</f>
        <v>1</v>
      </c>
      <c r="G74" s="12">
        <v>1118.72</v>
      </c>
      <c r="H74" s="75">
        <f t="shared" si="16"/>
        <v>1.1187199999999999</v>
      </c>
      <c r="I74" s="12">
        <f>G74*2</f>
        <v>2237.44</v>
      </c>
      <c r="J74" s="22"/>
      <c r="L74" s="18"/>
      <c r="M74" s="19"/>
      <c r="N74" s="20"/>
    </row>
    <row r="75" spans="1:14" ht="14.25" hidden="1" customHeight="1">
      <c r="A75" s="26"/>
      <c r="B75" s="50" t="s">
        <v>150</v>
      </c>
      <c r="C75" s="54" t="s">
        <v>94</v>
      </c>
      <c r="D75" s="13" t="s">
        <v>61</v>
      </c>
      <c r="E75" s="17">
        <v>1</v>
      </c>
      <c r="F75" s="61">
        <f>E75</f>
        <v>1</v>
      </c>
      <c r="G75" s="12">
        <v>1605.83</v>
      </c>
      <c r="H75" s="75">
        <f t="shared" si="16"/>
        <v>1.6058299999999999</v>
      </c>
      <c r="I75" s="12">
        <v>0</v>
      </c>
      <c r="J75" s="22"/>
      <c r="L75" s="18"/>
      <c r="M75" s="19"/>
      <c r="N75" s="20"/>
    </row>
    <row r="76" spans="1:14" ht="15.75" customHeight="1">
      <c r="A76" s="26">
        <v>15</v>
      </c>
      <c r="B76" s="50" t="s">
        <v>151</v>
      </c>
      <c r="C76" s="54" t="s">
        <v>94</v>
      </c>
      <c r="D76" s="13" t="s">
        <v>220</v>
      </c>
      <c r="E76" s="17">
        <v>2</v>
      </c>
      <c r="F76" s="61">
        <f>E76*12</f>
        <v>24</v>
      </c>
      <c r="G76" s="12">
        <v>53.42</v>
      </c>
      <c r="H76" s="75">
        <f t="shared" si="16"/>
        <v>1.2820799999999999</v>
      </c>
      <c r="I76" s="12">
        <f>G76*2</f>
        <v>106.84</v>
      </c>
      <c r="J76" s="22"/>
      <c r="L76" s="18"/>
      <c r="M76" s="19"/>
      <c r="N76" s="20"/>
    </row>
    <row r="77" spans="1:14" ht="15.75" hidden="1" customHeight="1">
      <c r="A77" s="26"/>
      <c r="B77" s="77" t="s">
        <v>69</v>
      </c>
      <c r="C77" s="15"/>
      <c r="D77" s="13"/>
      <c r="E77" s="17"/>
      <c r="F77" s="12"/>
      <c r="G77" s="12" t="s">
        <v>102</v>
      </c>
      <c r="H77" s="75" t="s">
        <v>102</v>
      </c>
      <c r="I77" s="12"/>
      <c r="J77" s="22"/>
      <c r="L77" s="18"/>
      <c r="M77" s="19"/>
      <c r="N77" s="20"/>
    </row>
    <row r="78" spans="1:14" ht="15.75" hidden="1" customHeight="1">
      <c r="A78" s="26"/>
      <c r="B78" s="45" t="s">
        <v>101</v>
      </c>
      <c r="C78" s="15" t="s">
        <v>70</v>
      </c>
      <c r="D78" s="13"/>
      <c r="E78" s="17"/>
      <c r="F78" s="12">
        <v>1</v>
      </c>
      <c r="G78" s="12">
        <v>3370.89</v>
      </c>
      <c r="H78" s="75">
        <f t="shared" ref="H78" si="17">SUM(F78*G78/1000)</f>
        <v>3.3708899999999997</v>
      </c>
      <c r="I78" s="12">
        <v>0</v>
      </c>
      <c r="J78" s="22"/>
      <c r="L78" s="18"/>
      <c r="M78" s="19"/>
      <c r="N78" s="20"/>
    </row>
    <row r="79" spans="1:14" ht="16.5" customHeight="1">
      <c r="A79" s="26"/>
      <c r="B79" s="55" t="s">
        <v>99</v>
      </c>
      <c r="C79" s="77"/>
      <c r="D79" s="27"/>
      <c r="E79" s="30"/>
      <c r="F79" s="66"/>
      <c r="G79" s="66"/>
      <c r="H79" s="78">
        <f>SUM(H56:H78)</f>
        <v>227.14633412000001</v>
      </c>
      <c r="I79" s="66"/>
      <c r="J79" s="22"/>
      <c r="L79" s="18"/>
      <c r="M79" s="19"/>
      <c r="N79" s="20"/>
    </row>
    <row r="80" spans="1:14" ht="18.75" customHeight="1">
      <c r="A80" s="105">
        <v>16</v>
      </c>
      <c r="B80" s="53" t="s">
        <v>100</v>
      </c>
      <c r="C80" s="110"/>
      <c r="D80" s="111"/>
      <c r="E80" s="111"/>
      <c r="F80" s="112">
        <v>1</v>
      </c>
      <c r="G80" s="112">
        <v>1122</v>
      </c>
      <c r="H80" s="113">
        <f>G80*F80/1000</f>
        <v>1.1220000000000001</v>
      </c>
      <c r="I80" s="80">
        <f>G80</f>
        <v>1122</v>
      </c>
      <c r="J80" s="22"/>
      <c r="L80" s="18"/>
      <c r="M80" s="19"/>
      <c r="N80" s="20"/>
    </row>
    <row r="81" spans="1:14" ht="18" hidden="1" customHeight="1">
      <c r="A81" s="49"/>
      <c r="B81" s="114" t="s">
        <v>152</v>
      </c>
      <c r="C81" s="15"/>
      <c r="D81" s="13"/>
      <c r="E81" s="13"/>
      <c r="F81" s="12">
        <v>69</v>
      </c>
      <c r="G81" s="12">
        <v>700</v>
      </c>
      <c r="H81" s="75">
        <f>G81*F81/1000</f>
        <v>48.3</v>
      </c>
      <c r="I81" s="115">
        <v>0</v>
      </c>
      <c r="J81" s="22"/>
      <c r="L81" s="18"/>
      <c r="M81" s="19"/>
      <c r="N81" s="20"/>
    </row>
    <row r="82" spans="1:14" ht="15.75" customHeight="1">
      <c r="A82" s="168" t="s">
        <v>123</v>
      </c>
      <c r="B82" s="176"/>
      <c r="C82" s="176"/>
      <c r="D82" s="176"/>
      <c r="E82" s="176"/>
      <c r="F82" s="176"/>
      <c r="G82" s="176"/>
      <c r="H82" s="176"/>
      <c r="I82" s="177"/>
      <c r="J82" s="22"/>
      <c r="L82" s="18"/>
      <c r="M82" s="19"/>
      <c r="N82" s="20"/>
    </row>
    <row r="83" spans="1:14" ht="15.75" customHeight="1">
      <c r="A83" s="100">
        <v>17</v>
      </c>
      <c r="B83" s="32" t="s">
        <v>116</v>
      </c>
      <c r="C83" s="37" t="s">
        <v>52</v>
      </c>
      <c r="D83" s="79"/>
      <c r="E83" s="34">
        <v>3181</v>
      </c>
      <c r="F83" s="34">
        <f>SUM(E83*12)</f>
        <v>38172</v>
      </c>
      <c r="G83" s="34">
        <v>3.1</v>
      </c>
      <c r="H83" s="106">
        <f>SUM(F83*G83/1000)</f>
        <v>118.33319999999999</v>
      </c>
      <c r="I83" s="101">
        <f>F83/12*G83</f>
        <v>9861.1</v>
      </c>
      <c r="J83" s="22"/>
      <c r="L83" s="18"/>
      <c r="M83" s="19"/>
      <c r="N83" s="20"/>
    </row>
    <row r="84" spans="1:14" ht="31.5" customHeight="1">
      <c r="A84" s="26">
        <v>18</v>
      </c>
      <c r="B84" s="13" t="s">
        <v>71</v>
      </c>
      <c r="C84" s="15"/>
      <c r="D84" s="79"/>
      <c r="E84" s="60">
        <v>3181</v>
      </c>
      <c r="F84" s="12">
        <f>E84*12</f>
        <v>38172</v>
      </c>
      <c r="G84" s="12">
        <v>3.5</v>
      </c>
      <c r="H84" s="75">
        <f>F84*G84/1000</f>
        <v>133.602</v>
      </c>
      <c r="I84" s="12">
        <f>F84/12*G84</f>
        <v>11133.5</v>
      </c>
      <c r="J84" s="22"/>
      <c r="L84" s="18"/>
      <c r="M84" s="19"/>
      <c r="N84" s="20"/>
    </row>
    <row r="85" spans="1:14" ht="15.75" customHeight="1">
      <c r="A85" s="49"/>
      <c r="B85" s="38" t="s">
        <v>74</v>
      </c>
      <c r="C85" s="15"/>
      <c r="D85" s="45"/>
      <c r="E85" s="12"/>
      <c r="F85" s="12"/>
      <c r="G85" s="12"/>
      <c r="H85" s="75">
        <f>H84</f>
        <v>133.602</v>
      </c>
      <c r="I85" s="66">
        <f>I84+I83+I76+I74+I69+I57+I56+I42+I41+I40+I39+I37+I36+I26+I18+I17+I16+I80</f>
        <v>55932.990066666665</v>
      </c>
      <c r="J85" s="22"/>
      <c r="L85" s="18"/>
      <c r="M85" s="19"/>
      <c r="N85" s="20"/>
    </row>
    <row r="86" spans="1:14" ht="15.75" customHeight="1">
      <c r="A86" s="178" t="s">
        <v>57</v>
      </c>
      <c r="B86" s="179"/>
      <c r="C86" s="179"/>
      <c r="D86" s="179"/>
      <c r="E86" s="179"/>
      <c r="F86" s="179"/>
      <c r="G86" s="179"/>
      <c r="H86" s="179"/>
      <c r="I86" s="180"/>
      <c r="J86" s="22"/>
      <c r="L86" s="18"/>
      <c r="M86" s="19"/>
      <c r="N86" s="20"/>
    </row>
    <row r="87" spans="1:14" ht="15.75" customHeight="1">
      <c r="A87" s="26">
        <v>19</v>
      </c>
      <c r="B87" s="70" t="s">
        <v>156</v>
      </c>
      <c r="C87" s="69" t="s">
        <v>157</v>
      </c>
      <c r="D87" s="70"/>
      <c r="E87" s="71"/>
      <c r="F87" s="74">
        <v>96</v>
      </c>
      <c r="G87" s="56">
        <v>1.4</v>
      </c>
      <c r="H87" s="72">
        <f>F87*G87/1000</f>
        <v>0.13439999999999996</v>
      </c>
      <c r="I87" s="12">
        <f>G87*48</f>
        <v>67.199999999999989</v>
      </c>
      <c r="J87" s="22"/>
      <c r="L87" s="18"/>
      <c r="M87" s="19"/>
      <c r="N87" s="20"/>
    </row>
    <row r="88" spans="1:14" ht="32.25" customHeight="1">
      <c r="A88" s="26">
        <v>20</v>
      </c>
      <c r="B88" s="122" t="s">
        <v>119</v>
      </c>
      <c r="C88" s="123" t="s">
        <v>35</v>
      </c>
      <c r="D88" s="36"/>
      <c r="E88" s="16"/>
      <c r="F88" s="34">
        <v>3.5</v>
      </c>
      <c r="G88" s="34">
        <v>3914.31</v>
      </c>
      <c r="H88" s="106">
        <f t="shared" ref="H88" si="18">G88*F88/1000</f>
        <v>13.700085</v>
      </c>
      <c r="I88" s="12">
        <f>G88*0.01</f>
        <v>39.143099999999997</v>
      </c>
      <c r="J88" s="22"/>
      <c r="L88" s="18"/>
      <c r="M88" s="19"/>
      <c r="N88" s="20"/>
    </row>
    <row r="89" spans="1:14" ht="15.75" customHeight="1">
      <c r="A89" s="26">
        <v>21</v>
      </c>
      <c r="B89" s="122" t="s">
        <v>199</v>
      </c>
      <c r="C89" s="123" t="s">
        <v>198</v>
      </c>
      <c r="D89" s="36"/>
      <c r="E89" s="16"/>
      <c r="F89" s="34"/>
      <c r="G89" s="142">
        <v>24628.49</v>
      </c>
      <c r="H89" s="106"/>
      <c r="I89" s="12">
        <f>G89*0.02</f>
        <v>492.56980000000004</v>
      </c>
      <c r="J89" s="22"/>
      <c r="L89" s="18"/>
      <c r="M89" s="19"/>
      <c r="N89" s="20"/>
    </row>
    <row r="90" spans="1:14" ht="30" customHeight="1">
      <c r="A90" s="26">
        <v>22</v>
      </c>
      <c r="B90" s="122" t="s">
        <v>167</v>
      </c>
      <c r="C90" s="123" t="s">
        <v>93</v>
      </c>
      <c r="D90" s="36"/>
      <c r="E90" s="16"/>
      <c r="F90" s="34"/>
      <c r="G90" s="136">
        <v>19757.060000000001</v>
      </c>
      <c r="H90" s="106"/>
      <c r="I90" s="12">
        <f>G90*0.599*10/1000</f>
        <v>118.34478940000001</v>
      </c>
      <c r="J90" s="22"/>
      <c r="L90" s="18"/>
      <c r="M90" s="19"/>
      <c r="N90" s="20"/>
    </row>
    <row r="91" spans="1:14" ht="15.75" customHeight="1">
      <c r="A91" s="26">
        <v>23</v>
      </c>
      <c r="B91" s="122" t="s">
        <v>182</v>
      </c>
      <c r="C91" s="123" t="s">
        <v>27</v>
      </c>
      <c r="D91" s="36"/>
      <c r="E91" s="16"/>
      <c r="F91" s="34"/>
      <c r="G91" s="34">
        <v>1160.81</v>
      </c>
      <c r="H91" s="106"/>
      <c r="I91" s="12">
        <f>G91*0.0691</f>
        <v>80.211970999999991</v>
      </c>
      <c r="J91" s="22"/>
      <c r="L91" s="18"/>
      <c r="M91" s="19"/>
      <c r="N91" s="20"/>
    </row>
    <row r="92" spans="1:14" ht="18.75" customHeight="1">
      <c r="A92" s="26">
        <v>24</v>
      </c>
      <c r="B92" s="122" t="s">
        <v>160</v>
      </c>
      <c r="C92" s="123" t="s">
        <v>187</v>
      </c>
      <c r="D92" s="36"/>
      <c r="E92" s="16"/>
      <c r="F92" s="34"/>
      <c r="G92" s="34">
        <v>8102.62</v>
      </c>
      <c r="H92" s="106"/>
      <c r="I92" s="12">
        <f>G92*0.01</f>
        <v>81.026200000000003</v>
      </c>
      <c r="J92" s="22"/>
      <c r="L92" s="18"/>
      <c r="M92" s="19"/>
      <c r="N92" s="20"/>
    </row>
    <row r="93" spans="1:14" ht="32.25" customHeight="1">
      <c r="A93" s="26">
        <v>25</v>
      </c>
      <c r="B93" s="122" t="s">
        <v>73</v>
      </c>
      <c r="C93" s="123" t="s">
        <v>94</v>
      </c>
      <c r="D93" s="36"/>
      <c r="E93" s="16"/>
      <c r="F93" s="34"/>
      <c r="G93" s="34">
        <v>91.11</v>
      </c>
      <c r="H93" s="106"/>
      <c r="I93" s="12">
        <f>G93*1</f>
        <v>91.11</v>
      </c>
      <c r="J93" s="22"/>
      <c r="L93" s="18"/>
      <c r="M93" s="19"/>
      <c r="N93" s="20"/>
    </row>
    <row r="94" spans="1:14" ht="15.75" customHeight="1">
      <c r="A94" s="26"/>
      <c r="B94" s="27" t="s">
        <v>49</v>
      </c>
      <c r="C94" s="40"/>
      <c r="D94" s="46"/>
      <c r="E94" s="40">
        <v>1</v>
      </c>
      <c r="F94" s="40"/>
      <c r="G94" s="40"/>
      <c r="H94" s="40"/>
      <c r="I94" s="30">
        <f>SUM(I87:I93)</f>
        <v>969.60586039999998</v>
      </c>
      <c r="J94" s="22"/>
      <c r="L94" s="18"/>
      <c r="M94" s="19"/>
      <c r="N94" s="20"/>
    </row>
    <row r="95" spans="1:14" ht="15.75" customHeight="1">
      <c r="A95" s="26"/>
      <c r="B95" s="45" t="s">
        <v>72</v>
      </c>
      <c r="C95" s="14"/>
      <c r="D95" s="14"/>
      <c r="E95" s="41"/>
      <c r="F95" s="41"/>
      <c r="G95" s="42"/>
      <c r="H95" s="42"/>
      <c r="I95" s="16">
        <v>0</v>
      </c>
      <c r="J95" s="22"/>
      <c r="L95" s="18"/>
      <c r="M95" s="19"/>
      <c r="N95" s="20"/>
    </row>
    <row r="96" spans="1:14" ht="15.75" customHeight="1">
      <c r="A96" s="47"/>
      <c r="B96" s="44" t="s">
        <v>142</v>
      </c>
      <c r="C96" s="33"/>
      <c r="D96" s="33"/>
      <c r="E96" s="33"/>
      <c r="F96" s="33"/>
      <c r="G96" s="33"/>
      <c r="H96" s="33"/>
      <c r="I96" s="43">
        <f>I85+I94</f>
        <v>56902.595927066664</v>
      </c>
      <c r="J96" s="22"/>
      <c r="L96" s="18"/>
      <c r="M96" s="19"/>
      <c r="N96" s="20"/>
    </row>
    <row r="97" spans="1:22" ht="15.75" customHeight="1">
      <c r="A97" s="167" t="s">
        <v>221</v>
      </c>
      <c r="B97" s="167"/>
      <c r="C97" s="167"/>
      <c r="D97" s="167"/>
      <c r="E97" s="167"/>
      <c r="F97" s="167"/>
      <c r="G97" s="167"/>
      <c r="H97" s="167"/>
      <c r="I97" s="167"/>
      <c r="J97" s="22"/>
      <c r="L97" s="18"/>
      <c r="M97" s="19"/>
      <c r="N97" s="20"/>
    </row>
    <row r="98" spans="1:22" ht="15.75" customHeight="1">
      <c r="A98" s="8"/>
      <c r="B98" s="181" t="s">
        <v>222</v>
      </c>
      <c r="C98" s="181"/>
      <c r="D98" s="181"/>
      <c r="E98" s="181"/>
      <c r="F98" s="181"/>
      <c r="G98" s="181"/>
      <c r="H98" s="128"/>
      <c r="I98" s="3"/>
      <c r="J98" s="22"/>
      <c r="L98" s="18"/>
      <c r="M98" s="19"/>
      <c r="N98" s="20"/>
    </row>
    <row r="99" spans="1:22" ht="15.75" customHeight="1">
      <c r="A99" s="124"/>
      <c r="B99" s="182" t="s">
        <v>5</v>
      </c>
      <c r="C99" s="182"/>
      <c r="D99" s="182"/>
      <c r="E99" s="182"/>
      <c r="F99" s="182"/>
      <c r="G99" s="182"/>
      <c r="H99" s="23"/>
      <c r="I99" s="5"/>
      <c r="J99" s="22"/>
      <c r="K99" s="22"/>
      <c r="L99" s="22"/>
      <c r="M99" s="19"/>
      <c r="N99" s="20"/>
    </row>
    <row r="100" spans="1:22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22"/>
      <c r="K100" s="22"/>
      <c r="L100" s="22"/>
      <c r="M100" s="19"/>
      <c r="N100" s="20"/>
    </row>
    <row r="101" spans="1:22" ht="15.75" customHeight="1">
      <c r="A101" s="183" t="s">
        <v>6</v>
      </c>
      <c r="B101" s="183"/>
      <c r="C101" s="183"/>
      <c r="D101" s="183"/>
      <c r="E101" s="183"/>
      <c r="F101" s="183"/>
      <c r="G101" s="183"/>
      <c r="H101" s="183"/>
      <c r="I101" s="183"/>
      <c r="J101" s="22"/>
      <c r="K101" s="22"/>
      <c r="L101" s="22"/>
    </row>
    <row r="102" spans="1:22" ht="15.75" customHeight="1">
      <c r="A102" s="183" t="s">
        <v>7</v>
      </c>
      <c r="B102" s="183"/>
      <c r="C102" s="183"/>
      <c r="D102" s="183"/>
      <c r="E102" s="183"/>
      <c r="F102" s="183"/>
      <c r="G102" s="183"/>
      <c r="H102" s="183"/>
      <c r="I102" s="183"/>
      <c r="J102" s="22"/>
      <c r="K102" s="22"/>
      <c r="L102" s="22"/>
    </row>
    <row r="103" spans="1:22" ht="15.75" customHeight="1">
      <c r="A103" s="167" t="s">
        <v>8</v>
      </c>
      <c r="B103" s="167"/>
      <c r="C103" s="167"/>
      <c r="D103" s="167"/>
      <c r="E103" s="167"/>
      <c r="F103" s="167"/>
      <c r="G103" s="167"/>
      <c r="H103" s="167"/>
      <c r="I103" s="167"/>
    </row>
    <row r="104" spans="1:22" ht="15.75" customHeight="1">
      <c r="A104" s="10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7"/>
    </row>
    <row r="105" spans="1:22" ht="15.75" customHeight="1">
      <c r="A105" s="185" t="s">
        <v>9</v>
      </c>
      <c r="B105" s="185"/>
      <c r="C105" s="185"/>
      <c r="D105" s="185"/>
      <c r="E105" s="185"/>
      <c r="F105" s="185"/>
      <c r="G105" s="185"/>
      <c r="H105" s="185"/>
      <c r="I105" s="185"/>
      <c r="J105" s="24"/>
      <c r="K105" s="24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2" ht="15.75" customHeight="1">
      <c r="A106" s="4"/>
      <c r="J106" s="3"/>
      <c r="K106" s="3"/>
      <c r="L106" s="3"/>
      <c r="M106" s="3"/>
      <c r="N106" s="3"/>
      <c r="O106" s="3"/>
      <c r="P106" s="3"/>
      <c r="Q106" s="3"/>
      <c r="S106" s="3"/>
      <c r="T106" s="3"/>
      <c r="U106" s="3"/>
    </row>
    <row r="107" spans="1:22" ht="15.75" customHeight="1">
      <c r="A107" s="167" t="s">
        <v>10</v>
      </c>
      <c r="B107" s="167"/>
      <c r="C107" s="186" t="s">
        <v>79</v>
      </c>
      <c r="D107" s="186"/>
      <c r="E107" s="186"/>
      <c r="F107" s="57"/>
      <c r="I107" s="127"/>
      <c r="J107" s="5"/>
      <c r="K107" s="5"/>
      <c r="L107" s="5"/>
      <c r="M107" s="5"/>
      <c r="N107" s="5"/>
      <c r="O107" s="5"/>
      <c r="P107" s="5"/>
      <c r="Q107" s="5"/>
      <c r="R107" s="187"/>
      <c r="S107" s="187"/>
      <c r="T107" s="187"/>
      <c r="U107" s="187"/>
    </row>
    <row r="108" spans="1:22" ht="15.75" customHeight="1">
      <c r="A108" s="124"/>
      <c r="C108" s="182" t="s">
        <v>11</v>
      </c>
      <c r="D108" s="182"/>
      <c r="E108" s="182"/>
      <c r="F108" s="23"/>
      <c r="I108" s="126" t="s">
        <v>12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2" ht="15.75" customHeight="1">
      <c r="A109" s="24"/>
      <c r="C109" s="11"/>
      <c r="D109" s="11"/>
      <c r="G109" s="11"/>
      <c r="H109" s="11"/>
    </row>
    <row r="110" spans="1:22" ht="15.75" customHeight="1">
      <c r="A110" s="167" t="s">
        <v>13</v>
      </c>
      <c r="B110" s="167"/>
      <c r="C110" s="188"/>
      <c r="D110" s="188"/>
      <c r="E110" s="188"/>
      <c r="F110" s="58"/>
      <c r="I110" s="127"/>
    </row>
    <row r="111" spans="1:22" ht="15.75" customHeight="1">
      <c r="A111" s="124"/>
      <c r="C111" s="187" t="s">
        <v>11</v>
      </c>
      <c r="D111" s="187"/>
      <c r="E111" s="187"/>
      <c r="F111" s="124"/>
      <c r="I111" s="126" t="s">
        <v>12</v>
      </c>
    </row>
    <row r="112" spans="1:22" ht="15.75" customHeight="1">
      <c r="A112" s="4" t="s">
        <v>14</v>
      </c>
    </row>
    <row r="113" spans="1:9" ht="15" customHeight="1">
      <c r="A113" s="189" t="s">
        <v>15</v>
      </c>
      <c r="B113" s="189"/>
      <c r="C113" s="189"/>
      <c r="D113" s="189"/>
      <c r="E113" s="189"/>
      <c r="F113" s="189"/>
      <c r="G113" s="189"/>
      <c r="H113" s="189"/>
      <c r="I113" s="189"/>
    </row>
    <row r="114" spans="1:9" ht="45" customHeight="1">
      <c r="A114" s="184" t="s">
        <v>16</v>
      </c>
      <c r="B114" s="184"/>
      <c r="C114" s="184"/>
      <c r="D114" s="184"/>
      <c r="E114" s="184"/>
      <c r="F114" s="184"/>
      <c r="G114" s="184"/>
      <c r="H114" s="184"/>
      <c r="I114" s="184"/>
    </row>
    <row r="115" spans="1:9" ht="30" customHeight="1">
      <c r="A115" s="184" t="s">
        <v>17</v>
      </c>
      <c r="B115" s="184"/>
      <c r="C115" s="184"/>
      <c r="D115" s="184"/>
      <c r="E115" s="184"/>
      <c r="F115" s="184"/>
      <c r="G115" s="184"/>
      <c r="H115" s="184"/>
      <c r="I115" s="184"/>
    </row>
    <row r="116" spans="1:9" ht="30" customHeight="1">
      <c r="A116" s="184" t="s">
        <v>21</v>
      </c>
      <c r="B116" s="184"/>
      <c r="C116" s="184"/>
      <c r="D116" s="184"/>
      <c r="E116" s="184"/>
      <c r="F116" s="184"/>
      <c r="G116" s="184"/>
      <c r="H116" s="184"/>
      <c r="I116" s="184"/>
    </row>
    <row r="117" spans="1:9" ht="15" customHeight="1">
      <c r="A117" s="184" t="s">
        <v>20</v>
      </c>
      <c r="B117" s="184"/>
      <c r="C117" s="184"/>
      <c r="D117" s="184"/>
      <c r="E117" s="184"/>
      <c r="F117" s="184"/>
      <c r="G117" s="184"/>
      <c r="H117" s="184"/>
      <c r="I117" s="184"/>
    </row>
  </sheetData>
  <autoFilter ref="I12:I103"/>
  <mergeCells count="31">
    <mergeCell ref="A117:I117"/>
    <mergeCell ref="A105:I105"/>
    <mergeCell ref="A107:B107"/>
    <mergeCell ref="C107:E107"/>
    <mergeCell ref="R107:U107"/>
    <mergeCell ref="C108:E108"/>
    <mergeCell ref="A110:B110"/>
    <mergeCell ref="C110:E110"/>
    <mergeCell ref="C111:E111"/>
    <mergeCell ref="A113:I113"/>
    <mergeCell ref="A114:I114"/>
    <mergeCell ref="A115:I115"/>
    <mergeCell ref="A116:I116"/>
    <mergeCell ref="A103:I103"/>
    <mergeCell ref="A15:I15"/>
    <mergeCell ref="A27:I27"/>
    <mergeCell ref="A43:I43"/>
    <mergeCell ref="A54:I54"/>
    <mergeCell ref="A82:I82"/>
    <mergeCell ref="A86:I86"/>
    <mergeCell ref="A97:I97"/>
    <mergeCell ref="B98:G98"/>
    <mergeCell ref="B99:G99"/>
    <mergeCell ref="A101:I101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4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5"/>
  <sheetViews>
    <sheetView topLeftCell="A7" workbookViewId="0">
      <selection activeCell="B16" sqref="B16:I26"/>
    </sheetView>
  </sheetViews>
  <sheetFormatPr defaultRowHeight="15"/>
  <cols>
    <col min="2" max="2" width="50.5703125" customWidth="1"/>
    <col min="3" max="3" width="20" customWidth="1"/>
    <col min="4" max="4" width="24.5703125" customWidth="1"/>
    <col min="5" max="6" width="0" hidden="1" customWidth="1"/>
    <col min="7" max="7" width="20.140625" customWidth="1"/>
    <col min="8" max="8" width="0" hidden="1" customWidth="1"/>
    <col min="9" max="9" width="20.28515625" customWidth="1"/>
  </cols>
  <sheetData>
    <row r="1" spans="1:9" ht="15.75">
      <c r="A1" s="154" t="s">
        <v>161</v>
      </c>
      <c r="B1" s="25"/>
      <c r="C1" s="25"/>
      <c r="D1" s="25"/>
      <c r="E1" s="25"/>
      <c r="F1" s="25"/>
      <c r="G1" s="25"/>
      <c r="H1" s="25"/>
      <c r="I1" s="28"/>
    </row>
    <row r="2" spans="1:9" ht="15.75">
      <c r="A2" s="25" t="s">
        <v>58</v>
      </c>
      <c r="B2" s="25"/>
      <c r="C2" s="25"/>
      <c r="D2" s="25"/>
      <c r="E2" s="25"/>
      <c r="F2" s="25"/>
      <c r="G2" s="25"/>
      <c r="H2" s="25"/>
      <c r="I2" s="25"/>
    </row>
    <row r="3" spans="1:9" ht="15.75">
      <c r="A3" s="162" t="s">
        <v>164</v>
      </c>
      <c r="B3" s="162"/>
      <c r="C3" s="162"/>
      <c r="D3" s="162"/>
      <c r="E3" s="162"/>
      <c r="F3" s="162"/>
      <c r="G3" s="162"/>
      <c r="H3" s="162"/>
      <c r="I3" s="162"/>
    </row>
    <row r="4" spans="1:9" ht="32.25" customHeight="1">
      <c r="A4" s="163" t="s">
        <v>82</v>
      </c>
      <c r="B4" s="163"/>
      <c r="C4" s="163"/>
      <c r="D4" s="163"/>
      <c r="E4" s="163"/>
      <c r="F4" s="163"/>
      <c r="G4" s="163"/>
      <c r="H4" s="163"/>
      <c r="I4" s="163"/>
    </row>
    <row r="5" spans="1:9" ht="15.75">
      <c r="A5" s="162" t="s">
        <v>188</v>
      </c>
      <c r="B5" s="164"/>
      <c r="C5" s="164"/>
      <c r="D5" s="164"/>
      <c r="E5" s="164"/>
      <c r="F5" s="164"/>
      <c r="G5" s="164"/>
      <c r="H5" s="164"/>
      <c r="I5" s="164"/>
    </row>
    <row r="6" spans="1:9" ht="15.75">
      <c r="A6" s="2"/>
      <c r="B6" s="135"/>
      <c r="C6" s="135"/>
      <c r="D6" s="135"/>
      <c r="E6" s="135"/>
      <c r="F6" s="135"/>
      <c r="G6" s="135"/>
      <c r="H6" s="135"/>
      <c r="I6" s="29">
        <v>43585</v>
      </c>
    </row>
    <row r="7" spans="1:9" ht="15.75">
      <c r="B7" s="130"/>
      <c r="C7" s="130"/>
      <c r="D7" s="130"/>
      <c r="E7" s="3"/>
      <c r="F7" s="3"/>
      <c r="G7" s="3"/>
      <c r="H7" s="3"/>
    </row>
    <row r="8" spans="1:9" ht="81" customHeight="1">
      <c r="A8" s="165" t="s">
        <v>162</v>
      </c>
      <c r="B8" s="165"/>
      <c r="C8" s="165"/>
      <c r="D8" s="165"/>
      <c r="E8" s="165"/>
      <c r="F8" s="165"/>
      <c r="G8" s="165"/>
      <c r="H8" s="165"/>
      <c r="I8" s="165"/>
    </row>
    <row r="9" spans="1:9" ht="15.75">
      <c r="A9" s="4"/>
    </row>
    <row r="10" spans="1:9" ht="72.75" customHeight="1">
      <c r="A10" s="166" t="s">
        <v>155</v>
      </c>
      <c r="B10" s="166"/>
      <c r="C10" s="166"/>
      <c r="D10" s="166"/>
      <c r="E10" s="166"/>
      <c r="F10" s="166"/>
      <c r="G10" s="166"/>
      <c r="H10" s="166"/>
      <c r="I10" s="166"/>
    </row>
    <row r="11" spans="1:9" ht="15.75">
      <c r="A11" s="4"/>
    </row>
    <row r="12" spans="1:9" ht="39.75" customHeight="1">
      <c r="A12" s="95" t="s">
        <v>0</v>
      </c>
      <c r="B12" s="95" t="s">
        <v>132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9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</row>
    <row r="14" spans="1:9">
      <c r="A14" s="159" t="s">
        <v>133</v>
      </c>
      <c r="B14" s="160"/>
      <c r="C14" s="160"/>
      <c r="D14" s="160"/>
      <c r="E14" s="160"/>
      <c r="F14" s="160"/>
      <c r="G14" s="160"/>
      <c r="H14" s="160"/>
      <c r="I14" s="161"/>
    </row>
    <row r="15" spans="1:9">
      <c r="A15" s="168" t="s">
        <v>3</v>
      </c>
      <c r="B15" s="169"/>
      <c r="C15" s="169"/>
      <c r="D15" s="169"/>
      <c r="E15" s="169"/>
      <c r="F15" s="169"/>
      <c r="G15" s="169"/>
      <c r="H15" s="169"/>
      <c r="I15" s="170"/>
    </row>
    <row r="16" spans="1:9">
      <c r="A16" s="26">
        <v>1</v>
      </c>
      <c r="B16" s="51" t="s">
        <v>77</v>
      </c>
      <c r="C16" s="59" t="s">
        <v>83</v>
      </c>
      <c r="D16" s="51" t="s">
        <v>203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5" si="0">SUM(F16*G16/1000)</f>
        <v>21.49212</v>
      </c>
      <c r="I16" s="12">
        <f>F16/12*G16</f>
        <v>1791.01</v>
      </c>
    </row>
    <row r="17" spans="1:9">
      <c r="A17" s="26">
        <v>2</v>
      </c>
      <c r="B17" s="51" t="s">
        <v>80</v>
      </c>
      <c r="C17" s="59" t="s">
        <v>83</v>
      </c>
      <c r="D17" s="51" t="s">
        <v>204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</row>
    <row r="18" spans="1:9">
      <c r="A18" s="26">
        <v>3</v>
      </c>
      <c r="B18" s="51" t="s">
        <v>81</v>
      </c>
      <c r="C18" s="59" t="s">
        <v>83</v>
      </c>
      <c r="D18" s="51" t="s">
        <v>205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</row>
    <row r="19" spans="1:9" hidden="1">
      <c r="A19" s="26">
        <v>4</v>
      </c>
      <c r="B19" s="51" t="s">
        <v>84</v>
      </c>
      <c r="C19" s="59" t="s">
        <v>85</v>
      </c>
      <c r="D19" s="51" t="s">
        <v>86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</row>
    <row r="20" spans="1:9" hidden="1">
      <c r="A20" s="26">
        <v>4</v>
      </c>
      <c r="B20" s="51" t="s">
        <v>87</v>
      </c>
      <c r="C20" s="59" t="s">
        <v>83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</row>
    <row r="21" spans="1:9" hidden="1">
      <c r="A21" s="26">
        <v>5</v>
      </c>
      <c r="B21" s="51" t="s">
        <v>88</v>
      </c>
      <c r="C21" s="59" t="s">
        <v>83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</row>
    <row r="22" spans="1:9" hidden="1">
      <c r="A22" s="26">
        <v>7</v>
      </c>
      <c r="B22" s="51" t="s">
        <v>89</v>
      </c>
      <c r="C22" s="59" t="s">
        <v>50</v>
      </c>
      <c r="D22" s="51" t="s">
        <v>86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</row>
    <row r="23" spans="1:9" hidden="1">
      <c r="A23" s="26">
        <v>8</v>
      </c>
      <c r="B23" s="51" t="s">
        <v>90</v>
      </c>
      <c r="C23" s="59" t="s">
        <v>50</v>
      </c>
      <c r="D23" s="51" t="s">
        <v>86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</row>
    <row r="24" spans="1:9" hidden="1">
      <c r="A24" s="26">
        <v>9</v>
      </c>
      <c r="B24" s="51" t="s">
        <v>91</v>
      </c>
      <c r="C24" s="59" t="s">
        <v>50</v>
      </c>
      <c r="D24" s="52" t="s">
        <v>86</v>
      </c>
      <c r="E24" s="17">
        <v>15</v>
      </c>
      <c r="F24" s="64">
        <f t="shared" si="2"/>
        <v>0.15</v>
      </c>
      <c r="G24" s="61">
        <v>511.12</v>
      </c>
      <c r="H24" s="62">
        <f t="shared" ref="H24" si="4">SUM(F24*G24/1000)</f>
        <v>7.6667999999999986E-2</v>
      </c>
      <c r="I24" s="12">
        <f t="shared" si="3"/>
        <v>76.667999999999992</v>
      </c>
    </row>
    <row r="25" spans="1:9" hidden="1">
      <c r="A25" s="26">
        <v>10</v>
      </c>
      <c r="B25" s="51" t="s">
        <v>92</v>
      </c>
      <c r="C25" s="59" t="s">
        <v>50</v>
      </c>
      <c r="D25" s="51" t="s">
        <v>86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</row>
    <row r="26" spans="1:9">
      <c r="A26" s="26">
        <v>4</v>
      </c>
      <c r="B26" s="32" t="s">
        <v>202</v>
      </c>
      <c r="C26" s="39" t="s">
        <v>157</v>
      </c>
      <c r="D26" s="32" t="s">
        <v>206</v>
      </c>
      <c r="E26" s="157">
        <v>4.5999999999999996</v>
      </c>
      <c r="F26" s="31">
        <f>E26*258</f>
        <v>1186.8</v>
      </c>
      <c r="G26" s="31">
        <v>10.39</v>
      </c>
      <c r="H26" s="62">
        <f t="shared" ref="H26" si="5">SUM(F26*G26/1000)</f>
        <v>12.330852</v>
      </c>
      <c r="I26" s="12">
        <f>F26/12*G26</f>
        <v>1027.5709999999999</v>
      </c>
    </row>
    <row r="27" spans="1:9">
      <c r="A27" s="168" t="s">
        <v>134</v>
      </c>
      <c r="B27" s="169"/>
      <c r="C27" s="169"/>
      <c r="D27" s="169"/>
      <c r="E27" s="169"/>
      <c r="F27" s="169"/>
      <c r="G27" s="169"/>
      <c r="H27" s="169"/>
      <c r="I27" s="170"/>
    </row>
    <row r="28" spans="1:9" hidden="1">
      <c r="A28" s="102"/>
      <c r="B28" s="55" t="s">
        <v>135</v>
      </c>
      <c r="C28" s="103"/>
      <c r="D28" s="103"/>
      <c r="E28" s="103"/>
      <c r="F28" s="103"/>
      <c r="G28" s="103"/>
      <c r="H28" s="103"/>
      <c r="I28" s="103"/>
    </row>
    <row r="29" spans="1:9" hidden="1">
      <c r="A29" s="100">
        <v>6</v>
      </c>
      <c r="B29" s="51" t="s">
        <v>136</v>
      </c>
      <c r="C29" s="59" t="s">
        <v>93</v>
      </c>
      <c r="D29" s="51" t="s">
        <v>139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4" si="6">SUM(F29*G29/1000)</f>
        <v>2.2346109759999999</v>
      </c>
      <c r="I29" s="12">
        <f>F29/6*G29</f>
        <v>372.43516266666666</v>
      </c>
    </row>
    <row r="30" spans="1:9" ht="45" hidden="1">
      <c r="A30" s="26">
        <v>7</v>
      </c>
      <c r="B30" s="51" t="s">
        <v>137</v>
      </c>
      <c r="C30" s="59" t="s">
        <v>93</v>
      </c>
      <c r="D30" s="51" t="s">
        <v>140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6"/>
        <v>2.4341709599999999</v>
      </c>
      <c r="I30" s="12">
        <f t="shared" ref="I30:I32" si="7">F30/6*G30</f>
        <v>405.69515999999999</v>
      </c>
    </row>
    <row r="31" spans="1:9" hidden="1">
      <c r="A31" s="26">
        <v>15</v>
      </c>
      <c r="B31" s="51" t="s">
        <v>26</v>
      </c>
      <c r="C31" s="59" t="s">
        <v>93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si="6"/>
        <v>0.83265054599999999</v>
      </c>
      <c r="I31" s="12">
        <f>F31*G31</f>
        <v>832.65054599999996</v>
      </c>
    </row>
    <row r="32" spans="1:9" hidden="1">
      <c r="A32" s="26">
        <v>8</v>
      </c>
      <c r="B32" s="51" t="s">
        <v>138</v>
      </c>
      <c r="C32" s="59" t="s">
        <v>28</v>
      </c>
      <c r="D32" s="51" t="s">
        <v>59</v>
      </c>
      <c r="E32" s="67">
        <f>1/3</f>
        <v>0.33333333333333331</v>
      </c>
      <c r="F32" s="61">
        <f>155/3</f>
        <v>51.666666666666664</v>
      </c>
      <c r="G32" s="61">
        <v>74.349999999999994</v>
      </c>
      <c r="H32" s="62">
        <f t="shared" si="6"/>
        <v>3.841416666666666</v>
      </c>
      <c r="I32" s="12">
        <f t="shared" si="7"/>
        <v>640.23611111111109</v>
      </c>
    </row>
    <row r="33" spans="1:9" hidden="1">
      <c r="A33" s="26"/>
      <c r="B33" s="51" t="s">
        <v>60</v>
      </c>
      <c r="C33" s="59" t="s">
        <v>30</v>
      </c>
      <c r="D33" s="51" t="s">
        <v>61</v>
      </c>
      <c r="E33" s="60"/>
      <c r="F33" s="61">
        <v>1</v>
      </c>
      <c r="G33" s="61">
        <v>250.92</v>
      </c>
      <c r="H33" s="62">
        <f t="shared" si="6"/>
        <v>0.25091999999999998</v>
      </c>
      <c r="I33" s="12">
        <v>0</v>
      </c>
    </row>
    <row r="34" spans="1:9" hidden="1">
      <c r="A34" s="105"/>
      <c r="B34" s="51" t="s">
        <v>104</v>
      </c>
      <c r="C34" s="59" t="s">
        <v>29</v>
      </c>
      <c r="D34" s="51" t="s">
        <v>61</v>
      </c>
      <c r="E34" s="60"/>
      <c r="F34" s="61">
        <v>1</v>
      </c>
      <c r="G34" s="61">
        <v>1490.31</v>
      </c>
      <c r="H34" s="62">
        <f t="shared" si="6"/>
        <v>1.49031</v>
      </c>
      <c r="I34" s="12">
        <v>0</v>
      </c>
    </row>
    <row r="35" spans="1:9">
      <c r="A35" s="102"/>
      <c r="B35" s="55" t="s">
        <v>4</v>
      </c>
      <c r="C35" s="104"/>
      <c r="D35" s="104"/>
      <c r="E35" s="104"/>
      <c r="F35" s="104"/>
      <c r="G35" s="104"/>
      <c r="H35" s="104"/>
      <c r="I35" s="104"/>
    </row>
    <row r="36" spans="1:9" hidden="1">
      <c r="A36" s="100">
        <v>6</v>
      </c>
      <c r="B36" s="51" t="s">
        <v>25</v>
      </c>
      <c r="C36" s="59" t="s">
        <v>29</v>
      </c>
      <c r="D36" s="51"/>
      <c r="E36" s="60"/>
      <c r="F36" s="61">
        <v>3</v>
      </c>
      <c r="G36" s="61">
        <v>2003</v>
      </c>
      <c r="H36" s="62">
        <f t="shared" ref="H36:H42" si="8">SUM(F36*G36/1000)</f>
        <v>6.0090000000000003</v>
      </c>
      <c r="I36" s="12">
        <f>F36/6*G36</f>
        <v>1001.5</v>
      </c>
    </row>
    <row r="37" spans="1:9">
      <c r="A37" s="26">
        <v>5</v>
      </c>
      <c r="B37" s="51" t="s">
        <v>143</v>
      </c>
      <c r="C37" s="59" t="s">
        <v>27</v>
      </c>
      <c r="D37" s="51" t="s">
        <v>207</v>
      </c>
      <c r="E37" s="60">
        <v>92</v>
      </c>
      <c r="F37" s="61">
        <f>E37*30/1000</f>
        <v>2.76</v>
      </c>
      <c r="G37" s="61">
        <v>2757.78</v>
      </c>
      <c r="H37" s="62">
        <f>G37*F37/1000</f>
        <v>7.6114727999999996</v>
      </c>
      <c r="I37" s="12">
        <f>F37/6*G37</f>
        <v>1268.5788</v>
      </c>
    </row>
    <row r="38" spans="1:9" ht="15" customHeight="1">
      <c r="A38" s="26">
        <v>6</v>
      </c>
      <c r="B38" s="51" t="s">
        <v>106</v>
      </c>
      <c r="C38" s="59" t="s">
        <v>107</v>
      </c>
      <c r="D38" s="51" t="s">
        <v>61</v>
      </c>
      <c r="E38" s="60"/>
      <c r="F38" s="61">
        <v>52</v>
      </c>
      <c r="G38" s="61">
        <v>239.09</v>
      </c>
      <c r="H38" s="62">
        <f>G38*F38/1000</f>
        <v>12.43268</v>
      </c>
      <c r="I38" s="12">
        <f>G38*52</f>
        <v>12432.68</v>
      </c>
    </row>
    <row r="39" spans="1:9" ht="19.5" customHeight="1">
      <c r="A39" s="26">
        <v>7</v>
      </c>
      <c r="B39" s="51" t="s">
        <v>62</v>
      </c>
      <c r="C39" s="59" t="s">
        <v>27</v>
      </c>
      <c r="D39" s="51" t="s">
        <v>208</v>
      </c>
      <c r="E39" s="61">
        <f>E37</f>
        <v>92</v>
      </c>
      <c r="F39" s="61">
        <f>SUM(E39*155/1000)</f>
        <v>14.26</v>
      </c>
      <c r="G39" s="61">
        <v>460.02</v>
      </c>
      <c r="H39" s="62">
        <f t="shared" si="8"/>
        <v>6.5598852000000001</v>
      </c>
      <c r="I39" s="12">
        <f t="shared" ref="I39:I40" si="9">F39/6*G39</f>
        <v>1093.3141999999998</v>
      </c>
    </row>
    <row r="40" spans="1:9" ht="48" customHeight="1">
      <c r="A40" s="26">
        <v>8</v>
      </c>
      <c r="B40" s="51" t="s">
        <v>76</v>
      </c>
      <c r="C40" s="59" t="s">
        <v>93</v>
      </c>
      <c r="D40" s="51" t="s">
        <v>209</v>
      </c>
      <c r="E40" s="61">
        <v>92</v>
      </c>
      <c r="F40" s="61">
        <f>SUM(E40*35/1000)</f>
        <v>3.22</v>
      </c>
      <c r="G40" s="61">
        <v>7611.16</v>
      </c>
      <c r="H40" s="62">
        <f t="shared" si="8"/>
        <v>24.507935199999999</v>
      </c>
      <c r="I40" s="12">
        <f t="shared" si="9"/>
        <v>4084.655866666667</v>
      </c>
    </row>
    <row r="41" spans="1:9">
      <c r="A41" s="26">
        <v>9</v>
      </c>
      <c r="B41" s="51" t="s">
        <v>109</v>
      </c>
      <c r="C41" s="59" t="s">
        <v>93</v>
      </c>
      <c r="D41" s="51" t="s">
        <v>210</v>
      </c>
      <c r="E41" s="61">
        <f>E37</f>
        <v>92</v>
      </c>
      <c r="F41" s="61">
        <f>SUM(E41*20/1000)</f>
        <v>1.84</v>
      </c>
      <c r="G41" s="61">
        <v>562.25</v>
      </c>
      <c r="H41" s="62">
        <f t="shared" si="8"/>
        <v>1.03454</v>
      </c>
      <c r="I41" s="12">
        <f>(F41/7.5*1.5)*G41</f>
        <v>206.90799999999999</v>
      </c>
    </row>
    <row r="42" spans="1:9">
      <c r="A42" s="26">
        <v>10</v>
      </c>
      <c r="B42" s="51" t="s">
        <v>63</v>
      </c>
      <c r="C42" s="59" t="s">
        <v>30</v>
      </c>
      <c r="D42" s="51"/>
      <c r="E42" s="60"/>
      <c r="F42" s="61">
        <v>0.8</v>
      </c>
      <c r="G42" s="61">
        <v>992.97</v>
      </c>
      <c r="H42" s="62">
        <f t="shared" si="8"/>
        <v>0.79437600000000008</v>
      </c>
      <c r="I42" s="12">
        <f>(F42/7.5*1.5)*G42</f>
        <v>158.87520000000001</v>
      </c>
    </row>
    <row r="43" spans="1:9" ht="24" hidden="1" customHeight="1">
      <c r="A43" s="171" t="s">
        <v>121</v>
      </c>
      <c r="B43" s="172"/>
      <c r="C43" s="172"/>
      <c r="D43" s="172"/>
      <c r="E43" s="172"/>
      <c r="F43" s="172"/>
      <c r="G43" s="172"/>
      <c r="H43" s="172"/>
      <c r="I43" s="173"/>
    </row>
    <row r="44" spans="1:9" ht="22.5" hidden="1" customHeight="1">
      <c r="A44" s="26">
        <v>11</v>
      </c>
      <c r="B44" s="32" t="s">
        <v>110</v>
      </c>
      <c r="C44" s="39" t="s">
        <v>93</v>
      </c>
      <c r="D44" s="32" t="s">
        <v>39</v>
      </c>
      <c r="E44" s="107">
        <v>1114.25</v>
      </c>
      <c r="F44" s="31">
        <f>SUM(E44*2/1000)</f>
        <v>2.2284999999999999</v>
      </c>
      <c r="G44" s="34">
        <v>1193.71</v>
      </c>
      <c r="H44" s="108">
        <f t="shared" ref="H44:H53" si="10">SUM(F44*G44/1000)</f>
        <v>2.6601827349999998</v>
      </c>
      <c r="I44" s="12">
        <f t="shared" ref="I44:I46" si="11">F44/2*G44</f>
        <v>1330.0913674999999</v>
      </c>
    </row>
    <row r="45" spans="1:9" ht="24" hidden="1" customHeight="1">
      <c r="A45" s="26">
        <v>12</v>
      </c>
      <c r="B45" s="32" t="s">
        <v>33</v>
      </c>
      <c r="C45" s="39" t="s">
        <v>93</v>
      </c>
      <c r="D45" s="32" t="s">
        <v>39</v>
      </c>
      <c r="E45" s="107">
        <v>2631</v>
      </c>
      <c r="F45" s="31">
        <f>SUM(E45*2/1000)</f>
        <v>5.2619999999999996</v>
      </c>
      <c r="G45" s="34">
        <v>1803.69</v>
      </c>
      <c r="H45" s="108">
        <f t="shared" si="10"/>
        <v>9.4910167800000007</v>
      </c>
      <c r="I45" s="12">
        <f t="shared" si="11"/>
        <v>4745.50839</v>
      </c>
    </row>
    <row r="46" spans="1:9" ht="31.5" hidden="1" customHeight="1">
      <c r="A46" s="26">
        <v>13</v>
      </c>
      <c r="B46" s="32" t="s">
        <v>34</v>
      </c>
      <c r="C46" s="39" t="s">
        <v>93</v>
      </c>
      <c r="D46" s="32" t="s">
        <v>39</v>
      </c>
      <c r="E46" s="107">
        <v>1953.8</v>
      </c>
      <c r="F46" s="31">
        <f>SUM(E46*2/1000)</f>
        <v>3.9076</v>
      </c>
      <c r="G46" s="34">
        <v>1243.43</v>
      </c>
      <c r="H46" s="108">
        <f t="shared" si="10"/>
        <v>4.8588270680000001</v>
      </c>
      <c r="I46" s="12">
        <f t="shared" si="11"/>
        <v>2429.4135340000003</v>
      </c>
    </row>
    <row r="47" spans="1:9" ht="33.75" hidden="1" customHeight="1">
      <c r="A47" s="26">
        <v>14</v>
      </c>
      <c r="B47" s="32" t="s">
        <v>31</v>
      </c>
      <c r="C47" s="39" t="s">
        <v>32</v>
      </c>
      <c r="D47" s="32" t="s">
        <v>39</v>
      </c>
      <c r="E47" s="107">
        <v>91.84</v>
      </c>
      <c r="F47" s="31">
        <f>SUM(E47*2/100)</f>
        <v>1.8368</v>
      </c>
      <c r="G47" s="109">
        <v>1172.4100000000001</v>
      </c>
      <c r="H47" s="108">
        <f t="shared" si="10"/>
        <v>2.153482688</v>
      </c>
      <c r="I47" s="12">
        <f>F47/2*G47</f>
        <v>1076.741344</v>
      </c>
    </row>
    <row r="48" spans="1:9" ht="41.25" hidden="1" customHeight="1">
      <c r="A48" s="26">
        <v>12</v>
      </c>
      <c r="B48" s="32" t="s">
        <v>54</v>
      </c>
      <c r="C48" s="39" t="s">
        <v>93</v>
      </c>
      <c r="D48" s="32" t="s">
        <v>141</v>
      </c>
      <c r="E48" s="107">
        <v>3181</v>
      </c>
      <c r="F48" s="31">
        <f>SUM(E48*5/1000)</f>
        <v>15.904999999999999</v>
      </c>
      <c r="G48" s="34">
        <v>1083.69</v>
      </c>
      <c r="H48" s="108">
        <f t="shared" si="10"/>
        <v>17.236089449999998</v>
      </c>
      <c r="I48" s="12">
        <f>F48/5*G48</f>
        <v>3447.2178900000004</v>
      </c>
    </row>
    <row r="49" spans="1:9" ht="35.25" hidden="1" customHeight="1">
      <c r="A49" s="26">
        <v>12</v>
      </c>
      <c r="B49" s="32" t="s">
        <v>111</v>
      </c>
      <c r="C49" s="39" t="s">
        <v>93</v>
      </c>
      <c r="D49" s="32" t="s">
        <v>39</v>
      </c>
      <c r="E49" s="107">
        <v>3181</v>
      </c>
      <c r="F49" s="31">
        <f>SUM(E49*2/1000)</f>
        <v>6.3620000000000001</v>
      </c>
      <c r="G49" s="34">
        <v>1591.6</v>
      </c>
      <c r="H49" s="108">
        <f t="shared" si="10"/>
        <v>10.125759200000001</v>
      </c>
      <c r="I49" s="12">
        <f>F49/2*G49</f>
        <v>5062.8796000000002</v>
      </c>
    </row>
    <row r="50" spans="1:9" ht="30.75" hidden="1" customHeight="1">
      <c r="A50" s="26">
        <v>13</v>
      </c>
      <c r="B50" s="32" t="s">
        <v>112</v>
      </c>
      <c r="C50" s="39" t="s">
        <v>35</v>
      </c>
      <c r="D50" s="32" t="s">
        <v>39</v>
      </c>
      <c r="E50" s="107">
        <v>20</v>
      </c>
      <c r="F50" s="31">
        <f>SUM(E50*2/100)</f>
        <v>0.4</v>
      </c>
      <c r="G50" s="34">
        <v>4058.32</v>
      </c>
      <c r="H50" s="108">
        <f t="shared" si="10"/>
        <v>1.6233280000000001</v>
      </c>
      <c r="I50" s="12">
        <f t="shared" ref="I50:I51" si="12">F50/2*G50</f>
        <v>811.6640000000001</v>
      </c>
    </row>
    <row r="51" spans="1:9" ht="15.75" hidden="1" customHeight="1">
      <c r="A51" s="26">
        <v>14</v>
      </c>
      <c r="B51" s="32" t="s">
        <v>36</v>
      </c>
      <c r="C51" s="39" t="s">
        <v>37</v>
      </c>
      <c r="D51" s="32" t="s">
        <v>39</v>
      </c>
      <c r="E51" s="107">
        <v>1</v>
      </c>
      <c r="F51" s="31">
        <v>0.02</v>
      </c>
      <c r="G51" s="34">
        <v>7412.92</v>
      </c>
      <c r="H51" s="108">
        <f t="shared" si="10"/>
        <v>0.14825839999999998</v>
      </c>
      <c r="I51" s="12">
        <f t="shared" si="12"/>
        <v>74.129199999999997</v>
      </c>
    </row>
    <row r="52" spans="1:9" ht="29.25" hidden="1" customHeight="1">
      <c r="A52" s="26">
        <v>13</v>
      </c>
      <c r="B52" s="32" t="s">
        <v>113</v>
      </c>
      <c r="C52" s="39" t="s">
        <v>94</v>
      </c>
      <c r="D52" s="32" t="s">
        <v>64</v>
      </c>
      <c r="E52" s="107">
        <v>70</v>
      </c>
      <c r="F52" s="31">
        <f>E52*3</f>
        <v>210</v>
      </c>
      <c r="G52" s="34">
        <v>185.08</v>
      </c>
      <c r="H52" s="108">
        <f t="shared" si="10"/>
        <v>38.866800000000005</v>
      </c>
      <c r="I52" s="12">
        <f>E52*G52</f>
        <v>12955.6</v>
      </c>
    </row>
    <row r="53" spans="1:9" ht="28.5" hidden="1" customHeight="1">
      <c r="A53" s="26">
        <v>14</v>
      </c>
      <c r="B53" s="32" t="s">
        <v>38</v>
      </c>
      <c r="C53" s="39" t="s">
        <v>94</v>
      </c>
      <c r="D53" s="32" t="s">
        <v>64</v>
      </c>
      <c r="E53" s="107">
        <v>140</v>
      </c>
      <c r="F53" s="31">
        <f>E53*3</f>
        <v>420</v>
      </c>
      <c r="G53" s="35">
        <v>86.15</v>
      </c>
      <c r="H53" s="108">
        <f t="shared" si="10"/>
        <v>36.183</v>
      </c>
      <c r="I53" s="12">
        <f>E53*G53</f>
        <v>12061</v>
      </c>
    </row>
    <row r="54" spans="1:9">
      <c r="A54" s="171" t="s">
        <v>78</v>
      </c>
      <c r="B54" s="174"/>
      <c r="C54" s="174"/>
      <c r="D54" s="174"/>
      <c r="E54" s="174"/>
      <c r="F54" s="174"/>
      <c r="G54" s="174"/>
      <c r="H54" s="174"/>
      <c r="I54" s="175"/>
    </row>
    <row r="55" spans="1:9" hidden="1">
      <c r="A55" s="26"/>
      <c r="B55" s="81" t="s">
        <v>40</v>
      </c>
      <c r="C55" s="59"/>
      <c r="D55" s="51"/>
      <c r="E55" s="60"/>
      <c r="F55" s="61"/>
      <c r="G55" s="61"/>
      <c r="H55" s="62"/>
      <c r="I55" s="12"/>
    </row>
    <row r="56" spans="1:9" ht="30" hidden="1">
      <c r="A56" s="26">
        <v>16</v>
      </c>
      <c r="B56" s="51" t="s">
        <v>114</v>
      </c>
      <c r="C56" s="59" t="s">
        <v>83</v>
      </c>
      <c r="D56" s="51" t="s">
        <v>115</v>
      </c>
      <c r="E56" s="60">
        <v>111.2</v>
      </c>
      <c r="F56" s="61">
        <f>SUM(E56*6/100)</f>
        <v>6.6720000000000006</v>
      </c>
      <c r="G56" s="12">
        <v>2431.1799999999998</v>
      </c>
      <c r="H56" s="62">
        <f>SUM(F56*G56/1000)</f>
        <v>16.220832959999999</v>
      </c>
      <c r="I56" s="12">
        <f>F56/6*G56</f>
        <v>2703.4721600000003</v>
      </c>
    </row>
    <row r="57" spans="1:9" hidden="1">
      <c r="A57" s="26">
        <v>13</v>
      </c>
      <c r="B57" s="70" t="s">
        <v>117</v>
      </c>
      <c r="C57" s="69" t="s">
        <v>118</v>
      </c>
      <c r="D57" s="13" t="s">
        <v>61</v>
      </c>
      <c r="E57" s="71"/>
      <c r="F57" s="72">
        <v>3</v>
      </c>
      <c r="G57" s="12">
        <v>1582.05</v>
      </c>
      <c r="H57" s="62">
        <f>SUM(F57*G57/1000)</f>
        <v>4.7461499999999992</v>
      </c>
      <c r="I57" s="12">
        <f>G57*1.5</f>
        <v>2373.0749999999998</v>
      </c>
    </row>
    <row r="58" spans="1:9" hidden="1">
      <c r="A58" s="26"/>
      <c r="B58" s="82" t="s">
        <v>41</v>
      </c>
      <c r="C58" s="69"/>
      <c r="D58" s="70"/>
      <c r="E58" s="71"/>
      <c r="F58" s="72"/>
      <c r="G58" s="12"/>
      <c r="H58" s="73"/>
      <c r="I58" s="12"/>
    </row>
    <row r="59" spans="1:9" hidden="1">
      <c r="A59" s="26"/>
      <c r="B59" s="70" t="s">
        <v>42</v>
      </c>
      <c r="C59" s="69" t="s">
        <v>50</v>
      </c>
      <c r="D59" s="70" t="s">
        <v>51</v>
      </c>
      <c r="E59" s="71">
        <v>222.85</v>
      </c>
      <c r="F59" s="72">
        <v>8.9</v>
      </c>
      <c r="G59" s="12">
        <v>1040.8399999999999</v>
      </c>
      <c r="H59" s="73">
        <f>F59*G59/1000</f>
        <v>9.2634759999999989</v>
      </c>
      <c r="I59" s="12">
        <v>0</v>
      </c>
    </row>
    <row r="60" spans="1:9">
      <c r="A60" s="26"/>
      <c r="B60" s="82" t="s">
        <v>43</v>
      </c>
      <c r="C60" s="69"/>
      <c r="D60" s="70"/>
      <c r="E60" s="71"/>
      <c r="F60" s="74"/>
      <c r="G60" s="74"/>
      <c r="H60" s="72" t="s">
        <v>102</v>
      </c>
      <c r="I60" s="12"/>
    </row>
    <row r="61" spans="1:9" ht="14.25" customHeight="1">
      <c r="A61" s="26">
        <v>11</v>
      </c>
      <c r="B61" s="13" t="s">
        <v>44</v>
      </c>
      <c r="C61" s="15" t="s">
        <v>94</v>
      </c>
      <c r="D61" s="13" t="s">
        <v>219</v>
      </c>
      <c r="E61" s="17">
        <v>4</v>
      </c>
      <c r="F61" s="61">
        <f>E61</f>
        <v>4</v>
      </c>
      <c r="G61" s="12">
        <v>291.68</v>
      </c>
      <c r="H61" s="75">
        <f t="shared" ref="H61:H69" si="13">SUM(F61*G61/1000)</f>
        <v>1.16672</v>
      </c>
      <c r="I61" s="12">
        <f>G61*2</f>
        <v>583.36</v>
      </c>
    </row>
    <row r="62" spans="1:9" ht="15.75" hidden="1" customHeight="1">
      <c r="A62" s="26">
        <v>17</v>
      </c>
      <c r="B62" s="13" t="s">
        <v>45</v>
      </c>
      <c r="C62" s="15" t="s">
        <v>94</v>
      </c>
      <c r="D62" s="13" t="s">
        <v>61</v>
      </c>
      <c r="E62" s="17">
        <v>4</v>
      </c>
      <c r="F62" s="61">
        <f>E62</f>
        <v>4</v>
      </c>
      <c r="G62" s="12">
        <v>100.01</v>
      </c>
      <c r="H62" s="75">
        <f t="shared" si="13"/>
        <v>0.40004000000000001</v>
      </c>
      <c r="I62" s="12">
        <f t="shared" ref="I62:I67" si="14">G62*2</f>
        <v>200.02</v>
      </c>
    </row>
    <row r="63" spans="1:9" ht="18" hidden="1" customHeight="1">
      <c r="A63" s="26">
        <v>24</v>
      </c>
      <c r="B63" s="13" t="s">
        <v>46</v>
      </c>
      <c r="C63" s="15" t="s">
        <v>95</v>
      </c>
      <c r="D63" s="13" t="s">
        <v>51</v>
      </c>
      <c r="E63" s="60">
        <v>12702</v>
      </c>
      <c r="F63" s="12">
        <f>SUM(E63/100)</f>
        <v>127.02</v>
      </c>
      <c r="G63" s="12">
        <v>278.24</v>
      </c>
      <c r="H63" s="75">
        <f t="shared" si="13"/>
        <v>35.342044800000004</v>
      </c>
      <c r="I63" s="12">
        <f t="shared" si="14"/>
        <v>556.48</v>
      </c>
    </row>
    <row r="64" spans="1:9" ht="18" hidden="1" customHeight="1">
      <c r="A64" s="26">
        <v>25</v>
      </c>
      <c r="B64" s="13" t="s">
        <v>47</v>
      </c>
      <c r="C64" s="15" t="s">
        <v>96</v>
      </c>
      <c r="D64" s="13"/>
      <c r="E64" s="60">
        <v>12702</v>
      </c>
      <c r="F64" s="12">
        <f>SUM(E64/1000)</f>
        <v>12.702</v>
      </c>
      <c r="G64" s="12">
        <v>216.68</v>
      </c>
      <c r="H64" s="75">
        <f t="shared" si="13"/>
        <v>2.7522693600000001</v>
      </c>
      <c r="I64" s="12">
        <f t="shared" si="14"/>
        <v>433.36</v>
      </c>
    </row>
    <row r="65" spans="1:9" ht="22.5" hidden="1" customHeight="1">
      <c r="A65" s="26">
        <v>26</v>
      </c>
      <c r="B65" s="13" t="s">
        <v>48</v>
      </c>
      <c r="C65" s="15" t="s">
        <v>70</v>
      </c>
      <c r="D65" s="13" t="s">
        <v>51</v>
      </c>
      <c r="E65" s="60">
        <v>2200</v>
      </c>
      <c r="F65" s="12">
        <f>SUM(E65/100)</f>
        <v>22</v>
      </c>
      <c r="G65" s="12">
        <v>2720.94</v>
      </c>
      <c r="H65" s="75">
        <f t="shared" si="13"/>
        <v>59.860680000000002</v>
      </c>
      <c r="I65" s="12">
        <f t="shared" si="14"/>
        <v>5441.88</v>
      </c>
    </row>
    <row r="66" spans="1:9" ht="17.25" hidden="1" customHeight="1">
      <c r="A66" s="26">
        <v>27</v>
      </c>
      <c r="B66" s="76" t="s">
        <v>97</v>
      </c>
      <c r="C66" s="15" t="s">
        <v>30</v>
      </c>
      <c r="D66" s="13"/>
      <c r="E66" s="60">
        <v>9.6</v>
      </c>
      <c r="F66" s="12">
        <f>SUM(E66)</f>
        <v>9.6</v>
      </c>
      <c r="G66" s="12">
        <v>42.61</v>
      </c>
      <c r="H66" s="75">
        <f t="shared" si="13"/>
        <v>0.40905599999999998</v>
      </c>
      <c r="I66" s="12">
        <f t="shared" si="14"/>
        <v>85.22</v>
      </c>
    </row>
    <row r="67" spans="1:9" ht="17.25" hidden="1" customHeight="1">
      <c r="A67" s="26">
        <v>28</v>
      </c>
      <c r="B67" s="76" t="s">
        <v>98</v>
      </c>
      <c r="C67" s="15" t="s">
        <v>30</v>
      </c>
      <c r="D67" s="13"/>
      <c r="E67" s="60">
        <v>9.6</v>
      </c>
      <c r="F67" s="12">
        <f>SUM(E67)</f>
        <v>9.6</v>
      </c>
      <c r="G67" s="12">
        <v>46.04</v>
      </c>
      <c r="H67" s="75">
        <f t="shared" si="13"/>
        <v>0.44198399999999999</v>
      </c>
      <c r="I67" s="12">
        <f t="shared" si="14"/>
        <v>92.08</v>
      </c>
    </row>
    <row r="68" spans="1:9" ht="18.75" hidden="1" customHeight="1">
      <c r="A68" s="26">
        <v>22</v>
      </c>
      <c r="B68" s="13" t="s">
        <v>55</v>
      </c>
      <c r="C68" s="15" t="s">
        <v>56</v>
      </c>
      <c r="D68" s="13" t="s">
        <v>51</v>
      </c>
      <c r="E68" s="17">
        <v>4</v>
      </c>
      <c r="F68" s="12">
        <f>SUM(E68)</f>
        <v>4</v>
      </c>
      <c r="G68" s="12">
        <v>65.42</v>
      </c>
      <c r="H68" s="75">
        <f t="shared" si="13"/>
        <v>0.26168000000000002</v>
      </c>
      <c r="I68" s="12">
        <f>G68*4</f>
        <v>261.68</v>
      </c>
    </row>
    <row r="69" spans="1:9" ht="30">
      <c r="A69" s="26">
        <v>12</v>
      </c>
      <c r="B69" s="13" t="s">
        <v>146</v>
      </c>
      <c r="C69" s="26" t="s">
        <v>147</v>
      </c>
      <c r="D69" s="13"/>
      <c r="E69" s="17">
        <v>3181</v>
      </c>
      <c r="F69" s="61">
        <f>SUM(E69)*12</f>
        <v>38172</v>
      </c>
      <c r="G69" s="12">
        <v>2.2799999999999998</v>
      </c>
      <c r="H69" s="75">
        <f t="shared" si="13"/>
        <v>87.03215999999999</v>
      </c>
      <c r="I69" s="12">
        <f>F69/12*G69</f>
        <v>7252.6799999999994</v>
      </c>
    </row>
    <row r="70" spans="1:9">
      <c r="A70" s="26"/>
      <c r="B70" s="55" t="s">
        <v>65</v>
      </c>
      <c r="C70" s="15"/>
      <c r="D70" s="13"/>
      <c r="E70" s="17"/>
      <c r="F70" s="12"/>
      <c r="G70" s="12"/>
      <c r="H70" s="75" t="s">
        <v>102</v>
      </c>
      <c r="I70" s="12"/>
    </row>
    <row r="71" spans="1:9" ht="30" hidden="1">
      <c r="A71" s="26">
        <v>18</v>
      </c>
      <c r="B71" s="13" t="s">
        <v>148</v>
      </c>
      <c r="C71" s="15" t="s">
        <v>28</v>
      </c>
      <c r="D71" s="13" t="s">
        <v>61</v>
      </c>
      <c r="E71" s="17">
        <v>1</v>
      </c>
      <c r="F71" s="61">
        <f t="shared" ref="F71" si="15">E71</f>
        <v>1</v>
      </c>
      <c r="G71" s="12">
        <v>1543.4</v>
      </c>
      <c r="H71" s="75">
        <f>G71*F71/1000</f>
        <v>1.5434000000000001</v>
      </c>
      <c r="I71" s="12">
        <v>0</v>
      </c>
    </row>
    <row r="72" spans="1:9" hidden="1">
      <c r="A72" s="26">
        <v>16</v>
      </c>
      <c r="B72" s="50" t="s">
        <v>149</v>
      </c>
      <c r="C72" s="54" t="s">
        <v>94</v>
      </c>
      <c r="D72" s="13" t="s">
        <v>61</v>
      </c>
      <c r="E72" s="17">
        <v>1</v>
      </c>
      <c r="F72" s="61">
        <f>E72</f>
        <v>1</v>
      </c>
      <c r="G72" s="12">
        <v>130.96</v>
      </c>
      <c r="H72" s="75">
        <f>G72*F72/1000</f>
        <v>0.13096000000000002</v>
      </c>
      <c r="I72" s="12">
        <f>G72</f>
        <v>130.96</v>
      </c>
    </row>
    <row r="73" spans="1:9" hidden="1">
      <c r="A73" s="26">
        <v>16</v>
      </c>
      <c r="B73" s="13" t="s">
        <v>66</v>
      </c>
      <c r="C73" s="15" t="s">
        <v>68</v>
      </c>
      <c r="D73" s="13" t="s">
        <v>61</v>
      </c>
      <c r="E73" s="17">
        <v>3</v>
      </c>
      <c r="F73" s="61">
        <f>E73/10</f>
        <v>0.3</v>
      </c>
      <c r="G73" s="12">
        <v>657.87</v>
      </c>
      <c r="H73" s="75">
        <f t="shared" ref="H73:H76" si="16">SUM(F73*G73/1000)</f>
        <v>0.19736099999999998</v>
      </c>
      <c r="I73" s="12">
        <f>G73*0.1</f>
        <v>65.787000000000006</v>
      </c>
    </row>
    <row r="74" spans="1:9" hidden="1">
      <c r="A74" s="26"/>
      <c r="B74" s="13" t="s">
        <v>67</v>
      </c>
      <c r="C74" s="15" t="s">
        <v>28</v>
      </c>
      <c r="D74" s="13" t="s">
        <v>61</v>
      </c>
      <c r="E74" s="17">
        <v>1</v>
      </c>
      <c r="F74" s="61">
        <f>E74</f>
        <v>1</v>
      </c>
      <c r="G74" s="12">
        <v>1118.72</v>
      </c>
      <c r="H74" s="75">
        <f t="shared" si="16"/>
        <v>1.1187199999999999</v>
      </c>
      <c r="I74" s="12">
        <v>0</v>
      </c>
    </row>
    <row r="75" spans="1:9" hidden="1">
      <c r="A75" s="26"/>
      <c r="B75" s="50" t="s">
        <v>150</v>
      </c>
      <c r="C75" s="54" t="s">
        <v>94</v>
      </c>
      <c r="D75" s="13" t="s">
        <v>61</v>
      </c>
      <c r="E75" s="17">
        <v>1</v>
      </c>
      <c r="F75" s="61">
        <f>E75</f>
        <v>1</v>
      </c>
      <c r="G75" s="12">
        <v>1605.83</v>
      </c>
      <c r="H75" s="75">
        <f t="shared" si="16"/>
        <v>1.6058299999999999</v>
      </c>
      <c r="I75" s="12">
        <v>0</v>
      </c>
    </row>
    <row r="76" spans="1:9" ht="30">
      <c r="A76" s="26">
        <v>13</v>
      </c>
      <c r="B76" s="50" t="s">
        <v>151</v>
      </c>
      <c r="C76" s="54" t="s">
        <v>94</v>
      </c>
      <c r="D76" s="13" t="s">
        <v>211</v>
      </c>
      <c r="E76" s="17">
        <v>2</v>
      </c>
      <c r="F76" s="61">
        <f>E76*12</f>
        <v>24</v>
      </c>
      <c r="G76" s="12">
        <v>53.42</v>
      </c>
      <c r="H76" s="75">
        <f t="shared" si="16"/>
        <v>1.2820799999999999</v>
      </c>
      <c r="I76" s="12">
        <f>G76*2</f>
        <v>106.84</v>
      </c>
    </row>
    <row r="77" spans="1:9" hidden="1">
      <c r="A77" s="26"/>
      <c r="B77" s="77" t="s">
        <v>69</v>
      </c>
      <c r="C77" s="15"/>
      <c r="D77" s="13"/>
      <c r="E77" s="17"/>
      <c r="F77" s="12"/>
      <c r="G77" s="12" t="s">
        <v>102</v>
      </c>
      <c r="H77" s="75" t="s">
        <v>102</v>
      </c>
      <c r="I77" s="12"/>
    </row>
    <row r="78" spans="1:9" hidden="1">
      <c r="A78" s="26"/>
      <c r="B78" s="45" t="s">
        <v>101</v>
      </c>
      <c r="C78" s="15" t="s">
        <v>70</v>
      </c>
      <c r="D78" s="13"/>
      <c r="E78" s="17"/>
      <c r="F78" s="12">
        <v>1</v>
      </c>
      <c r="G78" s="12">
        <v>3370.89</v>
      </c>
      <c r="H78" s="75">
        <f t="shared" ref="H78" si="17">SUM(F78*G78/1000)</f>
        <v>3.3708899999999997</v>
      </c>
      <c r="I78" s="12">
        <v>0</v>
      </c>
    </row>
    <row r="79" spans="1:9" ht="28.5" hidden="1">
      <c r="A79" s="26"/>
      <c r="B79" s="55" t="s">
        <v>99</v>
      </c>
      <c r="C79" s="77"/>
      <c r="D79" s="27"/>
      <c r="E79" s="30"/>
      <c r="F79" s="66"/>
      <c r="G79" s="66"/>
      <c r="H79" s="78">
        <f>SUM(H56:H78)</f>
        <v>227.14633412000001</v>
      </c>
      <c r="I79" s="66"/>
    </row>
    <row r="80" spans="1:9" hidden="1">
      <c r="A80" s="105">
        <v>16</v>
      </c>
      <c r="B80" s="53" t="s">
        <v>100</v>
      </c>
      <c r="C80" s="110"/>
      <c r="D80" s="111"/>
      <c r="E80" s="111"/>
      <c r="F80" s="112">
        <v>1</v>
      </c>
      <c r="G80" s="112">
        <v>23195</v>
      </c>
      <c r="H80" s="113">
        <f>G80*F80/1000</f>
        <v>23.195</v>
      </c>
      <c r="I80" s="80">
        <f>G80</f>
        <v>23195</v>
      </c>
    </row>
    <row r="81" spans="1:9" hidden="1">
      <c r="A81" s="49"/>
      <c r="B81" s="114" t="s">
        <v>152</v>
      </c>
      <c r="C81" s="15"/>
      <c r="D81" s="13"/>
      <c r="E81" s="13"/>
      <c r="F81" s="12">
        <v>69</v>
      </c>
      <c r="G81" s="12">
        <v>700</v>
      </c>
      <c r="H81" s="75">
        <f>G81*F81/1000</f>
        <v>48.3</v>
      </c>
      <c r="I81" s="115">
        <v>0</v>
      </c>
    </row>
    <row r="82" spans="1:9">
      <c r="A82" s="168" t="s">
        <v>129</v>
      </c>
      <c r="B82" s="176"/>
      <c r="C82" s="176"/>
      <c r="D82" s="176"/>
      <c r="E82" s="176"/>
      <c r="F82" s="176"/>
      <c r="G82" s="176"/>
      <c r="H82" s="176"/>
      <c r="I82" s="177"/>
    </row>
    <row r="83" spans="1:9">
      <c r="A83" s="100">
        <v>14</v>
      </c>
      <c r="B83" s="32" t="s">
        <v>116</v>
      </c>
      <c r="C83" s="37" t="s">
        <v>52</v>
      </c>
      <c r="D83" s="79"/>
      <c r="E83" s="34">
        <v>3181</v>
      </c>
      <c r="F83" s="34">
        <f>SUM(E83*12)</f>
        <v>38172</v>
      </c>
      <c r="G83" s="34">
        <v>3.1</v>
      </c>
      <c r="H83" s="106">
        <f>SUM(F83*G83/1000)</f>
        <v>118.33319999999999</v>
      </c>
      <c r="I83" s="101">
        <f>F83/12*G83</f>
        <v>9861.1</v>
      </c>
    </row>
    <row r="84" spans="1:9" ht="30">
      <c r="A84" s="26">
        <v>15</v>
      </c>
      <c r="B84" s="13" t="s">
        <v>71</v>
      </c>
      <c r="C84" s="15"/>
      <c r="D84" s="79"/>
      <c r="E84" s="60">
        <v>3181</v>
      </c>
      <c r="F84" s="12">
        <f>E84*12</f>
        <v>38172</v>
      </c>
      <c r="G84" s="12">
        <v>3.5</v>
      </c>
      <c r="H84" s="75">
        <f>F84*G84/1000</f>
        <v>133.602</v>
      </c>
      <c r="I84" s="12">
        <f>F84/12*G84</f>
        <v>11133.5</v>
      </c>
    </row>
    <row r="85" spans="1:9">
      <c r="A85" s="49"/>
      <c r="B85" s="38" t="s">
        <v>74</v>
      </c>
      <c r="C85" s="15"/>
      <c r="D85" s="45"/>
      <c r="E85" s="12"/>
      <c r="F85" s="12"/>
      <c r="G85" s="12"/>
      <c r="H85" s="75">
        <f>H84</f>
        <v>133.602</v>
      </c>
      <c r="I85" s="66">
        <f>I84+I83+I76+I69+I61+I42+I41+I40+I39+I38+I37+I26+I18+I17+I16</f>
        <v>59733.869686666672</v>
      </c>
    </row>
    <row r="86" spans="1:9">
      <c r="A86" s="178" t="s">
        <v>57</v>
      </c>
      <c r="B86" s="179"/>
      <c r="C86" s="179"/>
      <c r="D86" s="179"/>
      <c r="E86" s="179"/>
      <c r="F86" s="179"/>
      <c r="G86" s="179"/>
      <c r="H86" s="179"/>
      <c r="I86" s="180"/>
    </row>
    <row r="87" spans="1:9">
      <c r="A87" s="26">
        <v>16</v>
      </c>
      <c r="B87" s="70" t="s">
        <v>156</v>
      </c>
      <c r="C87" s="69" t="s">
        <v>157</v>
      </c>
      <c r="D87" s="70"/>
      <c r="E87" s="71"/>
      <c r="F87" s="74">
        <v>96</v>
      </c>
      <c r="G87" s="56">
        <v>1.4</v>
      </c>
      <c r="H87" s="72">
        <f>F87*G87/1000</f>
        <v>0.13439999999999996</v>
      </c>
      <c r="I87" s="12">
        <f>G87*48</f>
        <v>67.199999999999989</v>
      </c>
    </row>
    <row r="88" spans="1:9" ht="30">
      <c r="A88" s="26">
        <v>17</v>
      </c>
      <c r="B88" s="122" t="s">
        <v>189</v>
      </c>
      <c r="C88" s="123" t="s">
        <v>159</v>
      </c>
      <c r="D88" s="36"/>
      <c r="E88" s="16"/>
      <c r="F88" s="34">
        <v>3.5</v>
      </c>
      <c r="G88" s="34">
        <v>928.88</v>
      </c>
      <c r="H88" s="106">
        <f t="shared" ref="H88" si="18">G88*F88/1000</f>
        <v>3.25108</v>
      </c>
      <c r="I88" s="12">
        <f>G88*3</f>
        <v>2786.64</v>
      </c>
    </row>
    <row r="89" spans="1:9" ht="18" customHeight="1">
      <c r="A89" s="26">
        <v>18</v>
      </c>
      <c r="B89" s="137" t="s">
        <v>190</v>
      </c>
      <c r="C89" s="123" t="s">
        <v>94</v>
      </c>
      <c r="D89" s="36"/>
      <c r="E89" s="16"/>
      <c r="F89" s="34"/>
      <c r="G89" s="34">
        <v>207.32</v>
      </c>
      <c r="H89" s="106"/>
      <c r="I89" s="12">
        <f>G89*1</f>
        <v>207.32</v>
      </c>
    </row>
    <row r="90" spans="1:9" ht="18" customHeight="1">
      <c r="A90" s="26">
        <v>19</v>
      </c>
      <c r="B90" s="122" t="s">
        <v>191</v>
      </c>
      <c r="C90" s="123" t="s">
        <v>50</v>
      </c>
      <c r="D90" s="36"/>
      <c r="E90" s="16"/>
      <c r="F90" s="34"/>
      <c r="G90" s="34">
        <v>55874.86</v>
      </c>
      <c r="H90" s="106"/>
      <c r="I90" s="12">
        <f>G90*0.0008</f>
        <v>44.699888000000001</v>
      </c>
    </row>
    <row r="91" spans="1:9" ht="18" customHeight="1">
      <c r="A91" s="26">
        <v>20</v>
      </c>
      <c r="B91" s="139" t="s">
        <v>192</v>
      </c>
      <c r="C91" s="140" t="s">
        <v>85</v>
      </c>
      <c r="D91" s="36"/>
      <c r="E91" s="16"/>
      <c r="F91" s="34"/>
      <c r="G91" s="142">
        <v>3587.49</v>
      </c>
      <c r="H91" s="106"/>
      <c r="I91" s="12">
        <f>G91*0.06</f>
        <v>215.24939999999998</v>
      </c>
    </row>
    <row r="92" spans="1:9">
      <c r="A92" s="26"/>
      <c r="B92" s="27" t="s">
        <v>49</v>
      </c>
      <c r="C92" s="40"/>
      <c r="D92" s="46"/>
      <c r="E92" s="40">
        <v>1</v>
      </c>
      <c r="F92" s="40"/>
      <c r="G92" s="40"/>
      <c r="H92" s="40"/>
      <c r="I92" s="30">
        <f>SUM(I87:I91)</f>
        <v>3321.1092880000001</v>
      </c>
    </row>
    <row r="93" spans="1:9">
      <c r="A93" s="26"/>
      <c r="B93" s="45" t="s">
        <v>72</v>
      </c>
      <c r="C93" s="14"/>
      <c r="D93" s="14"/>
      <c r="E93" s="41"/>
      <c r="F93" s="41"/>
      <c r="G93" s="42"/>
      <c r="H93" s="42"/>
      <c r="I93" s="16">
        <v>0</v>
      </c>
    </row>
    <row r="94" spans="1:9">
      <c r="A94" s="47"/>
      <c r="B94" s="44" t="s">
        <v>142</v>
      </c>
      <c r="C94" s="33"/>
      <c r="D94" s="33"/>
      <c r="E94" s="33"/>
      <c r="F94" s="33"/>
      <c r="G94" s="33"/>
      <c r="H94" s="33"/>
      <c r="I94" s="43">
        <f>I85+I92</f>
        <v>63054.978974666672</v>
      </c>
    </row>
    <row r="95" spans="1:9" ht="15.75">
      <c r="A95" s="167" t="s">
        <v>223</v>
      </c>
      <c r="B95" s="167"/>
      <c r="C95" s="167"/>
      <c r="D95" s="167"/>
      <c r="E95" s="167"/>
      <c r="F95" s="167"/>
      <c r="G95" s="167"/>
      <c r="H95" s="167"/>
      <c r="I95" s="167"/>
    </row>
    <row r="96" spans="1:9" ht="15.75">
      <c r="A96" s="8"/>
      <c r="B96" s="181" t="s">
        <v>224</v>
      </c>
      <c r="C96" s="181"/>
      <c r="D96" s="181"/>
      <c r="E96" s="181"/>
      <c r="F96" s="181"/>
      <c r="G96" s="181"/>
      <c r="H96" s="134"/>
      <c r="I96" s="3"/>
    </row>
    <row r="97" spans="1:9">
      <c r="A97" s="131"/>
      <c r="B97" s="182" t="s">
        <v>5</v>
      </c>
      <c r="C97" s="182"/>
      <c r="D97" s="182"/>
      <c r="E97" s="182"/>
      <c r="F97" s="182"/>
      <c r="G97" s="182"/>
      <c r="H97" s="23"/>
      <c r="I97" s="5"/>
    </row>
    <row r="98" spans="1:9">
      <c r="A98" s="9"/>
      <c r="B98" s="9"/>
      <c r="C98" s="9"/>
      <c r="D98" s="9"/>
      <c r="E98" s="9"/>
      <c r="F98" s="9"/>
      <c r="G98" s="9"/>
      <c r="H98" s="9"/>
      <c r="I98" s="9"/>
    </row>
    <row r="99" spans="1:9" ht="15.75">
      <c r="A99" s="183" t="s">
        <v>6</v>
      </c>
      <c r="B99" s="183"/>
      <c r="C99" s="183"/>
      <c r="D99" s="183"/>
      <c r="E99" s="183"/>
      <c r="F99" s="183"/>
      <c r="G99" s="183"/>
      <c r="H99" s="183"/>
      <c r="I99" s="183"/>
    </row>
    <row r="100" spans="1:9" ht="15.75">
      <c r="A100" s="183" t="s">
        <v>7</v>
      </c>
      <c r="B100" s="183"/>
      <c r="C100" s="183"/>
      <c r="D100" s="183"/>
      <c r="E100" s="183"/>
      <c r="F100" s="183"/>
      <c r="G100" s="183"/>
      <c r="H100" s="183"/>
      <c r="I100" s="183"/>
    </row>
    <row r="101" spans="1:9" ht="15.75">
      <c r="A101" s="167" t="s">
        <v>8</v>
      </c>
      <c r="B101" s="167"/>
      <c r="C101" s="167"/>
      <c r="D101" s="167"/>
      <c r="E101" s="167"/>
      <c r="F101" s="167"/>
      <c r="G101" s="167"/>
      <c r="H101" s="167"/>
      <c r="I101" s="167"/>
    </row>
    <row r="102" spans="1:9" ht="15.75">
      <c r="A102" s="10"/>
    </row>
    <row r="103" spans="1:9" ht="15.75">
      <c r="A103" s="185" t="s">
        <v>9</v>
      </c>
      <c r="B103" s="185"/>
      <c r="C103" s="185"/>
      <c r="D103" s="185"/>
      <c r="E103" s="185"/>
      <c r="F103" s="185"/>
      <c r="G103" s="185"/>
      <c r="H103" s="185"/>
      <c r="I103" s="185"/>
    </row>
    <row r="104" spans="1:9" ht="15.75">
      <c r="A104" s="4"/>
    </row>
    <row r="105" spans="1:9" ht="15.75">
      <c r="A105" s="167" t="s">
        <v>10</v>
      </c>
      <c r="B105" s="167"/>
      <c r="C105" s="186" t="s">
        <v>79</v>
      </c>
      <c r="D105" s="186"/>
      <c r="E105" s="186"/>
      <c r="F105" s="57"/>
      <c r="I105" s="133"/>
    </row>
    <row r="106" spans="1:9">
      <c r="A106" s="131"/>
      <c r="C106" s="182" t="s">
        <v>11</v>
      </c>
      <c r="D106" s="182"/>
      <c r="E106" s="182"/>
      <c r="F106" s="23"/>
      <c r="I106" s="132" t="s">
        <v>12</v>
      </c>
    </row>
    <row r="107" spans="1:9" ht="15.75">
      <c r="A107" s="24"/>
      <c r="C107" s="11"/>
      <c r="D107" s="11"/>
      <c r="G107" s="11"/>
      <c r="H107" s="11"/>
    </row>
    <row r="108" spans="1:9" ht="15.75">
      <c r="A108" s="167" t="s">
        <v>13</v>
      </c>
      <c r="B108" s="167"/>
      <c r="C108" s="188"/>
      <c r="D108" s="188"/>
      <c r="E108" s="188"/>
      <c r="F108" s="58"/>
      <c r="I108" s="133"/>
    </row>
    <row r="109" spans="1:9">
      <c r="A109" s="131"/>
      <c r="C109" s="187" t="s">
        <v>11</v>
      </c>
      <c r="D109" s="187"/>
      <c r="E109" s="187"/>
      <c r="F109" s="131"/>
      <c r="I109" s="132" t="s">
        <v>12</v>
      </c>
    </row>
    <row r="110" spans="1:9" ht="15.75">
      <c r="A110" s="4" t="s">
        <v>14</v>
      </c>
    </row>
    <row r="111" spans="1:9">
      <c r="A111" s="189" t="s">
        <v>15</v>
      </c>
      <c r="B111" s="189"/>
      <c r="C111" s="189"/>
      <c r="D111" s="189"/>
      <c r="E111" s="189"/>
      <c r="F111" s="189"/>
      <c r="G111" s="189"/>
      <c r="H111" s="189"/>
      <c r="I111" s="189"/>
    </row>
    <row r="112" spans="1:9" ht="43.5" customHeight="1">
      <c r="A112" s="184" t="s">
        <v>16</v>
      </c>
      <c r="B112" s="184"/>
      <c r="C112" s="184"/>
      <c r="D112" s="184"/>
      <c r="E112" s="184"/>
      <c r="F112" s="184"/>
      <c r="G112" s="184"/>
      <c r="H112" s="184"/>
      <c r="I112" s="184"/>
    </row>
    <row r="113" spans="1:9" ht="38.25" customHeight="1">
      <c r="A113" s="184" t="s">
        <v>17</v>
      </c>
      <c r="B113" s="184"/>
      <c r="C113" s="184"/>
      <c r="D113" s="184"/>
      <c r="E113" s="184"/>
      <c r="F113" s="184"/>
      <c r="G113" s="184"/>
      <c r="H113" s="184"/>
      <c r="I113" s="184"/>
    </row>
    <row r="114" spans="1:9" ht="33" customHeight="1">
      <c r="A114" s="184" t="s">
        <v>21</v>
      </c>
      <c r="B114" s="184"/>
      <c r="C114" s="184"/>
      <c r="D114" s="184"/>
      <c r="E114" s="184"/>
      <c r="F114" s="184"/>
      <c r="G114" s="184"/>
      <c r="H114" s="184"/>
      <c r="I114" s="184"/>
    </row>
    <row r="115" spans="1:9" ht="15.75">
      <c r="A115" s="184" t="s">
        <v>20</v>
      </c>
      <c r="B115" s="184"/>
      <c r="C115" s="184"/>
      <c r="D115" s="184"/>
      <c r="E115" s="184"/>
      <c r="F115" s="184"/>
      <c r="G115" s="184"/>
      <c r="H115" s="184"/>
      <c r="I115" s="184"/>
    </row>
  </sheetData>
  <mergeCells count="30">
    <mergeCell ref="A115:I115"/>
    <mergeCell ref="A103:I103"/>
    <mergeCell ref="A105:B105"/>
    <mergeCell ref="C105:E105"/>
    <mergeCell ref="C106:E106"/>
    <mergeCell ref="A108:B108"/>
    <mergeCell ref="C108:E108"/>
    <mergeCell ref="C109:E109"/>
    <mergeCell ref="A111:I111"/>
    <mergeCell ref="A112:I112"/>
    <mergeCell ref="A113:I113"/>
    <mergeCell ref="A114:I114"/>
    <mergeCell ref="A101:I101"/>
    <mergeCell ref="A15:I15"/>
    <mergeCell ref="A27:I27"/>
    <mergeCell ref="A43:I43"/>
    <mergeCell ref="A54:I54"/>
    <mergeCell ref="A82:I82"/>
    <mergeCell ref="A86:I86"/>
    <mergeCell ref="A95:I95"/>
    <mergeCell ref="B96:G96"/>
    <mergeCell ref="B97:G97"/>
    <mergeCell ref="A99:I99"/>
    <mergeCell ref="A100:I100"/>
    <mergeCell ref="A14:I14"/>
    <mergeCell ref="A3:I3"/>
    <mergeCell ref="A4:I4"/>
    <mergeCell ref="A5:I5"/>
    <mergeCell ref="A8:I8"/>
    <mergeCell ref="A10:I10"/>
  </mergeCells>
  <pageMargins left="0.70866141732283472" right="0.31496062992125984" top="0.74803149606299213" bottom="0.35433070866141736" header="0.31496062992125984" footer="0.31496062992125984"/>
  <pageSetup paperSize="9" scale="60" orientation="portrait" horizontalDpi="0" verticalDpi="0" r:id="rId1"/>
  <rowBreaks count="1" manualBreakCount="1">
    <brk id="11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D29" sqref="D29:D3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55" t="s">
        <v>161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62" t="s">
        <v>125</v>
      </c>
      <c r="B3" s="162"/>
      <c r="C3" s="162"/>
      <c r="D3" s="162"/>
      <c r="E3" s="162"/>
      <c r="F3" s="162"/>
      <c r="G3" s="162"/>
      <c r="H3" s="162"/>
      <c r="I3" s="162"/>
      <c r="J3" s="2"/>
      <c r="K3" s="2"/>
      <c r="L3" s="2"/>
      <c r="M3" s="2"/>
    </row>
    <row r="4" spans="1:15" s="25" customFormat="1" ht="31.5" customHeight="1">
      <c r="A4" s="163" t="s">
        <v>82</v>
      </c>
      <c r="B4" s="163"/>
      <c r="C4" s="163"/>
      <c r="D4" s="163"/>
      <c r="E4" s="163"/>
      <c r="F4" s="163"/>
      <c r="G4" s="163"/>
      <c r="H4" s="163"/>
      <c r="I4" s="163"/>
      <c r="J4" s="3"/>
      <c r="K4" s="3"/>
      <c r="L4" s="3"/>
    </row>
    <row r="5" spans="1:15" s="25" customFormat="1" ht="15.75" customHeight="1">
      <c r="A5" s="162" t="s">
        <v>193</v>
      </c>
      <c r="B5" s="164"/>
      <c r="C5" s="164"/>
      <c r="D5" s="164"/>
      <c r="E5" s="164"/>
      <c r="F5" s="164"/>
      <c r="G5" s="164"/>
      <c r="H5" s="164"/>
      <c r="I5" s="164"/>
    </row>
    <row r="6" spans="1:15" s="25" customFormat="1" ht="15.75">
      <c r="A6" s="2"/>
      <c r="B6" s="84"/>
      <c r="C6" s="84"/>
      <c r="D6" s="84"/>
      <c r="E6" s="84"/>
      <c r="F6" s="84"/>
      <c r="G6" s="84"/>
      <c r="H6" s="84"/>
      <c r="I6" s="29">
        <v>43616</v>
      </c>
      <c r="J6" s="2"/>
      <c r="K6" s="2"/>
      <c r="L6" s="2"/>
      <c r="M6" s="2"/>
    </row>
    <row r="7" spans="1:15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65" t="s">
        <v>162</v>
      </c>
      <c r="B8" s="165"/>
      <c r="C8" s="165"/>
      <c r="D8" s="165"/>
      <c r="E8" s="165"/>
      <c r="F8" s="165"/>
      <c r="G8" s="165"/>
      <c r="H8" s="165"/>
      <c r="I8" s="16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66" t="s">
        <v>155</v>
      </c>
      <c r="B10" s="166"/>
      <c r="C10" s="166"/>
      <c r="D10" s="166"/>
      <c r="E10" s="166"/>
      <c r="F10" s="166"/>
      <c r="G10" s="166"/>
      <c r="H10" s="166"/>
      <c r="I10" s="166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132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59" t="s">
        <v>133</v>
      </c>
      <c r="B14" s="160"/>
      <c r="C14" s="160"/>
      <c r="D14" s="160"/>
      <c r="E14" s="160"/>
      <c r="F14" s="160"/>
      <c r="G14" s="160"/>
      <c r="H14" s="160"/>
      <c r="I14" s="160"/>
      <c r="J14" s="99"/>
      <c r="K14" s="99"/>
      <c r="L14" s="6"/>
      <c r="M14" s="6"/>
      <c r="N14" s="6"/>
      <c r="O14" s="6"/>
    </row>
    <row r="15" spans="1:15" ht="15.75" customHeight="1">
      <c r="A15" s="168" t="s">
        <v>3</v>
      </c>
      <c r="B15" s="169"/>
      <c r="C15" s="169"/>
      <c r="D15" s="169"/>
      <c r="E15" s="169"/>
      <c r="F15" s="169"/>
      <c r="G15" s="169"/>
      <c r="H15" s="169"/>
      <c r="I15" s="170"/>
      <c r="J15" s="6"/>
      <c r="K15" s="6"/>
      <c r="L15" s="6"/>
      <c r="M15" s="6"/>
    </row>
    <row r="16" spans="1:15" ht="15.75" customHeight="1">
      <c r="A16" s="26">
        <v>1</v>
      </c>
      <c r="B16" s="51" t="s">
        <v>77</v>
      </c>
      <c r="C16" s="59" t="s">
        <v>83</v>
      </c>
      <c r="D16" s="51" t="s">
        <v>203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18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80</v>
      </c>
      <c r="C17" s="59" t="s">
        <v>83</v>
      </c>
      <c r="D17" s="51" t="s">
        <v>204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81</v>
      </c>
      <c r="C18" s="59" t="s">
        <v>83</v>
      </c>
      <c r="D18" s="51" t="s">
        <v>205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customHeight="1">
      <c r="A19" s="26">
        <v>4</v>
      </c>
      <c r="B19" s="51" t="s">
        <v>84</v>
      </c>
      <c r="C19" s="59" t="s">
        <v>85</v>
      </c>
      <c r="D19" s="51" t="s">
        <v>220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F19*G19</f>
        <v>571.3152</v>
      </c>
      <c r="J19" s="21"/>
      <c r="K19" s="6"/>
      <c r="L19" s="6"/>
      <c r="M19" s="6"/>
    </row>
    <row r="20" spans="1:13" ht="15.75" customHeight="1">
      <c r="A20" s="26">
        <v>5</v>
      </c>
      <c r="B20" s="51" t="s">
        <v>87</v>
      </c>
      <c r="C20" s="59" t="s">
        <v>83</v>
      </c>
      <c r="D20" s="51" t="s">
        <v>211</v>
      </c>
      <c r="E20" s="60">
        <v>10.5</v>
      </c>
      <c r="F20" s="61">
        <f>SUM(E20*2/100)</f>
        <v>0.21</v>
      </c>
      <c r="G20" s="61">
        <v>285.76</v>
      </c>
      <c r="H20" s="62">
        <f t="shared" ref="H20:H25" si="1">SUM(F20*G20/1000)</f>
        <v>6.0009599999999996E-2</v>
      </c>
      <c r="I20" s="12">
        <f t="shared" ref="I20:I21" si="2">F20/2*G20</f>
        <v>30.004799999999999</v>
      </c>
      <c r="J20" s="21"/>
      <c r="K20" s="6"/>
      <c r="L20" s="6"/>
      <c r="M20" s="6"/>
    </row>
    <row r="21" spans="1:13" ht="15.75" customHeight="1">
      <c r="A21" s="26">
        <v>6</v>
      </c>
      <c r="B21" s="51" t="s">
        <v>88</v>
      </c>
      <c r="C21" s="59" t="s">
        <v>83</v>
      </c>
      <c r="D21" s="51" t="s">
        <v>211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1"/>
        <v>1.5305760000000002E-2</v>
      </c>
      <c r="I21" s="12">
        <f t="shared" si="2"/>
        <v>7.6528800000000006</v>
      </c>
      <c r="J21" s="21"/>
      <c r="K21" s="6"/>
      <c r="L21" s="6"/>
      <c r="M21" s="6"/>
    </row>
    <row r="22" spans="1:13" ht="15.75" customHeight="1">
      <c r="A22" s="26">
        <v>7</v>
      </c>
      <c r="B22" s="51" t="s">
        <v>89</v>
      </c>
      <c r="C22" s="59" t="s">
        <v>50</v>
      </c>
      <c r="D22" s="51" t="s">
        <v>225</v>
      </c>
      <c r="E22" s="60">
        <v>357</v>
      </c>
      <c r="F22" s="61">
        <f t="shared" ref="F22:F25" si="3">SUM(E22/100)</f>
        <v>3.57</v>
      </c>
      <c r="G22" s="61">
        <v>353.14</v>
      </c>
      <c r="H22" s="62">
        <f t="shared" si="1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customHeight="1">
      <c r="A23" s="26">
        <v>8</v>
      </c>
      <c r="B23" s="51" t="s">
        <v>90</v>
      </c>
      <c r="C23" s="59" t="s">
        <v>50</v>
      </c>
      <c r="D23" s="51" t="s">
        <v>226</v>
      </c>
      <c r="E23" s="63">
        <v>38.64</v>
      </c>
      <c r="F23" s="61">
        <f t="shared" si="3"/>
        <v>0.38640000000000002</v>
      </c>
      <c r="G23" s="61">
        <v>58.08</v>
      </c>
      <c r="H23" s="62">
        <f t="shared" si="1"/>
        <v>2.2442112E-2</v>
      </c>
      <c r="I23" s="12">
        <f t="shared" ref="I23:I25" si="4">F23*G23</f>
        <v>22.442112000000002</v>
      </c>
      <c r="J23" s="21"/>
      <c r="K23" s="6"/>
      <c r="L23" s="6"/>
      <c r="M23" s="6"/>
    </row>
    <row r="24" spans="1:13" ht="15.75" customHeight="1">
      <c r="A24" s="26">
        <v>9</v>
      </c>
      <c r="B24" s="51" t="s">
        <v>91</v>
      </c>
      <c r="C24" s="59" t="s">
        <v>50</v>
      </c>
      <c r="D24" s="52" t="s">
        <v>226</v>
      </c>
      <c r="E24" s="17">
        <v>15</v>
      </c>
      <c r="F24" s="64">
        <f t="shared" si="3"/>
        <v>0.15</v>
      </c>
      <c r="G24" s="61">
        <v>511.12</v>
      </c>
      <c r="H24" s="62">
        <f t="shared" ref="H24" si="5">SUM(F24*G24/1000)</f>
        <v>7.6667999999999986E-2</v>
      </c>
      <c r="I24" s="12">
        <f t="shared" si="4"/>
        <v>76.667999999999992</v>
      </c>
      <c r="J24" s="21"/>
      <c r="K24" s="6"/>
      <c r="L24" s="6"/>
      <c r="M24" s="6"/>
    </row>
    <row r="25" spans="1:13" ht="15.75" customHeight="1">
      <c r="A25" s="26">
        <v>10</v>
      </c>
      <c r="B25" s="51" t="s">
        <v>92</v>
      </c>
      <c r="C25" s="59" t="s">
        <v>50</v>
      </c>
      <c r="D25" s="51" t="s">
        <v>227</v>
      </c>
      <c r="E25" s="65">
        <v>6.38</v>
      </c>
      <c r="F25" s="61">
        <f t="shared" si="3"/>
        <v>6.3799999999999996E-2</v>
      </c>
      <c r="G25" s="61">
        <v>638.04999999999995</v>
      </c>
      <c r="H25" s="62">
        <f t="shared" si="1"/>
        <v>4.0707589999999995E-2</v>
      </c>
      <c r="I25" s="12">
        <f t="shared" si="4"/>
        <v>40.707589999999996</v>
      </c>
      <c r="J25" s="21"/>
      <c r="K25" s="6"/>
      <c r="L25" s="6"/>
      <c r="M25" s="6"/>
    </row>
    <row r="26" spans="1:13" ht="15.75" customHeight="1">
      <c r="A26" s="26">
        <v>11</v>
      </c>
      <c r="B26" s="32" t="s">
        <v>202</v>
      </c>
      <c r="C26" s="39" t="s">
        <v>157</v>
      </c>
      <c r="D26" s="32" t="s">
        <v>206</v>
      </c>
      <c r="E26" s="157">
        <v>4.5999999999999996</v>
      </c>
      <c r="F26" s="31">
        <f>E26*258</f>
        <v>1186.8</v>
      </c>
      <c r="G26" s="31">
        <v>10.39</v>
      </c>
      <c r="H26" s="62">
        <f t="shared" ref="H26" si="6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68" t="s">
        <v>134</v>
      </c>
      <c r="B27" s="169"/>
      <c r="C27" s="169"/>
      <c r="D27" s="169"/>
      <c r="E27" s="169"/>
      <c r="F27" s="169"/>
      <c r="G27" s="169"/>
      <c r="H27" s="169"/>
      <c r="I27" s="170"/>
      <c r="J27" s="21"/>
      <c r="K27" s="6"/>
      <c r="L27" s="6"/>
      <c r="M27" s="6"/>
    </row>
    <row r="28" spans="1:13" ht="15.75" customHeight="1">
      <c r="A28" s="102"/>
      <c r="B28" s="55" t="s">
        <v>135</v>
      </c>
      <c r="C28" s="103"/>
      <c r="D28" s="103"/>
      <c r="E28" s="103"/>
      <c r="F28" s="103"/>
      <c r="G28" s="103"/>
      <c r="H28" s="103"/>
      <c r="I28" s="103"/>
      <c r="J28" s="21"/>
      <c r="K28" s="6"/>
      <c r="L28" s="6"/>
      <c r="M28" s="6"/>
    </row>
    <row r="29" spans="1:13" ht="15.75" customHeight="1">
      <c r="A29" s="100">
        <v>12</v>
      </c>
      <c r="B29" s="51" t="s">
        <v>136</v>
      </c>
      <c r="C29" s="59" t="s">
        <v>93</v>
      </c>
      <c r="D29" s="51" t="s">
        <v>204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3" si="7">SUM(F29*G29/1000)</f>
        <v>2.2346109759999999</v>
      </c>
      <c r="I29" s="12">
        <f>F29/6*G29</f>
        <v>372.43516266666666</v>
      </c>
      <c r="J29" s="21"/>
      <c r="K29" s="6"/>
      <c r="L29" s="6"/>
      <c r="M29" s="6"/>
    </row>
    <row r="30" spans="1:13" ht="31.5" customHeight="1">
      <c r="A30" s="26">
        <v>13</v>
      </c>
      <c r="B30" s="51" t="s">
        <v>137</v>
      </c>
      <c r="C30" s="59" t="s">
        <v>93</v>
      </c>
      <c r="D30" s="51" t="s">
        <v>203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7"/>
        <v>2.4341709599999999</v>
      </c>
      <c r="I30" s="12">
        <f t="shared" ref="I30" si="8">F30/6*G30</f>
        <v>405.69515999999999</v>
      </c>
      <c r="J30" s="21"/>
      <c r="K30" s="6"/>
      <c r="L30" s="6"/>
      <c r="M30" s="6"/>
    </row>
    <row r="31" spans="1:13" ht="15.75" customHeight="1">
      <c r="A31" s="26">
        <v>14</v>
      </c>
      <c r="B31" s="51" t="s">
        <v>26</v>
      </c>
      <c r="C31" s="59" t="s">
        <v>93</v>
      </c>
      <c r="D31" s="51" t="s">
        <v>220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si="7"/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/>
      <c r="B32" s="51" t="s">
        <v>60</v>
      </c>
      <c r="C32" s="59" t="s">
        <v>30</v>
      </c>
      <c r="D32" s="51" t="s">
        <v>61</v>
      </c>
      <c r="E32" s="60"/>
      <c r="F32" s="61">
        <v>1</v>
      </c>
      <c r="G32" s="61">
        <v>250.92</v>
      </c>
      <c r="H32" s="62">
        <f t="shared" si="7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5"/>
      <c r="B33" s="51" t="s">
        <v>104</v>
      </c>
      <c r="C33" s="59" t="s">
        <v>29</v>
      </c>
      <c r="D33" s="51" t="s">
        <v>61</v>
      </c>
      <c r="E33" s="60"/>
      <c r="F33" s="61">
        <v>1</v>
      </c>
      <c r="G33" s="61">
        <v>1490.31</v>
      </c>
      <c r="H33" s="62">
        <f t="shared" si="7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102"/>
      <c r="B34" s="55" t="s">
        <v>4</v>
      </c>
      <c r="C34" s="104"/>
      <c r="D34" s="104"/>
      <c r="E34" s="104"/>
      <c r="F34" s="104"/>
      <c r="G34" s="104"/>
      <c r="H34" s="104"/>
      <c r="I34" s="104"/>
      <c r="J34" s="21"/>
      <c r="K34" s="6"/>
      <c r="L34" s="6"/>
      <c r="M34" s="6"/>
    </row>
    <row r="35" spans="1:14" ht="15.75" hidden="1" customHeight="1">
      <c r="A35" s="100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9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143</v>
      </c>
      <c r="C36" s="59" t="s">
        <v>27</v>
      </c>
      <c r="D36" s="51" t="s">
        <v>105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106</v>
      </c>
      <c r="C37" s="59" t="s">
        <v>107</v>
      </c>
      <c r="D37" s="51" t="s">
        <v>61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10">F37/6*G37</f>
        <v>2072.1133333333332</v>
      </c>
      <c r="J37" s="21"/>
      <c r="K37" s="6"/>
    </row>
    <row r="38" spans="1:14" ht="15.75" hidden="1" customHeight="1">
      <c r="A38" s="26"/>
      <c r="B38" s="51" t="s">
        <v>62</v>
      </c>
      <c r="C38" s="59" t="s">
        <v>27</v>
      </c>
      <c r="D38" s="51" t="s">
        <v>108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9"/>
        <v>6.5598852000000001</v>
      </c>
      <c r="I38" s="12">
        <f t="shared" si="10"/>
        <v>1093.3141999999998</v>
      </c>
      <c r="J38" s="22"/>
    </row>
    <row r="39" spans="1:14" ht="48" hidden="1" customHeight="1">
      <c r="A39" s="26">
        <v>9</v>
      </c>
      <c r="B39" s="51" t="s">
        <v>76</v>
      </c>
      <c r="C39" s="59" t="s">
        <v>93</v>
      </c>
      <c r="D39" s="51" t="s">
        <v>144</v>
      </c>
      <c r="E39" s="61">
        <v>92</v>
      </c>
      <c r="F39" s="61">
        <f>SUM(E39*35/1000)</f>
        <v>3.22</v>
      </c>
      <c r="G39" s="61">
        <v>7611.16</v>
      </c>
      <c r="H39" s="62">
        <f t="shared" si="9"/>
        <v>24.507935199999999</v>
      </c>
      <c r="I39" s="12">
        <f t="shared" si="10"/>
        <v>4084.655866666667</v>
      </c>
      <c r="J39" s="22"/>
    </row>
    <row r="40" spans="1:14" ht="15.75" hidden="1" customHeight="1">
      <c r="A40" s="26">
        <v>10</v>
      </c>
      <c r="B40" s="51" t="s">
        <v>109</v>
      </c>
      <c r="C40" s="59" t="s">
        <v>93</v>
      </c>
      <c r="D40" s="51" t="s">
        <v>145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9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63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9"/>
        <v>0.79437600000000008</v>
      </c>
      <c r="I41" s="12">
        <f>F41/6*G41</f>
        <v>132.39600000000002</v>
      </c>
      <c r="J41" s="22"/>
    </row>
    <row r="42" spans="1:14" ht="15.75" customHeight="1">
      <c r="A42" s="171" t="s">
        <v>121</v>
      </c>
      <c r="B42" s="172"/>
      <c r="C42" s="172"/>
      <c r="D42" s="172"/>
      <c r="E42" s="172"/>
      <c r="F42" s="172"/>
      <c r="G42" s="172"/>
      <c r="H42" s="172"/>
      <c r="I42" s="173"/>
      <c r="J42" s="22"/>
      <c r="L42" s="18"/>
      <c r="M42" s="19"/>
      <c r="N42" s="20"/>
    </row>
    <row r="43" spans="1:14" ht="15.75" customHeight="1">
      <c r="A43" s="26">
        <v>15</v>
      </c>
      <c r="B43" s="32" t="s">
        <v>110</v>
      </c>
      <c r="C43" s="39" t="s">
        <v>93</v>
      </c>
      <c r="D43" s="32" t="s">
        <v>211</v>
      </c>
      <c r="E43" s="107">
        <v>1114.25</v>
      </c>
      <c r="F43" s="31">
        <f>SUM(E43*2/1000)</f>
        <v>2.2284999999999999</v>
      </c>
      <c r="G43" s="34">
        <v>1193.71</v>
      </c>
      <c r="H43" s="108">
        <f t="shared" ref="H43:H52" si="11">SUM(F43*G43/1000)</f>
        <v>2.6601827349999998</v>
      </c>
      <c r="I43" s="12">
        <f t="shared" ref="I43:I45" si="12">F43/2*G43</f>
        <v>1330.0913674999999</v>
      </c>
      <c r="J43" s="22"/>
      <c r="L43" s="18"/>
      <c r="M43" s="19"/>
      <c r="N43" s="20"/>
    </row>
    <row r="44" spans="1:14" ht="15.75" customHeight="1">
      <c r="A44" s="26">
        <v>16</v>
      </c>
      <c r="B44" s="32" t="s">
        <v>33</v>
      </c>
      <c r="C44" s="39" t="s">
        <v>93</v>
      </c>
      <c r="D44" s="32" t="s">
        <v>211</v>
      </c>
      <c r="E44" s="107">
        <v>2631</v>
      </c>
      <c r="F44" s="31">
        <f>SUM(E44*2/1000)</f>
        <v>5.2619999999999996</v>
      </c>
      <c r="G44" s="34">
        <v>1803.69</v>
      </c>
      <c r="H44" s="108">
        <f t="shared" si="11"/>
        <v>9.4910167800000007</v>
      </c>
      <c r="I44" s="12">
        <f t="shared" si="12"/>
        <v>4745.50839</v>
      </c>
      <c r="J44" s="22"/>
      <c r="L44" s="18"/>
      <c r="M44" s="19"/>
      <c r="N44" s="20"/>
    </row>
    <row r="45" spans="1:14" ht="15.75" customHeight="1">
      <c r="A45" s="26">
        <v>17</v>
      </c>
      <c r="B45" s="32" t="s">
        <v>34</v>
      </c>
      <c r="C45" s="39" t="s">
        <v>93</v>
      </c>
      <c r="D45" s="32" t="s">
        <v>211</v>
      </c>
      <c r="E45" s="107">
        <v>1953.8</v>
      </c>
      <c r="F45" s="31">
        <f>SUM(E45*2/1000)</f>
        <v>3.9076</v>
      </c>
      <c r="G45" s="34">
        <v>1243.43</v>
      </c>
      <c r="H45" s="108">
        <f t="shared" si="11"/>
        <v>4.8588270680000001</v>
      </c>
      <c r="I45" s="12">
        <f t="shared" si="12"/>
        <v>2429.4135340000003</v>
      </c>
      <c r="J45" s="22"/>
      <c r="L45" s="18"/>
      <c r="M45" s="19"/>
      <c r="N45" s="20"/>
    </row>
    <row r="46" spans="1:14" ht="15.75" customHeight="1">
      <c r="A46" s="26">
        <v>18</v>
      </c>
      <c r="B46" s="32" t="s">
        <v>31</v>
      </c>
      <c r="C46" s="39" t="s">
        <v>32</v>
      </c>
      <c r="D46" s="32" t="s">
        <v>211</v>
      </c>
      <c r="E46" s="107">
        <v>91.84</v>
      </c>
      <c r="F46" s="31">
        <f>SUM(E46*2/100)</f>
        <v>1.8368</v>
      </c>
      <c r="G46" s="109">
        <v>1172.4100000000001</v>
      </c>
      <c r="H46" s="108">
        <f t="shared" si="11"/>
        <v>2.153482688</v>
      </c>
      <c r="I46" s="12">
        <f>F46/2*G46</f>
        <v>1076.741344</v>
      </c>
      <c r="J46" s="22"/>
      <c r="L46" s="18"/>
      <c r="M46" s="19"/>
      <c r="N46" s="20"/>
    </row>
    <row r="47" spans="1:14" ht="15.75" customHeight="1">
      <c r="A47" s="26">
        <v>19</v>
      </c>
      <c r="B47" s="32" t="s">
        <v>54</v>
      </c>
      <c r="C47" s="39" t="s">
        <v>93</v>
      </c>
      <c r="D47" s="32" t="s">
        <v>211</v>
      </c>
      <c r="E47" s="107">
        <v>3181</v>
      </c>
      <c r="F47" s="31">
        <f>SUM(E47*5/1000)</f>
        <v>15.904999999999999</v>
      </c>
      <c r="G47" s="34">
        <v>1083.69</v>
      </c>
      <c r="H47" s="108">
        <f t="shared" si="11"/>
        <v>17.236089449999998</v>
      </c>
      <c r="I47" s="12">
        <f>F47/5*G47</f>
        <v>3447.2178900000004</v>
      </c>
      <c r="J47" s="22"/>
      <c r="L47" s="18"/>
      <c r="M47" s="19"/>
      <c r="N47" s="20"/>
    </row>
    <row r="48" spans="1:14" ht="33.75" customHeight="1">
      <c r="A48" s="26">
        <v>20</v>
      </c>
      <c r="B48" s="32" t="s">
        <v>111</v>
      </c>
      <c r="C48" s="39" t="s">
        <v>93</v>
      </c>
      <c r="D48" s="32" t="s">
        <v>211</v>
      </c>
      <c r="E48" s="107">
        <v>3181</v>
      </c>
      <c r="F48" s="31">
        <f>SUM(E48*2/1000)</f>
        <v>6.3620000000000001</v>
      </c>
      <c r="G48" s="34">
        <v>1591.6</v>
      </c>
      <c r="H48" s="108">
        <f t="shared" si="11"/>
        <v>10.125759200000001</v>
      </c>
      <c r="I48" s="12">
        <f>F48/2*G48</f>
        <v>5062.8796000000002</v>
      </c>
      <c r="J48" s="22"/>
      <c r="L48" s="18"/>
      <c r="M48" s="19"/>
      <c r="N48" s="20"/>
    </row>
    <row r="49" spans="1:14" ht="30" customHeight="1">
      <c r="A49" s="26">
        <v>21</v>
      </c>
      <c r="B49" s="32" t="s">
        <v>112</v>
      </c>
      <c r="C49" s="39" t="s">
        <v>35</v>
      </c>
      <c r="D49" s="32" t="s">
        <v>211</v>
      </c>
      <c r="E49" s="107">
        <v>20</v>
      </c>
      <c r="F49" s="31">
        <f>SUM(E49*2/100)</f>
        <v>0.4</v>
      </c>
      <c r="G49" s="34">
        <v>4058.32</v>
      </c>
      <c r="H49" s="108">
        <f t="shared" si="11"/>
        <v>1.6233280000000001</v>
      </c>
      <c r="I49" s="12">
        <f t="shared" ref="I49:I50" si="13">F49/2*G49</f>
        <v>811.6640000000001</v>
      </c>
      <c r="J49" s="22"/>
      <c r="L49" s="18"/>
      <c r="M49" s="19"/>
      <c r="N49" s="20"/>
    </row>
    <row r="50" spans="1:14" ht="19.5" customHeight="1">
      <c r="A50" s="26">
        <v>22</v>
      </c>
      <c r="B50" s="32" t="s">
        <v>36</v>
      </c>
      <c r="C50" s="39" t="s">
        <v>37</v>
      </c>
      <c r="D50" s="32" t="s">
        <v>211</v>
      </c>
      <c r="E50" s="107">
        <v>1</v>
      </c>
      <c r="F50" s="31">
        <v>0.02</v>
      </c>
      <c r="G50" s="34">
        <v>7412.92</v>
      </c>
      <c r="H50" s="108">
        <f t="shared" si="11"/>
        <v>0.14825839999999998</v>
      </c>
      <c r="I50" s="12">
        <f t="shared" si="13"/>
        <v>74.129199999999997</v>
      </c>
      <c r="J50" s="22"/>
      <c r="L50" s="18"/>
      <c r="M50" s="19"/>
      <c r="N50" s="20"/>
    </row>
    <row r="51" spans="1:14" ht="15.75" hidden="1" customHeight="1">
      <c r="A51" s="26">
        <v>22</v>
      </c>
      <c r="B51" s="32" t="s">
        <v>113</v>
      </c>
      <c r="C51" s="39" t="s">
        <v>94</v>
      </c>
      <c r="D51" s="32" t="s">
        <v>64</v>
      </c>
      <c r="E51" s="107">
        <v>70</v>
      </c>
      <c r="F51" s="31">
        <f>E51*3</f>
        <v>210</v>
      </c>
      <c r="G51" s="34">
        <v>185.08</v>
      </c>
      <c r="H51" s="108">
        <f t="shared" si="11"/>
        <v>38.866800000000005</v>
      </c>
      <c r="I51" s="12">
        <f>E51*G51</f>
        <v>12955.6</v>
      </c>
      <c r="J51" s="22"/>
      <c r="L51" s="18"/>
      <c r="M51" s="19"/>
      <c r="N51" s="20"/>
    </row>
    <row r="52" spans="1:14" ht="15.75" hidden="1" customHeight="1">
      <c r="A52" s="26">
        <v>23</v>
      </c>
      <c r="B52" s="32" t="s">
        <v>38</v>
      </c>
      <c r="C52" s="39" t="s">
        <v>94</v>
      </c>
      <c r="D52" s="32" t="s">
        <v>64</v>
      </c>
      <c r="E52" s="107">
        <v>140</v>
      </c>
      <c r="F52" s="31">
        <f>E52*3</f>
        <v>420</v>
      </c>
      <c r="G52" s="35">
        <v>86.15</v>
      </c>
      <c r="H52" s="108">
        <f t="shared" si="11"/>
        <v>36.183</v>
      </c>
      <c r="I52" s="12">
        <f>E52*G52</f>
        <v>12061</v>
      </c>
      <c r="J52" s="22"/>
      <c r="L52" s="18"/>
      <c r="M52" s="19"/>
      <c r="N52" s="20"/>
    </row>
    <row r="53" spans="1:14" ht="15.75" customHeight="1">
      <c r="A53" s="171" t="s">
        <v>122</v>
      </c>
      <c r="B53" s="174"/>
      <c r="C53" s="174"/>
      <c r="D53" s="174"/>
      <c r="E53" s="174"/>
      <c r="F53" s="174"/>
      <c r="G53" s="174"/>
      <c r="H53" s="174"/>
      <c r="I53" s="175"/>
      <c r="J53" s="22"/>
      <c r="L53" s="18"/>
      <c r="M53" s="19"/>
      <c r="N53" s="20"/>
    </row>
    <row r="54" spans="1:14" ht="15.75" hidden="1" customHeight="1">
      <c r="A54" s="26"/>
      <c r="B54" s="81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114</v>
      </c>
      <c r="C55" s="59" t="s">
        <v>83</v>
      </c>
      <c r="D55" s="51" t="s">
        <v>115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hidden="1" customHeight="1">
      <c r="A56" s="26"/>
      <c r="B56" s="70" t="s">
        <v>117</v>
      </c>
      <c r="C56" s="69" t="s">
        <v>118</v>
      </c>
      <c r="D56" s="13" t="s">
        <v>61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v>0</v>
      </c>
      <c r="J56" s="22"/>
      <c r="L56" s="18"/>
      <c r="M56" s="19"/>
      <c r="N56" s="20"/>
    </row>
    <row r="57" spans="1:14" ht="15.75" hidden="1" customHeight="1">
      <c r="A57" s="26"/>
      <c r="B57" s="82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/>
      <c r="B59" s="82" t="s">
        <v>43</v>
      </c>
      <c r="C59" s="69"/>
      <c r="D59" s="70"/>
      <c r="E59" s="71"/>
      <c r="F59" s="74"/>
      <c r="G59" s="74"/>
      <c r="H59" s="72" t="s">
        <v>102</v>
      </c>
      <c r="I59" s="12"/>
      <c r="J59" s="22"/>
      <c r="L59" s="18"/>
      <c r="M59" s="19"/>
      <c r="N59" s="20"/>
    </row>
    <row r="60" spans="1:14" ht="18" hidden="1" customHeight="1">
      <c r="A60" s="26">
        <v>24</v>
      </c>
      <c r="B60" s="13" t="s">
        <v>44</v>
      </c>
      <c r="C60" s="15" t="s">
        <v>94</v>
      </c>
      <c r="D60" s="13" t="s">
        <v>61</v>
      </c>
      <c r="E60" s="17">
        <v>4</v>
      </c>
      <c r="F60" s="61">
        <f>E60</f>
        <v>4</v>
      </c>
      <c r="G60" s="12">
        <v>291.68</v>
      </c>
      <c r="H60" s="75">
        <f t="shared" ref="H60:H68" si="14">SUM(F60*G60/1000)</f>
        <v>1.16672</v>
      </c>
      <c r="I60" s="12">
        <f>G60</f>
        <v>291.68</v>
      </c>
      <c r="J60" s="22"/>
      <c r="L60" s="18"/>
      <c r="M60" s="19"/>
      <c r="N60" s="20"/>
    </row>
    <row r="61" spans="1:14" ht="14.25" hidden="1" customHeight="1">
      <c r="A61" s="26">
        <v>17</v>
      </c>
      <c r="B61" s="13" t="s">
        <v>45</v>
      </c>
      <c r="C61" s="15" t="s">
        <v>94</v>
      </c>
      <c r="D61" s="13" t="s">
        <v>61</v>
      </c>
      <c r="E61" s="17">
        <v>4</v>
      </c>
      <c r="F61" s="61">
        <f>E61</f>
        <v>4</v>
      </c>
      <c r="G61" s="12">
        <v>100.01</v>
      </c>
      <c r="H61" s="75">
        <f t="shared" si="14"/>
        <v>0.40004000000000001</v>
      </c>
      <c r="I61" s="12">
        <v>0</v>
      </c>
      <c r="J61" s="22"/>
      <c r="L61" s="18"/>
      <c r="M61" s="19"/>
      <c r="N61" s="20"/>
    </row>
    <row r="62" spans="1:14" ht="15.75" hidden="1" customHeight="1">
      <c r="A62" s="26">
        <v>24</v>
      </c>
      <c r="B62" s="13" t="s">
        <v>46</v>
      </c>
      <c r="C62" s="15" t="s">
        <v>95</v>
      </c>
      <c r="D62" s="13" t="s">
        <v>51</v>
      </c>
      <c r="E62" s="60">
        <v>12702</v>
      </c>
      <c r="F62" s="12">
        <f>SUM(E62/100)</f>
        <v>127.02</v>
      </c>
      <c r="G62" s="12">
        <v>278.24</v>
      </c>
      <c r="H62" s="75">
        <f t="shared" si="14"/>
        <v>35.342044800000004</v>
      </c>
      <c r="I62" s="12">
        <f>F62*G62</f>
        <v>35342.044800000003</v>
      </c>
      <c r="J62" s="22"/>
      <c r="L62" s="18"/>
      <c r="M62" s="19"/>
      <c r="N62" s="20"/>
    </row>
    <row r="63" spans="1:14" ht="15.75" hidden="1" customHeight="1">
      <c r="A63" s="26">
        <v>25</v>
      </c>
      <c r="B63" s="13" t="s">
        <v>47</v>
      </c>
      <c r="C63" s="15" t="s">
        <v>96</v>
      </c>
      <c r="D63" s="13"/>
      <c r="E63" s="60">
        <v>12702</v>
      </c>
      <c r="F63" s="12">
        <f>SUM(E63/1000)</f>
        <v>12.702</v>
      </c>
      <c r="G63" s="12">
        <v>216.68</v>
      </c>
      <c r="H63" s="75">
        <f t="shared" si="14"/>
        <v>2.7522693600000001</v>
      </c>
      <c r="I63" s="12">
        <f t="shared" ref="I63:I66" si="15">F63*G63</f>
        <v>2752.2693600000002</v>
      </c>
      <c r="J63" s="22"/>
      <c r="L63" s="18"/>
      <c r="M63" s="19"/>
      <c r="N63" s="20"/>
    </row>
    <row r="64" spans="1:14" ht="15.75" hidden="1" customHeight="1">
      <c r="A64" s="26">
        <v>26</v>
      </c>
      <c r="B64" s="13" t="s">
        <v>48</v>
      </c>
      <c r="C64" s="15" t="s">
        <v>70</v>
      </c>
      <c r="D64" s="13" t="s">
        <v>51</v>
      </c>
      <c r="E64" s="60">
        <v>2200</v>
      </c>
      <c r="F64" s="12">
        <f>SUM(E64/100)</f>
        <v>22</v>
      </c>
      <c r="G64" s="12">
        <v>2720.94</v>
      </c>
      <c r="H64" s="75">
        <f t="shared" si="14"/>
        <v>59.860680000000002</v>
      </c>
      <c r="I64" s="12">
        <f t="shared" si="15"/>
        <v>59860.68</v>
      </c>
      <c r="J64" s="22"/>
      <c r="L64" s="18"/>
      <c r="M64" s="19"/>
      <c r="N64" s="20"/>
    </row>
    <row r="65" spans="1:14" ht="15.75" hidden="1" customHeight="1">
      <c r="A65" s="26">
        <v>27</v>
      </c>
      <c r="B65" s="76" t="s">
        <v>97</v>
      </c>
      <c r="C65" s="15" t="s">
        <v>30</v>
      </c>
      <c r="D65" s="13"/>
      <c r="E65" s="60">
        <v>9.6</v>
      </c>
      <c r="F65" s="12">
        <f>SUM(E65)</f>
        <v>9.6</v>
      </c>
      <c r="G65" s="12">
        <v>42.61</v>
      </c>
      <c r="H65" s="75">
        <f t="shared" si="14"/>
        <v>0.40905599999999998</v>
      </c>
      <c r="I65" s="12">
        <f t="shared" si="15"/>
        <v>409.05599999999998</v>
      </c>
      <c r="J65" s="22"/>
      <c r="L65" s="18"/>
      <c r="M65" s="19"/>
      <c r="N65" s="20"/>
    </row>
    <row r="66" spans="1:14" ht="15.75" hidden="1" customHeight="1">
      <c r="A66" s="26">
        <v>28</v>
      </c>
      <c r="B66" s="76" t="s">
        <v>98</v>
      </c>
      <c r="C66" s="15" t="s">
        <v>30</v>
      </c>
      <c r="D66" s="13"/>
      <c r="E66" s="60">
        <v>9.6</v>
      </c>
      <c r="F66" s="12">
        <f>SUM(E66)</f>
        <v>9.6</v>
      </c>
      <c r="G66" s="12">
        <v>46.04</v>
      </c>
      <c r="H66" s="75">
        <f t="shared" si="14"/>
        <v>0.44198399999999999</v>
      </c>
      <c r="I66" s="12">
        <f t="shared" si="15"/>
        <v>441.98399999999998</v>
      </c>
      <c r="J66" s="22"/>
      <c r="L66" s="18"/>
      <c r="M66" s="19"/>
      <c r="N66" s="20"/>
    </row>
    <row r="67" spans="1:14" ht="15.75" hidden="1" customHeight="1">
      <c r="A67" s="26"/>
      <c r="B67" s="13" t="s">
        <v>55</v>
      </c>
      <c r="C67" s="15" t="s">
        <v>56</v>
      </c>
      <c r="D67" s="13" t="s">
        <v>51</v>
      </c>
      <c r="E67" s="17">
        <v>4</v>
      </c>
      <c r="F67" s="12">
        <f>SUM(E67)</f>
        <v>4</v>
      </c>
      <c r="G67" s="12">
        <v>65.42</v>
      </c>
      <c r="H67" s="75">
        <f t="shared" si="14"/>
        <v>0.26168000000000002</v>
      </c>
      <c r="I67" s="12">
        <v>0</v>
      </c>
      <c r="J67" s="22"/>
      <c r="L67" s="18"/>
      <c r="M67" s="19"/>
      <c r="N67" s="20"/>
    </row>
    <row r="68" spans="1:14" ht="30" customHeight="1">
      <c r="A68" s="26">
        <v>23</v>
      </c>
      <c r="B68" s="13" t="s">
        <v>146</v>
      </c>
      <c r="C68" s="26" t="s">
        <v>147</v>
      </c>
      <c r="D68" s="13"/>
      <c r="E68" s="17">
        <v>3181</v>
      </c>
      <c r="F68" s="61">
        <f>SUM(E68)*12</f>
        <v>38172</v>
      </c>
      <c r="G68" s="12">
        <v>2.2799999999999998</v>
      </c>
      <c r="H68" s="75">
        <f t="shared" si="14"/>
        <v>87.03215999999999</v>
      </c>
      <c r="I68" s="12">
        <f>F68/12*G68</f>
        <v>7252.6799999999994</v>
      </c>
      <c r="J68" s="22"/>
      <c r="L68" s="18"/>
      <c r="M68" s="19"/>
      <c r="N68" s="20"/>
    </row>
    <row r="69" spans="1:14" ht="15.75" customHeight="1">
      <c r="A69" s="26"/>
      <c r="B69" s="55" t="s">
        <v>65</v>
      </c>
      <c r="C69" s="15"/>
      <c r="D69" s="13"/>
      <c r="E69" s="17"/>
      <c r="F69" s="12"/>
      <c r="G69" s="12"/>
      <c r="H69" s="75" t="s">
        <v>102</v>
      </c>
      <c r="I69" s="12"/>
      <c r="J69" s="22"/>
      <c r="L69" s="18"/>
      <c r="M69" s="19"/>
      <c r="N69" s="20"/>
    </row>
    <row r="70" spans="1:14" ht="27.75" hidden="1" customHeight="1">
      <c r="A70" s="26">
        <v>18</v>
      </c>
      <c r="B70" s="13" t="s">
        <v>148</v>
      </c>
      <c r="C70" s="15" t="s">
        <v>28</v>
      </c>
      <c r="D70" s="13" t="s">
        <v>61</v>
      </c>
      <c r="E70" s="17">
        <v>1</v>
      </c>
      <c r="F70" s="61">
        <f t="shared" ref="F70" si="16">E70</f>
        <v>1</v>
      </c>
      <c r="G70" s="12">
        <v>1543.4</v>
      </c>
      <c r="H70" s="75">
        <f>G70*F70/1000</f>
        <v>1.5434000000000001</v>
      </c>
      <c r="I70" s="12">
        <v>0</v>
      </c>
      <c r="J70" s="22"/>
      <c r="L70" s="18"/>
      <c r="M70" s="19"/>
      <c r="N70" s="20"/>
    </row>
    <row r="71" spans="1:14" ht="22.5" hidden="1" customHeight="1">
      <c r="A71" s="26"/>
      <c r="B71" s="50" t="s">
        <v>149</v>
      </c>
      <c r="C71" s="54" t="s">
        <v>94</v>
      </c>
      <c r="D71" s="13" t="s">
        <v>61</v>
      </c>
      <c r="E71" s="17">
        <v>1</v>
      </c>
      <c r="F71" s="61">
        <f>E71</f>
        <v>1</v>
      </c>
      <c r="G71" s="12">
        <v>130.96</v>
      </c>
      <c r="H71" s="75">
        <f>G71*F71/1000</f>
        <v>0.13096000000000002</v>
      </c>
      <c r="I71" s="12">
        <v>0</v>
      </c>
      <c r="J71" s="22"/>
      <c r="L71" s="18"/>
      <c r="M71" s="19"/>
      <c r="N71" s="20"/>
    </row>
    <row r="72" spans="1:14" ht="26.25" hidden="1" customHeight="1">
      <c r="A72" s="26"/>
      <c r="B72" s="13" t="s">
        <v>66</v>
      </c>
      <c r="C72" s="15" t="s">
        <v>68</v>
      </c>
      <c r="D72" s="13" t="s">
        <v>61</v>
      </c>
      <c r="E72" s="17">
        <v>3</v>
      </c>
      <c r="F72" s="61">
        <f>E72/10</f>
        <v>0.3</v>
      </c>
      <c r="G72" s="12">
        <v>657.87</v>
      </c>
      <c r="H72" s="75">
        <f t="shared" ref="H72:H75" si="17">SUM(F72*G72/1000)</f>
        <v>0.19736099999999998</v>
      </c>
      <c r="I72" s="12">
        <v>0</v>
      </c>
      <c r="J72" s="22"/>
      <c r="L72" s="18"/>
      <c r="M72" s="19"/>
      <c r="N72" s="20"/>
    </row>
    <row r="73" spans="1:14" ht="26.25" hidden="1" customHeight="1">
      <c r="A73" s="26"/>
      <c r="B73" s="13" t="s">
        <v>67</v>
      </c>
      <c r="C73" s="15" t="s">
        <v>28</v>
      </c>
      <c r="D73" s="13" t="s">
        <v>61</v>
      </c>
      <c r="E73" s="17">
        <v>1</v>
      </c>
      <c r="F73" s="61">
        <f>E73</f>
        <v>1</v>
      </c>
      <c r="G73" s="12">
        <v>1118.72</v>
      </c>
      <c r="H73" s="75">
        <f t="shared" si="17"/>
        <v>1.1187199999999999</v>
      </c>
      <c r="I73" s="12">
        <v>0</v>
      </c>
      <c r="J73" s="22"/>
      <c r="L73" s="18"/>
      <c r="M73" s="19"/>
      <c r="N73" s="20"/>
    </row>
    <row r="74" spans="1:14" ht="30" hidden="1" customHeight="1">
      <c r="A74" s="26"/>
      <c r="B74" s="50" t="s">
        <v>150</v>
      </c>
      <c r="C74" s="54" t="s">
        <v>94</v>
      </c>
      <c r="D74" s="13" t="s">
        <v>61</v>
      </c>
      <c r="E74" s="17">
        <v>1</v>
      </c>
      <c r="F74" s="61">
        <f>E74</f>
        <v>1</v>
      </c>
      <c r="G74" s="12">
        <v>1605.83</v>
      </c>
      <c r="H74" s="75">
        <f t="shared" si="17"/>
        <v>1.6058299999999999</v>
      </c>
      <c r="I74" s="12">
        <v>0</v>
      </c>
      <c r="J74" s="22"/>
      <c r="L74" s="18"/>
      <c r="M74" s="19"/>
      <c r="N74" s="20"/>
    </row>
    <row r="75" spans="1:14" ht="30.75" customHeight="1">
      <c r="A75" s="26">
        <v>24</v>
      </c>
      <c r="B75" s="50" t="s">
        <v>151</v>
      </c>
      <c r="C75" s="54" t="s">
        <v>94</v>
      </c>
      <c r="D75" s="13" t="s">
        <v>211</v>
      </c>
      <c r="E75" s="17">
        <v>2</v>
      </c>
      <c r="F75" s="61">
        <f>E75*12</f>
        <v>24</v>
      </c>
      <c r="G75" s="12">
        <v>53.42</v>
      </c>
      <c r="H75" s="75">
        <f t="shared" si="17"/>
        <v>1.2820799999999999</v>
      </c>
      <c r="I75" s="12">
        <f>G75*2</f>
        <v>106.84</v>
      </c>
      <c r="J75" s="22"/>
      <c r="L75" s="18"/>
      <c r="M75" s="19"/>
      <c r="N75" s="20"/>
    </row>
    <row r="76" spans="1:14" ht="23.25" hidden="1" customHeight="1">
      <c r="A76" s="26"/>
      <c r="B76" s="77" t="s">
        <v>69</v>
      </c>
      <c r="C76" s="15"/>
      <c r="D76" s="13"/>
      <c r="E76" s="17"/>
      <c r="F76" s="12"/>
      <c r="G76" s="12" t="s">
        <v>102</v>
      </c>
      <c r="H76" s="75" t="s">
        <v>102</v>
      </c>
      <c r="I76" s="12"/>
      <c r="J76" s="22"/>
      <c r="L76" s="18"/>
      <c r="M76" s="19"/>
      <c r="N76" s="20"/>
    </row>
    <row r="77" spans="1:14" ht="21.75" hidden="1" customHeight="1">
      <c r="A77" s="26"/>
      <c r="B77" s="45" t="s">
        <v>101</v>
      </c>
      <c r="C77" s="15" t="s">
        <v>70</v>
      </c>
      <c r="D77" s="13"/>
      <c r="E77" s="17"/>
      <c r="F77" s="12">
        <v>1</v>
      </c>
      <c r="G77" s="12">
        <v>3370.89</v>
      </c>
      <c r="H77" s="75">
        <f t="shared" ref="H77" si="18">SUM(F77*G77/1000)</f>
        <v>3.3708899999999997</v>
      </c>
      <c r="I77" s="12">
        <v>0</v>
      </c>
      <c r="J77" s="22"/>
      <c r="L77" s="18"/>
      <c r="M77" s="19"/>
      <c r="N77" s="20"/>
    </row>
    <row r="78" spans="1:14" ht="22.5" hidden="1" customHeight="1">
      <c r="A78" s="26"/>
      <c r="B78" s="55" t="s">
        <v>99</v>
      </c>
      <c r="C78" s="77"/>
      <c r="D78" s="27"/>
      <c r="E78" s="30"/>
      <c r="F78" s="66"/>
      <c r="G78" s="66"/>
      <c r="H78" s="78">
        <f>SUM(H55:H77)</f>
        <v>227.14633412000001</v>
      </c>
      <c r="I78" s="66"/>
      <c r="J78" s="22"/>
      <c r="L78" s="18"/>
      <c r="M78" s="19"/>
      <c r="N78" s="20"/>
    </row>
    <row r="79" spans="1:14" ht="21.75" hidden="1" customHeight="1">
      <c r="A79" s="105">
        <v>15</v>
      </c>
      <c r="B79" s="53" t="s">
        <v>100</v>
      </c>
      <c r="C79" s="110"/>
      <c r="D79" s="111"/>
      <c r="E79" s="111"/>
      <c r="F79" s="112">
        <v>1</v>
      </c>
      <c r="G79" s="112">
        <v>23195</v>
      </c>
      <c r="H79" s="113">
        <f>G79*F79/1000</f>
        <v>23.195</v>
      </c>
      <c r="I79" s="80">
        <f>G79</f>
        <v>23195</v>
      </c>
      <c r="J79" s="22"/>
      <c r="L79" s="18"/>
      <c r="M79" s="19"/>
      <c r="N79" s="20"/>
    </row>
    <row r="80" spans="1:14" ht="18" hidden="1" customHeight="1">
      <c r="A80" s="49"/>
      <c r="B80" s="114" t="s">
        <v>152</v>
      </c>
      <c r="C80" s="15"/>
      <c r="D80" s="13"/>
      <c r="E80" s="13"/>
      <c r="F80" s="12">
        <v>69</v>
      </c>
      <c r="G80" s="12">
        <v>700</v>
      </c>
      <c r="H80" s="75">
        <f>G80*F80/1000</f>
        <v>48.3</v>
      </c>
      <c r="I80" s="115">
        <v>0</v>
      </c>
      <c r="J80" s="22"/>
      <c r="L80" s="18"/>
      <c r="M80" s="19"/>
      <c r="N80" s="20"/>
    </row>
    <row r="81" spans="1:14" ht="15.75" customHeight="1">
      <c r="A81" s="168" t="s">
        <v>123</v>
      </c>
      <c r="B81" s="176"/>
      <c r="C81" s="176"/>
      <c r="D81" s="176"/>
      <c r="E81" s="176"/>
      <c r="F81" s="176"/>
      <c r="G81" s="176"/>
      <c r="H81" s="176"/>
      <c r="I81" s="177"/>
      <c r="J81" s="22"/>
      <c r="L81" s="18"/>
      <c r="M81" s="19"/>
      <c r="N81" s="20"/>
    </row>
    <row r="82" spans="1:14" ht="15.75" customHeight="1">
      <c r="A82" s="100">
        <v>25</v>
      </c>
      <c r="B82" s="32" t="s">
        <v>116</v>
      </c>
      <c r="C82" s="37" t="s">
        <v>52</v>
      </c>
      <c r="D82" s="79"/>
      <c r="E82" s="34">
        <v>3181</v>
      </c>
      <c r="F82" s="34">
        <f>SUM(E82*12)</f>
        <v>38172</v>
      </c>
      <c r="G82" s="34">
        <v>3.1</v>
      </c>
      <c r="H82" s="106">
        <f>SUM(F82*G82/1000)</f>
        <v>118.33319999999999</v>
      </c>
      <c r="I82" s="101">
        <f>F82/12*G82</f>
        <v>9861.1</v>
      </c>
      <c r="J82" s="22"/>
      <c r="L82" s="18"/>
      <c r="M82" s="19"/>
      <c r="N82" s="20"/>
    </row>
    <row r="83" spans="1:14" ht="31.5" customHeight="1">
      <c r="A83" s="26">
        <v>26</v>
      </c>
      <c r="B83" s="13" t="s">
        <v>71</v>
      </c>
      <c r="C83" s="15"/>
      <c r="D83" s="79"/>
      <c r="E83" s="60">
        <v>3181</v>
      </c>
      <c r="F83" s="12">
        <f>E83*12</f>
        <v>38172</v>
      </c>
      <c r="G83" s="12">
        <v>3.5</v>
      </c>
      <c r="H83" s="75">
        <f>F83*G83/1000</f>
        <v>133.602</v>
      </c>
      <c r="I83" s="12">
        <f>F83/12*G83</f>
        <v>11133.5</v>
      </c>
      <c r="J83" s="22"/>
      <c r="L83" s="18"/>
      <c r="M83" s="19"/>
      <c r="N83" s="20"/>
    </row>
    <row r="84" spans="1:14" ht="15.75" customHeight="1">
      <c r="A84" s="49"/>
      <c r="B84" s="38" t="s">
        <v>74</v>
      </c>
      <c r="C84" s="15"/>
      <c r="D84" s="45"/>
      <c r="E84" s="12"/>
      <c r="F84" s="12"/>
      <c r="G84" s="12"/>
      <c r="H84" s="75">
        <f>H83</f>
        <v>133.602</v>
      </c>
      <c r="I84" s="66">
        <f>I83+I82+I75+I68+I50+I49+I48+I47+I46+I45+I44+I43+I30+I31+I29+I26+I25++I24+I23+I22+I21+I20+I19+I18+I17+I16</f>
        <v>62503.424196166663</v>
      </c>
      <c r="J84" s="22"/>
      <c r="L84" s="18"/>
      <c r="M84" s="19"/>
      <c r="N84" s="20"/>
    </row>
    <row r="85" spans="1:14" ht="15.75" customHeight="1">
      <c r="A85" s="178" t="s">
        <v>57</v>
      </c>
      <c r="B85" s="179"/>
      <c r="C85" s="179"/>
      <c r="D85" s="179"/>
      <c r="E85" s="179"/>
      <c r="F85" s="179"/>
      <c r="G85" s="179"/>
      <c r="H85" s="179"/>
      <c r="I85" s="180"/>
      <c r="J85" s="22"/>
      <c r="L85" s="18"/>
      <c r="M85" s="19"/>
      <c r="N85" s="20"/>
    </row>
    <row r="86" spans="1:14" ht="15.75" customHeight="1">
      <c r="A86" s="49">
        <v>27</v>
      </c>
      <c r="B86" s="70" t="s">
        <v>156</v>
      </c>
      <c r="C86" s="69" t="s">
        <v>157</v>
      </c>
      <c r="D86" s="70"/>
      <c r="E86" s="71"/>
      <c r="F86" s="74">
        <v>96</v>
      </c>
      <c r="G86" s="56">
        <v>1.4</v>
      </c>
      <c r="H86" s="72">
        <f>F86*G86/1000</f>
        <v>0.13439999999999996</v>
      </c>
      <c r="I86" s="12">
        <f>G86*48</f>
        <v>67.199999999999989</v>
      </c>
      <c r="J86" s="22"/>
      <c r="L86" s="18"/>
      <c r="M86" s="19"/>
      <c r="N86" s="20"/>
    </row>
    <row r="87" spans="1:14" ht="31.5" customHeight="1">
      <c r="A87" s="26">
        <v>28</v>
      </c>
      <c r="B87" s="122" t="s">
        <v>119</v>
      </c>
      <c r="C87" s="123" t="s">
        <v>35</v>
      </c>
      <c r="D87" s="13"/>
      <c r="E87" s="17"/>
      <c r="F87" s="12">
        <v>0.01</v>
      </c>
      <c r="G87" s="34">
        <v>3914.31</v>
      </c>
      <c r="H87" s="75">
        <f>G87*F87/1000</f>
        <v>3.91431E-2</v>
      </c>
      <c r="I87" s="80">
        <f>G87*0.02</f>
        <v>78.286199999999994</v>
      </c>
      <c r="J87" s="22"/>
      <c r="L87" s="18"/>
      <c r="M87" s="19"/>
      <c r="N87" s="20"/>
    </row>
    <row r="88" spans="1:14" ht="15.75" customHeight="1">
      <c r="A88" s="26">
        <v>29</v>
      </c>
      <c r="B88" s="122" t="s">
        <v>171</v>
      </c>
      <c r="C88" s="123" t="s">
        <v>94</v>
      </c>
      <c r="D88" s="26"/>
      <c r="E88" s="17"/>
      <c r="F88" s="12">
        <v>2</v>
      </c>
      <c r="G88" s="34">
        <v>145.27000000000001</v>
      </c>
      <c r="H88" s="75">
        <f>G88*F88/1000</f>
        <v>0.29054000000000002</v>
      </c>
      <c r="I88" s="80">
        <f>G88*1</f>
        <v>145.27000000000001</v>
      </c>
      <c r="J88" s="22"/>
      <c r="L88" s="18"/>
      <c r="M88" s="19"/>
      <c r="N88" s="20"/>
    </row>
    <row r="89" spans="1:14" ht="16.5" customHeight="1">
      <c r="A89" s="26">
        <v>30</v>
      </c>
      <c r="B89" s="122" t="s">
        <v>194</v>
      </c>
      <c r="C89" s="123" t="s">
        <v>94</v>
      </c>
      <c r="D89" s="13"/>
      <c r="E89" s="17"/>
      <c r="F89" s="12">
        <v>1</v>
      </c>
      <c r="G89" s="34">
        <v>1150.55</v>
      </c>
      <c r="H89" s="75">
        <f>G89*F89/1000</f>
        <v>1.15055</v>
      </c>
      <c r="I89" s="80">
        <f>G89*1</f>
        <v>1150.55</v>
      </c>
      <c r="J89" s="22"/>
      <c r="L89" s="18"/>
      <c r="M89" s="19"/>
      <c r="N89" s="20"/>
    </row>
    <row r="90" spans="1:14" ht="15.75" customHeight="1">
      <c r="A90" s="26">
        <v>31</v>
      </c>
      <c r="B90" s="122" t="s">
        <v>75</v>
      </c>
      <c r="C90" s="123" t="s">
        <v>94</v>
      </c>
      <c r="D90" s="13"/>
      <c r="E90" s="17"/>
      <c r="F90" s="12"/>
      <c r="G90" s="136">
        <v>207.55</v>
      </c>
      <c r="H90" s="75"/>
      <c r="I90" s="80">
        <f>G90*3</f>
        <v>622.65000000000009</v>
      </c>
      <c r="J90" s="22"/>
      <c r="L90" s="18"/>
      <c r="M90" s="19"/>
      <c r="N90" s="20"/>
    </row>
    <row r="91" spans="1:14" ht="31.5" customHeight="1">
      <c r="A91" s="26">
        <v>32</v>
      </c>
      <c r="B91" s="122" t="s">
        <v>195</v>
      </c>
      <c r="C91" s="123" t="s">
        <v>174</v>
      </c>
      <c r="D91" s="26" t="s">
        <v>196</v>
      </c>
      <c r="E91" s="17"/>
      <c r="F91" s="12"/>
      <c r="G91" s="34">
        <v>1367</v>
      </c>
      <c r="H91" s="75"/>
      <c r="I91" s="80">
        <f>G91*12</f>
        <v>16404</v>
      </c>
      <c r="J91" s="22"/>
      <c r="L91" s="18"/>
      <c r="M91" s="19"/>
      <c r="N91" s="20"/>
    </row>
    <row r="92" spans="1:14" ht="15.75" customHeight="1">
      <c r="A92" s="26"/>
      <c r="B92" s="27" t="s">
        <v>49</v>
      </c>
      <c r="C92" s="40"/>
      <c r="D92" s="46"/>
      <c r="E92" s="40">
        <v>1</v>
      </c>
      <c r="F92" s="40"/>
      <c r="G92" s="40"/>
      <c r="H92" s="40"/>
      <c r="I92" s="30">
        <f>SUM(I86:I91)</f>
        <v>18467.956200000001</v>
      </c>
      <c r="J92" s="22"/>
      <c r="L92" s="18"/>
      <c r="M92" s="19"/>
      <c r="N92" s="20"/>
    </row>
    <row r="93" spans="1:14" ht="15.75" customHeight="1">
      <c r="A93" s="26"/>
      <c r="B93" s="45" t="s">
        <v>72</v>
      </c>
      <c r="C93" s="14"/>
      <c r="D93" s="14"/>
      <c r="E93" s="41"/>
      <c r="F93" s="41"/>
      <c r="G93" s="42"/>
      <c r="H93" s="42"/>
      <c r="I93" s="16">
        <v>0</v>
      </c>
      <c r="J93" s="22"/>
      <c r="L93" s="18"/>
      <c r="M93" s="19"/>
      <c r="N93" s="20"/>
    </row>
    <row r="94" spans="1:14" ht="15.75" customHeight="1">
      <c r="A94" s="47"/>
      <c r="B94" s="44" t="s">
        <v>142</v>
      </c>
      <c r="C94" s="33"/>
      <c r="D94" s="33"/>
      <c r="E94" s="33"/>
      <c r="F94" s="33"/>
      <c r="G94" s="33"/>
      <c r="H94" s="33"/>
      <c r="I94" s="43">
        <f>I84+I92</f>
        <v>80971.380396166671</v>
      </c>
      <c r="J94" s="22"/>
      <c r="L94" s="18"/>
      <c r="M94" s="19"/>
      <c r="N94" s="20"/>
    </row>
    <row r="95" spans="1:14" ht="15.75" customHeight="1">
      <c r="A95" s="167" t="s">
        <v>228</v>
      </c>
      <c r="B95" s="167"/>
      <c r="C95" s="167"/>
      <c r="D95" s="167"/>
      <c r="E95" s="167"/>
      <c r="F95" s="167"/>
      <c r="G95" s="167"/>
      <c r="H95" s="167"/>
      <c r="I95" s="167"/>
      <c r="J95" s="22"/>
      <c r="L95" s="18"/>
      <c r="M95" s="19"/>
      <c r="N95" s="20"/>
    </row>
    <row r="96" spans="1:14" ht="15.75" customHeight="1">
      <c r="A96" s="8"/>
      <c r="B96" s="181" t="s">
        <v>229</v>
      </c>
      <c r="C96" s="181"/>
      <c r="D96" s="181"/>
      <c r="E96" s="181"/>
      <c r="F96" s="181"/>
      <c r="G96" s="181"/>
      <c r="H96" s="83"/>
      <c r="I96" s="3"/>
      <c r="J96" s="22"/>
      <c r="L96" s="18"/>
      <c r="M96" s="19"/>
      <c r="N96" s="20"/>
    </row>
    <row r="97" spans="1:22" ht="15.75" customHeight="1">
      <c r="A97" s="85"/>
      <c r="B97" s="182" t="s">
        <v>5</v>
      </c>
      <c r="C97" s="182"/>
      <c r="D97" s="182"/>
      <c r="E97" s="182"/>
      <c r="F97" s="182"/>
      <c r="G97" s="182"/>
      <c r="H97" s="23"/>
      <c r="I97" s="5"/>
      <c r="J97" s="22"/>
      <c r="K97" s="22"/>
      <c r="L97" s="22"/>
      <c r="M97" s="19"/>
      <c r="N97" s="20"/>
    </row>
    <row r="98" spans="1:22" ht="15.75" customHeight="1">
      <c r="A98" s="9"/>
      <c r="B98" s="9"/>
      <c r="C98" s="9"/>
      <c r="D98" s="9"/>
      <c r="E98" s="9"/>
      <c r="F98" s="9"/>
      <c r="G98" s="9"/>
      <c r="H98" s="9"/>
      <c r="I98" s="9"/>
      <c r="J98" s="22"/>
      <c r="K98" s="22"/>
      <c r="L98" s="22"/>
      <c r="M98" s="19"/>
      <c r="N98" s="20"/>
    </row>
    <row r="99" spans="1:22" ht="15.75" customHeight="1">
      <c r="A99" s="183" t="s">
        <v>6</v>
      </c>
      <c r="B99" s="183"/>
      <c r="C99" s="183"/>
      <c r="D99" s="183"/>
      <c r="E99" s="183"/>
      <c r="F99" s="183"/>
      <c r="G99" s="183"/>
      <c r="H99" s="183"/>
      <c r="I99" s="183"/>
      <c r="J99" s="22"/>
      <c r="K99" s="22"/>
      <c r="L99" s="22"/>
    </row>
    <row r="100" spans="1:22" ht="15.75" customHeight="1">
      <c r="A100" s="183" t="s">
        <v>7</v>
      </c>
      <c r="B100" s="183"/>
      <c r="C100" s="183"/>
      <c r="D100" s="183"/>
      <c r="E100" s="183"/>
      <c r="F100" s="183"/>
      <c r="G100" s="183"/>
      <c r="H100" s="183"/>
      <c r="I100" s="183"/>
      <c r="J100" s="22"/>
      <c r="K100" s="22"/>
      <c r="L100" s="22"/>
    </row>
    <row r="101" spans="1:22" ht="15.75" customHeight="1">
      <c r="A101" s="167" t="s">
        <v>8</v>
      </c>
      <c r="B101" s="167"/>
      <c r="C101" s="167"/>
      <c r="D101" s="167"/>
      <c r="E101" s="167"/>
      <c r="F101" s="167"/>
      <c r="G101" s="167"/>
      <c r="H101" s="167"/>
      <c r="I101" s="167"/>
    </row>
    <row r="102" spans="1:22" ht="15.75" customHeight="1">
      <c r="A102" s="10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7"/>
    </row>
    <row r="103" spans="1:22" ht="15.75" customHeight="1">
      <c r="A103" s="185" t="s">
        <v>9</v>
      </c>
      <c r="B103" s="185"/>
      <c r="C103" s="185"/>
      <c r="D103" s="185"/>
      <c r="E103" s="185"/>
      <c r="F103" s="185"/>
      <c r="G103" s="185"/>
      <c r="H103" s="185"/>
      <c r="I103" s="185"/>
      <c r="J103" s="24"/>
      <c r="K103" s="24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2" ht="15.75" customHeight="1">
      <c r="A104" s="4"/>
      <c r="J104" s="3"/>
      <c r="K104" s="3"/>
      <c r="L104" s="3"/>
      <c r="M104" s="3"/>
      <c r="N104" s="3"/>
      <c r="O104" s="3"/>
      <c r="P104" s="3"/>
      <c r="Q104" s="3"/>
      <c r="S104" s="3"/>
      <c r="T104" s="3"/>
      <c r="U104" s="3"/>
    </row>
    <row r="105" spans="1:22" ht="15.75" customHeight="1">
      <c r="A105" s="167" t="s">
        <v>10</v>
      </c>
      <c r="B105" s="167"/>
      <c r="C105" s="186" t="s">
        <v>79</v>
      </c>
      <c r="D105" s="186"/>
      <c r="E105" s="186"/>
      <c r="F105" s="57"/>
      <c r="I105" s="88"/>
      <c r="J105" s="5"/>
      <c r="K105" s="5"/>
      <c r="L105" s="5"/>
      <c r="M105" s="5"/>
      <c r="N105" s="5"/>
      <c r="O105" s="5"/>
      <c r="P105" s="5"/>
      <c r="Q105" s="5"/>
      <c r="R105" s="187"/>
      <c r="S105" s="187"/>
      <c r="T105" s="187"/>
      <c r="U105" s="187"/>
    </row>
    <row r="106" spans="1:22" ht="15.75" customHeight="1">
      <c r="A106" s="85"/>
      <c r="C106" s="182" t="s">
        <v>11</v>
      </c>
      <c r="D106" s="182"/>
      <c r="E106" s="182"/>
      <c r="F106" s="23"/>
      <c r="I106" s="86" t="s">
        <v>12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2" ht="15.75" customHeight="1">
      <c r="A107" s="24"/>
      <c r="C107" s="11"/>
      <c r="D107" s="11"/>
      <c r="G107" s="11"/>
      <c r="H107" s="11"/>
    </row>
    <row r="108" spans="1:22" ht="15.75" customHeight="1">
      <c r="A108" s="167" t="s">
        <v>13</v>
      </c>
      <c r="B108" s="167"/>
      <c r="C108" s="188"/>
      <c r="D108" s="188"/>
      <c r="E108" s="188"/>
      <c r="F108" s="58"/>
      <c r="I108" s="88"/>
    </row>
    <row r="109" spans="1:22" ht="15.75" customHeight="1">
      <c r="A109" s="85"/>
      <c r="C109" s="187" t="s">
        <v>11</v>
      </c>
      <c r="D109" s="187"/>
      <c r="E109" s="187"/>
      <c r="F109" s="85"/>
      <c r="I109" s="86" t="s">
        <v>12</v>
      </c>
    </row>
    <row r="110" spans="1:22" ht="15.75" customHeight="1">
      <c r="A110" s="4" t="s">
        <v>14</v>
      </c>
    </row>
    <row r="111" spans="1:22" ht="15" customHeight="1">
      <c r="A111" s="189" t="s">
        <v>15</v>
      </c>
      <c r="B111" s="189"/>
      <c r="C111" s="189"/>
      <c r="D111" s="189"/>
      <c r="E111" s="189"/>
      <c r="F111" s="189"/>
      <c r="G111" s="189"/>
      <c r="H111" s="189"/>
      <c r="I111" s="189"/>
    </row>
    <row r="112" spans="1:22" ht="45" customHeight="1">
      <c r="A112" s="184" t="s">
        <v>16</v>
      </c>
      <c r="B112" s="184"/>
      <c r="C112" s="184"/>
      <c r="D112" s="184"/>
      <c r="E112" s="184"/>
      <c r="F112" s="184"/>
      <c r="G112" s="184"/>
      <c r="H112" s="184"/>
      <c r="I112" s="184"/>
    </row>
    <row r="113" spans="1:9" ht="30" customHeight="1">
      <c r="A113" s="184" t="s">
        <v>17</v>
      </c>
      <c r="B113" s="184"/>
      <c r="C113" s="184"/>
      <c r="D113" s="184"/>
      <c r="E113" s="184"/>
      <c r="F113" s="184"/>
      <c r="G113" s="184"/>
      <c r="H113" s="184"/>
      <c r="I113" s="184"/>
    </row>
    <row r="114" spans="1:9" ht="30" customHeight="1">
      <c r="A114" s="184" t="s">
        <v>21</v>
      </c>
      <c r="B114" s="184"/>
      <c r="C114" s="184"/>
      <c r="D114" s="184"/>
      <c r="E114" s="184"/>
      <c r="F114" s="184"/>
      <c r="G114" s="184"/>
      <c r="H114" s="184"/>
      <c r="I114" s="184"/>
    </row>
    <row r="115" spans="1:9" ht="15" customHeight="1">
      <c r="A115" s="184" t="s">
        <v>20</v>
      </c>
      <c r="B115" s="184"/>
      <c r="C115" s="184"/>
      <c r="D115" s="184"/>
      <c r="E115" s="184"/>
      <c r="F115" s="184"/>
      <c r="G115" s="184"/>
      <c r="H115" s="184"/>
      <c r="I115" s="184"/>
    </row>
  </sheetData>
  <autoFilter ref="I12:I101"/>
  <mergeCells count="31">
    <mergeCell ref="A115:I115"/>
    <mergeCell ref="A103:I103"/>
    <mergeCell ref="A105:B105"/>
    <mergeCell ref="C105:E105"/>
    <mergeCell ref="R105:U105"/>
    <mergeCell ref="C106:E106"/>
    <mergeCell ref="A108:B108"/>
    <mergeCell ref="C108:E108"/>
    <mergeCell ref="C109:E109"/>
    <mergeCell ref="A111:I111"/>
    <mergeCell ref="A112:I112"/>
    <mergeCell ref="A113:I113"/>
    <mergeCell ref="A114:I114"/>
    <mergeCell ref="A101:I101"/>
    <mergeCell ref="A15:I15"/>
    <mergeCell ref="A27:I27"/>
    <mergeCell ref="A42:I42"/>
    <mergeCell ref="A53:I53"/>
    <mergeCell ref="A81:I81"/>
    <mergeCell ref="A85:I85"/>
    <mergeCell ref="A95:I95"/>
    <mergeCell ref="B96:G96"/>
    <mergeCell ref="B97:G97"/>
    <mergeCell ref="A99:I99"/>
    <mergeCell ref="A100:I100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2"/>
  <sheetViews>
    <sheetView topLeftCell="A42" workbookViewId="0">
      <selection activeCell="B94" sqref="B94:G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56" t="s">
        <v>161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62" t="s">
        <v>126</v>
      </c>
      <c r="B3" s="162"/>
      <c r="C3" s="162"/>
      <c r="D3" s="162"/>
      <c r="E3" s="162"/>
      <c r="F3" s="162"/>
      <c r="G3" s="162"/>
      <c r="H3" s="162"/>
      <c r="I3" s="162"/>
      <c r="J3" s="2"/>
      <c r="K3" s="2"/>
      <c r="L3" s="2"/>
      <c r="M3" s="2"/>
    </row>
    <row r="4" spans="1:15" s="25" customFormat="1" ht="31.5" customHeight="1">
      <c r="A4" s="163" t="s">
        <v>82</v>
      </c>
      <c r="B4" s="163"/>
      <c r="C4" s="163"/>
      <c r="D4" s="163"/>
      <c r="E4" s="163"/>
      <c r="F4" s="163"/>
      <c r="G4" s="163"/>
      <c r="H4" s="163"/>
      <c r="I4" s="163"/>
      <c r="J4" s="3"/>
      <c r="K4" s="3"/>
      <c r="L4" s="3"/>
    </row>
    <row r="5" spans="1:15" s="25" customFormat="1" ht="15.75" customHeight="1">
      <c r="A5" s="162" t="s">
        <v>200</v>
      </c>
      <c r="B5" s="164"/>
      <c r="C5" s="164"/>
      <c r="D5" s="164"/>
      <c r="E5" s="164"/>
      <c r="F5" s="164"/>
      <c r="G5" s="164"/>
      <c r="H5" s="164"/>
      <c r="I5" s="164"/>
    </row>
    <row r="6" spans="1:15" s="25" customFormat="1" ht="15.75">
      <c r="A6" s="2"/>
      <c r="B6" s="84"/>
      <c r="C6" s="84"/>
      <c r="D6" s="84"/>
      <c r="E6" s="84"/>
      <c r="F6" s="84"/>
      <c r="G6" s="84"/>
      <c r="H6" s="84"/>
      <c r="I6" s="29">
        <v>43646</v>
      </c>
      <c r="J6" s="2"/>
      <c r="K6" s="2"/>
      <c r="L6" s="2"/>
      <c r="M6" s="2"/>
    </row>
    <row r="7" spans="1:15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65" t="s">
        <v>162</v>
      </c>
      <c r="B8" s="165"/>
      <c r="C8" s="165"/>
      <c r="D8" s="165"/>
      <c r="E8" s="165"/>
      <c r="F8" s="165"/>
      <c r="G8" s="165"/>
      <c r="H8" s="165"/>
      <c r="I8" s="16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66" t="s">
        <v>155</v>
      </c>
      <c r="B10" s="166"/>
      <c r="C10" s="166"/>
      <c r="D10" s="166"/>
      <c r="E10" s="166"/>
      <c r="F10" s="166"/>
      <c r="G10" s="166"/>
      <c r="H10" s="166"/>
      <c r="I10" s="166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132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59" t="s">
        <v>133</v>
      </c>
      <c r="B14" s="160"/>
      <c r="C14" s="160"/>
      <c r="D14" s="160"/>
      <c r="E14" s="160"/>
      <c r="F14" s="160"/>
      <c r="G14" s="160"/>
      <c r="H14" s="160"/>
      <c r="I14" s="160"/>
      <c r="J14" s="99"/>
      <c r="K14" s="99"/>
      <c r="L14" s="6"/>
      <c r="M14" s="6"/>
      <c r="N14" s="6"/>
      <c r="O14" s="6"/>
    </row>
    <row r="15" spans="1:15" ht="15.75" customHeight="1">
      <c r="A15" s="168" t="s">
        <v>3</v>
      </c>
      <c r="B15" s="169"/>
      <c r="C15" s="169"/>
      <c r="D15" s="169"/>
      <c r="E15" s="169"/>
      <c r="F15" s="169"/>
      <c r="G15" s="169"/>
      <c r="H15" s="169"/>
      <c r="I15" s="170"/>
      <c r="J15" s="6"/>
      <c r="K15" s="6"/>
      <c r="L15" s="6"/>
      <c r="M15" s="6"/>
    </row>
    <row r="16" spans="1:15" ht="15.75" customHeight="1">
      <c r="A16" s="26">
        <v>1</v>
      </c>
      <c r="B16" s="51" t="s">
        <v>77</v>
      </c>
      <c r="C16" s="59" t="s">
        <v>83</v>
      </c>
      <c r="D16" s="51" t="s">
        <v>203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80</v>
      </c>
      <c r="C17" s="59" t="s">
        <v>83</v>
      </c>
      <c r="D17" s="51" t="s">
        <v>204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81</v>
      </c>
      <c r="C18" s="59" t="s">
        <v>83</v>
      </c>
      <c r="D18" s="51" t="s">
        <v>205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84</v>
      </c>
      <c r="C19" s="59" t="s">
        <v>85</v>
      </c>
      <c r="D19" s="51" t="s">
        <v>86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5</v>
      </c>
      <c r="B20" s="51" t="s">
        <v>87</v>
      </c>
      <c r="C20" s="59" t="s">
        <v>83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6</v>
      </c>
      <c r="B21" s="51" t="s">
        <v>88</v>
      </c>
      <c r="C21" s="59" t="s">
        <v>83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89</v>
      </c>
      <c r="C22" s="59" t="s">
        <v>50</v>
      </c>
      <c r="D22" s="51" t="s">
        <v>86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90</v>
      </c>
      <c r="C23" s="59" t="s">
        <v>50</v>
      </c>
      <c r="D23" s="51" t="s">
        <v>86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91</v>
      </c>
      <c r="C24" s="59" t="s">
        <v>50</v>
      </c>
      <c r="D24" s="52" t="s">
        <v>86</v>
      </c>
      <c r="E24" s="17">
        <v>15</v>
      </c>
      <c r="F24" s="64">
        <f t="shared" si="2"/>
        <v>0.15</v>
      </c>
      <c r="G24" s="61">
        <v>511.12</v>
      </c>
      <c r="H24" s="62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92</v>
      </c>
      <c r="C25" s="59" t="s">
        <v>50</v>
      </c>
      <c r="D25" s="51" t="s">
        <v>86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202</v>
      </c>
      <c r="C26" s="39" t="s">
        <v>157</v>
      </c>
      <c r="D26" s="32" t="s">
        <v>206</v>
      </c>
      <c r="E26" s="157">
        <v>4.5999999999999996</v>
      </c>
      <c r="F26" s="31">
        <f>E26*258</f>
        <v>1186.8</v>
      </c>
      <c r="G26" s="31">
        <v>10.39</v>
      </c>
      <c r="H26" s="62">
        <f t="shared" ref="H26" si="5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68" t="s">
        <v>134</v>
      </c>
      <c r="B27" s="169"/>
      <c r="C27" s="169"/>
      <c r="D27" s="169"/>
      <c r="E27" s="169"/>
      <c r="F27" s="169"/>
      <c r="G27" s="169"/>
      <c r="H27" s="169"/>
      <c r="I27" s="170"/>
      <c r="J27" s="21"/>
      <c r="K27" s="6"/>
      <c r="L27" s="6"/>
      <c r="M27" s="6"/>
    </row>
    <row r="28" spans="1:13" ht="15.75" customHeight="1">
      <c r="A28" s="102"/>
      <c r="B28" s="55" t="s">
        <v>135</v>
      </c>
      <c r="C28" s="103"/>
      <c r="D28" s="103"/>
      <c r="E28" s="103"/>
      <c r="F28" s="103"/>
      <c r="G28" s="103"/>
      <c r="H28" s="103"/>
      <c r="I28" s="103"/>
      <c r="J28" s="21"/>
      <c r="K28" s="6"/>
      <c r="L28" s="6"/>
      <c r="M28" s="6"/>
    </row>
    <row r="29" spans="1:13" ht="15.75" customHeight="1">
      <c r="A29" s="100">
        <v>5</v>
      </c>
      <c r="B29" s="51" t="s">
        <v>136</v>
      </c>
      <c r="C29" s="59" t="s">
        <v>93</v>
      </c>
      <c r="D29" s="51" t="s">
        <v>204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3" si="6">SUM(F29*G29/1000)</f>
        <v>2.2346109759999999</v>
      </c>
      <c r="I29" s="12">
        <f>F29/6*G29</f>
        <v>372.43516266666666</v>
      </c>
      <c r="J29" s="21"/>
      <c r="K29" s="6"/>
      <c r="L29" s="6"/>
      <c r="M29" s="6"/>
    </row>
    <row r="30" spans="1:13" ht="31.5" customHeight="1">
      <c r="A30" s="26">
        <v>6</v>
      </c>
      <c r="B30" s="51" t="s">
        <v>137</v>
      </c>
      <c r="C30" s="59" t="s">
        <v>93</v>
      </c>
      <c r="D30" s="51" t="s">
        <v>203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6"/>
        <v>2.4341709599999999</v>
      </c>
      <c r="I30" s="12">
        <f t="shared" ref="I30" si="7">F30/6*G30</f>
        <v>405.69515999999999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93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si="6"/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/>
      <c r="B32" s="51" t="s">
        <v>60</v>
      </c>
      <c r="C32" s="59" t="s">
        <v>30</v>
      </c>
      <c r="D32" s="51" t="s">
        <v>61</v>
      </c>
      <c r="E32" s="60"/>
      <c r="F32" s="61">
        <v>1</v>
      </c>
      <c r="G32" s="61">
        <v>250.92</v>
      </c>
      <c r="H32" s="62">
        <f t="shared" si="6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5"/>
      <c r="B33" s="51" t="s">
        <v>104</v>
      </c>
      <c r="C33" s="59" t="s">
        <v>29</v>
      </c>
      <c r="D33" s="51" t="s">
        <v>61</v>
      </c>
      <c r="E33" s="60"/>
      <c r="F33" s="61">
        <v>1</v>
      </c>
      <c r="G33" s="61">
        <v>1490.31</v>
      </c>
      <c r="H33" s="62">
        <f t="shared" si="6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102"/>
      <c r="B34" s="55" t="s">
        <v>4</v>
      </c>
      <c r="C34" s="104"/>
      <c r="D34" s="104"/>
      <c r="E34" s="104"/>
      <c r="F34" s="104"/>
      <c r="G34" s="104"/>
      <c r="H34" s="104"/>
      <c r="I34" s="104"/>
      <c r="J34" s="21"/>
      <c r="K34" s="6"/>
      <c r="L34" s="6"/>
      <c r="M34" s="6"/>
    </row>
    <row r="35" spans="1:14" ht="15.75" hidden="1" customHeight="1">
      <c r="A35" s="100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8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143</v>
      </c>
      <c r="C36" s="59" t="s">
        <v>27</v>
      </c>
      <c r="D36" s="51" t="s">
        <v>105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106</v>
      </c>
      <c r="C37" s="59" t="s">
        <v>107</v>
      </c>
      <c r="D37" s="51" t="s">
        <v>61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9">F37/6*G37</f>
        <v>2072.1133333333332</v>
      </c>
      <c r="J37" s="21"/>
      <c r="K37" s="6"/>
    </row>
    <row r="38" spans="1:14" ht="15.75" hidden="1" customHeight="1">
      <c r="A38" s="26"/>
      <c r="B38" s="51" t="s">
        <v>62</v>
      </c>
      <c r="C38" s="59" t="s">
        <v>27</v>
      </c>
      <c r="D38" s="51" t="s">
        <v>108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8"/>
        <v>6.5598852000000001</v>
      </c>
      <c r="I38" s="12">
        <f t="shared" si="9"/>
        <v>1093.3141999999998</v>
      </c>
      <c r="J38" s="22"/>
    </row>
    <row r="39" spans="1:14" ht="48" hidden="1" customHeight="1">
      <c r="A39" s="26">
        <v>9</v>
      </c>
      <c r="B39" s="51" t="s">
        <v>76</v>
      </c>
      <c r="C39" s="59" t="s">
        <v>93</v>
      </c>
      <c r="D39" s="51" t="s">
        <v>144</v>
      </c>
      <c r="E39" s="61">
        <v>92</v>
      </c>
      <c r="F39" s="61">
        <f>SUM(E39*35/1000)</f>
        <v>3.22</v>
      </c>
      <c r="G39" s="61">
        <v>7611.16</v>
      </c>
      <c r="H39" s="62">
        <f t="shared" si="8"/>
        <v>24.507935199999999</v>
      </c>
      <c r="I39" s="12">
        <f t="shared" si="9"/>
        <v>4084.655866666667</v>
      </c>
      <c r="J39" s="22"/>
    </row>
    <row r="40" spans="1:14" ht="15.75" hidden="1" customHeight="1">
      <c r="A40" s="26">
        <v>10</v>
      </c>
      <c r="B40" s="51" t="s">
        <v>109</v>
      </c>
      <c r="C40" s="59" t="s">
        <v>93</v>
      </c>
      <c r="D40" s="51" t="s">
        <v>145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8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63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8"/>
        <v>0.79437600000000008</v>
      </c>
      <c r="I41" s="12">
        <f>F41/6*G41</f>
        <v>132.39600000000002</v>
      </c>
      <c r="J41" s="22"/>
    </row>
    <row r="42" spans="1:14" ht="15.75" customHeight="1">
      <c r="A42" s="171" t="s">
        <v>121</v>
      </c>
      <c r="B42" s="172"/>
      <c r="C42" s="172"/>
      <c r="D42" s="172"/>
      <c r="E42" s="172"/>
      <c r="F42" s="172"/>
      <c r="G42" s="172"/>
      <c r="H42" s="172"/>
      <c r="I42" s="173"/>
      <c r="J42" s="22"/>
      <c r="L42" s="18"/>
      <c r="M42" s="19"/>
      <c r="N42" s="20"/>
    </row>
    <row r="43" spans="1:14" ht="15.75" hidden="1" customHeight="1">
      <c r="A43" s="26">
        <v>17</v>
      </c>
      <c r="B43" s="32" t="s">
        <v>110</v>
      </c>
      <c r="C43" s="39" t="s">
        <v>93</v>
      </c>
      <c r="D43" s="32" t="s">
        <v>39</v>
      </c>
      <c r="E43" s="107">
        <v>1114.25</v>
      </c>
      <c r="F43" s="31">
        <f>SUM(E43*2/1000)</f>
        <v>2.2284999999999999</v>
      </c>
      <c r="G43" s="34">
        <v>1193.71</v>
      </c>
      <c r="H43" s="108">
        <f t="shared" ref="H43:H52" si="10">SUM(F43*G43/1000)</f>
        <v>2.6601827349999998</v>
      </c>
      <c r="I43" s="12">
        <f t="shared" ref="I43:I45" si="11">F43/2*G43</f>
        <v>1330.0913674999999</v>
      </c>
      <c r="J43" s="22"/>
      <c r="L43" s="18"/>
      <c r="M43" s="19"/>
      <c r="N43" s="20"/>
    </row>
    <row r="44" spans="1:14" ht="15.75" hidden="1" customHeight="1">
      <c r="A44" s="26">
        <v>18</v>
      </c>
      <c r="B44" s="32" t="s">
        <v>33</v>
      </c>
      <c r="C44" s="39" t="s">
        <v>93</v>
      </c>
      <c r="D44" s="32" t="s">
        <v>39</v>
      </c>
      <c r="E44" s="107">
        <v>2631</v>
      </c>
      <c r="F44" s="31">
        <f>SUM(E44*2/1000)</f>
        <v>5.2619999999999996</v>
      </c>
      <c r="G44" s="34">
        <v>1803.69</v>
      </c>
      <c r="H44" s="108">
        <f t="shared" si="10"/>
        <v>9.4910167800000007</v>
      </c>
      <c r="I44" s="12">
        <f t="shared" si="11"/>
        <v>4745.50839</v>
      </c>
      <c r="J44" s="22"/>
      <c r="L44" s="18"/>
      <c r="M44" s="19"/>
      <c r="N44" s="20"/>
    </row>
    <row r="45" spans="1:14" ht="15.75" hidden="1" customHeight="1">
      <c r="A45" s="26">
        <v>19</v>
      </c>
      <c r="B45" s="32" t="s">
        <v>34</v>
      </c>
      <c r="C45" s="39" t="s">
        <v>93</v>
      </c>
      <c r="D45" s="32" t="s">
        <v>39</v>
      </c>
      <c r="E45" s="107">
        <v>1953.8</v>
      </c>
      <c r="F45" s="31">
        <f>SUM(E45*2/1000)</f>
        <v>3.9076</v>
      </c>
      <c r="G45" s="34">
        <v>1243.43</v>
      </c>
      <c r="H45" s="108">
        <f t="shared" si="10"/>
        <v>4.8588270680000001</v>
      </c>
      <c r="I45" s="12">
        <f t="shared" si="11"/>
        <v>2429.4135340000003</v>
      </c>
      <c r="J45" s="22"/>
      <c r="L45" s="18"/>
      <c r="M45" s="19"/>
      <c r="N45" s="20"/>
    </row>
    <row r="46" spans="1:14" ht="15.75" hidden="1" customHeight="1">
      <c r="A46" s="26">
        <v>20</v>
      </c>
      <c r="B46" s="32" t="s">
        <v>31</v>
      </c>
      <c r="C46" s="39" t="s">
        <v>32</v>
      </c>
      <c r="D46" s="32" t="s">
        <v>39</v>
      </c>
      <c r="E46" s="107">
        <v>91.84</v>
      </c>
      <c r="F46" s="31">
        <f>SUM(E46*2/100)</f>
        <v>1.8368</v>
      </c>
      <c r="G46" s="109">
        <v>1172.4100000000001</v>
      </c>
      <c r="H46" s="108">
        <f t="shared" si="10"/>
        <v>2.153482688</v>
      </c>
      <c r="I46" s="12">
        <f>F46/2*G46</f>
        <v>1076.741344</v>
      </c>
      <c r="J46" s="22"/>
      <c r="L46" s="18"/>
      <c r="M46" s="19"/>
      <c r="N46" s="20"/>
    </row>
    <row r="47" spans="1:14" ht="15.75" hidden="1" customHeight="1">
      <c r="A47" s="26">
        <v>21</v>
      </c>
      <c r="B47" s="32" t="s">
        <v>54</v>
      </c>
      <c r="C47" s="39" t="s">
        <v>93</v>
      </c>
      <c r="D47" s="32" t="s">
        <v>141</v>
      </c>
      <c r="E47" s="107">
        <v>3181</v>
      </c>
      <c r="F47" s="31">
        <f>SUM(E47*5/1000)</f>
        <v>15.904999999999999</v>
      </c>
      <c r="G47" s="34">
        <v>1083.69</v>
      </c>
      <c r="H47" s="108">
        <f t="shared" si="10"/>
        <v>17.236089449999998</v>
      </c>
      <c r="I47" s="12">
        <f>F47/5*G47</f>
        <v>3447.2178900000004</v>
      </c>
      <c r="J47" s="22"/>
      <c r="L47" s="18"/>
      <c r="M47" s="19"/>
      <c r="N47" s="20"/>
    </row>
    <row r="48" spans="1:14" ht="31.5" hidden="1" customHeight="1">
      <c r="A48" s="26">
        <v>13</v>
      </c>
      <c r="B48" s="32" t="s">
        <v>111</v>
      </c>
      <c r="C48" s="39" t="s">
        <v>93</v>
      </c>
      <c r="D48" s="32" t="s">
        <v>39</v>
      </c>
      <c r="E48" s="107">
        <v>3181</v>
      </c>
      <c r="F48" s="31">
        <f>SUM(E48*2/1000)</f>
        <v>6.3620000000000001</v>
      </c>
      <c r="G48" s="34">
        <v>1591.6</v>
      </c>
      <c r="H48" s="108">
        <f t="shared" si="10"/>
        <v>10.125759200000001</v>
      </c>
      <c r="I48" s="12">
        <f>F48/2*G48</f>
        <v>5062.8796000000002</v>
      </c>
      <c r="J48" s="22"/>
      <c r="L48" s="18"/>
      <c r="M48" s="19"/>
      <c r="N48" s="20"/>
    </row>
    <row r="49" spans="1:14" ht="31.5" hidden="1" customHeight="1">
      <c r="A49" s="26">
        <v>13</v>
      </c>
      <c r="B49" s="32" t="s">
        <v>112</v>
      </c>
      <c r="C49" s="39" t="s">
        <v>35</v>
      </c>
      <c r="D49" s="32" t="s">
        <v>39</v>
      </c>
      <c r="E49" s="107">
        <v>20</v>
      </c>
      <c r="F49" s="31">
        <f>SUM(E49*2/100)</f>
        <v>0.4</v>
      </c>
      <c r="G49" s="34">
        <v>4058.32</v>
      </c>
      <c r="H49" s="108">
        <f t="shared" si="10"/>
        <v>1.6233280000000001</v>
      </c>
      <c r="I49" s="12">
        <f t="shared" ref="I49:I50" si="12">F49/2*G49</f>
        <v>811.6640000000001</v>
      </c>
      <c r="J49" s="22"/>
      <c r="L49" s="18"/>
      <c r="M49" s="19"/>
      <c r="N49" s="20"/>
    </row>
    <row r="50" spans="1:14" ht="15.75" hidden="1" customHeight="1">
      <c r="A50" s="26">
        <v>14</v>
      </c>
      <c r="B50" s="32" t="s">
        <v>36</v>
      </c>
      <c r="C50" s="39" t="s">
        <v>37</v>
      </c>
      <c r="D50" s="32" t="s">
        <v>39</v>
      </c>
      <c r="E50" s="107">
        <v>1</v>
      </c>
      <c r="F50" s="31">
        <v>0.02</v>
      </c>
      <c r="G50" s="34">
        <v>7412.92</v>
      </c>
      <c r="H50" s="108">
        <f t="shared" si="10"/>
        <v>0.14825839999999998</v>
      </c>
      <c r="I50" s="12">
        <f t="shared" si="12"/>
        <v>74.129199999999997</v>
      </c>
      <c r="J50" s="22"/>
      <c r="L50" s="18"/>
      <c r="M50" s="19"/>
      <c r="N50" s="20"/>
    </row>
    <row r="51" spans="1:14" ht="15.75" customHeight="1">
      <c r="A51" s="26">
        <v>7</v>
      </c>
      <c r="B51" s="32" t="s">
        <v>113</v>
      </c>
      <c r="C51" s="39" t="s">
        <v>94</v>
      </c>
      <c r="D51" s="158">
        <v>43623</v>
      </c>
      <c r="E51" s="107">
        <v>70</v>
      </c>
      <c r="F51" s="31">
        <f>E51*3</f>
        <v>210</v>
      </c>
      <c r="G51" s="34">
        <v>185.08</v>
      </c>
      <c r="H51" s="108">
        <f t="shared" si="10"/>
        <v>38.866800000000005</v>
      </c>
      <c r="I51" s="12">
        <f>E51*G51</f>
        <v>12955.6</v>
      </c>
      <c r="J51" s="22"/>
      <c r="L51" s="18"/>
      <c r="M51" s="19"/>
      <c r="N51" s="20"/>
    </row>
    <row r="52" spans="1:14" ht="15.75" customHeight="1">
      <c r="A52" s="26">
        <v>8</v>
      </c>
      <c r="B52" s="32" t="s">
        <v>38</v>
      </c>
      <c r="C52" s="39" t="s">
        <v>94</v>
      </c>
      <c r="D52" s="158">
        <v>43623</v>
      </c>
      <c r="E52" s="107">
        <v>140</v>
      </c>
      <c r="F52" s="31">
        <f>E52*3</f>
        <v>420</v>
      </c>
      <c r="G52" s="35">
        <v>86.15</v>
      </c>
      <c r="H52" s="108">
        <f t="shared" si="10"/>
        <v>36.183</v>
      </c>
      <c r="I52" s="12">
        <f>E52*G52</f>
        <v>12061</v>
      </c>
      <c r="J52" s="22"/>
      <c r="L52" s="18"/>
      <c r="M52" s="19"/>
      <c r="N52" s="20"/>
    </row>
    <row r="53" spans="1:14" ht="15.75" customHeight="1">
      <c r="A53" s="171" t="s">
        <v>122</v>
      </c>
      <c r="B53" s="174"/>
      <c r="C53" s="174"/>
      <c r="D53" s="174"/>
      <c r="E53" s="174"/>
      <c r="F53" s="174"/>
      <c r="G53" s="174"/>
      <c r="H53" s="174"/>
      <c r="I53" s="175"/>
      <c r="J53" s="22"/>
      <c r="L53" s="18"/>
      <c r="M53" s="19"/>
      <c r="N53" s="20"/>
    </row>
    <row r="54" spans="1:14" ht="15.75" hidden="1" customHeight="1">
      <c r="A54" s="26"/>
      <c r="B54" s="81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114</v>
      </c>
      <c r="C55" s="59" t="s">
        <v>83</v>
      </c>
      <c r="D55" s="51" t="s">
        <v>115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hidden="1" customHeight="1">
      <c r="A56" s="26"/>
      <c r="B56" s="70" t="s">
        <v>117</v>
      </c>
      <c r="C56" s="69" t="s">
        <v>118</v>
      </c>
      <c r="D56" s="13" t="s">
        <v>61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v>0</v>
      </c>
      <c r="J56" s="22"/>
      <c r="L56" s="18"/>
      <c r="M56" s="19"/>
      <c r="N56" s="20"/>
    </row>
    <row r="57" spans="1:14" ht="15.75" hidden="1" customHeight="1">
      <c r="A57" s="26"/>
      <c r="B57" s="82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/>
      <c r="B59" s="82" t="s">
        <v>43</v>
      </c>
      <c r="C59" s="69"/>
      <c r="D59" s="70"/>
      <c r="E59" s="71"/>
      <c r="F59" s="74"/>
      <c r="G59" s="74"/>
      <c r="H59" s="72" t="s">
        <v>102</v>
      </c>
      <c r="I59" s="12"/>
      <c r="J59" s="22"/>
      <c r="L59" s="18"/>
      <c r="M59" s="19"/>
      <c r="N59" s="20"/>
    </row>
    <row r="60" spans="1:14" ht="15.75" hidden="1" customHeight="1">
      <c r="A60" s="26">
        <v>9</v>
      </c>
      <c r="B60" s="13" t="s">
        <v>44</v>
      </c>
      <c r="C60" s="15" t="s">
        <v>94</v>
      </c>
      <c r="D60" s="13" t="s">
        <v>61</v>
      </c>
      <c r="E60" s="17">
        <v>4</v>
      </c>
      <c r="F60" s="61">
        <f>E60</f>
        <v>4</v>
      </c>
      <c r="G60" s="12">
        <v>291.68</v>
      </c>
      <c r="H60" s="75">
        <f t="shared" ref="H60:H68" si="13">SUM(F60*G60/1000)</f>
        <v>1.16672</v>
      </c>
      <c r="I60" s="12">
        <f>G60</f>
        <v>291.68</v>
      </c>
      <c r="J60" s="22"/>
      <c r="L60" s="18"/>
      <c r="M60" s="19"/>
      <c r="N60" s="20"/>
    </row>
    <row r="61" spans="1:14" ht="15.75" hidden="1" customHeight="1">
      <c r="A61" s="26">
        <v>17</v>
      </c>
      <c r="B61" s="13" t="s">
        <v>45</v>
      </c>
      <c r="C61" s="15" t="s">
        <v>94</v>
      </c>
      <c r="D61" s="13" t="s">
        <v>61</v>
      </c>
      <c r="E61" s="17">
        <v>4</v>
      </c>
      <c r="F61" s="61">
        <f>E61</f>
        <v>4</v>
      </c>
      <c r="G61" s="12">
        <v>100.01</v>
      </c>
      <c r="H61" s="75">
        <f t="shared" si="13"/>
        <v>0.40004000000000001</v>
      </c>
      <c r="I61" s="12">
        <v>0</v>
      </c>
      <c r="J61" s="22"/>
      <c r="L61" s="18"/>
      <c r="M61" s="19"/>
      <c r="N61" s="20"/>
    </row>
    <row r="62" spans="1:14" ht="15.75" hidden="1" customHeight="1">
      <c r="A62" s="26">
        <v>9</v>
      </c>
      <c r="B62" s="13" t="s">
        <v>46</v>
      </c>
      <c r="C62" s="15" t="s">
        <v>95</v>
      </c>
      <c r="D62" s="13"/>
      <c r="E62" s="60">
        <v>12702</v>
      </c>
      <c r="F62" s="12">
        <f>SUM(E62/100)</f>
        <v>127.02</v>
      </c>
      <c r="G62" s="12">
        <v>278.24</v>
      </c>
      <c r="H62" s="75">
        <f t="shared" si="13"/>
        <v>35.342044800000004</v>
      </c>
      <c r="I62" s="12">
        <f>F62*G62</f>
        <v>35342.044800000003</v>
      </c>
      <c r="J62" s="22"/>
      <c r="L62" s="18"/>
      <c r="M62" s="19"/>
      <c r="N62" s="20"/>
    </row>
    <row r="63" spans="1:14" ht="15.75" hidden="1" customHeight="1">
      <c r="A63" s="26">
        <v>10</v>
      </c>
      <c r="B63" s="13" t="s">
        <v>47</v>
      </c>
      <c r="C63" s="15" t="s">
        <v>96</v>
      </c>
      <c r="D63" s="13"/>
      <c r="E63" s="60">
        <v>12702</v>
      </c>
      <c r="F63" s="12">
        <f>SUM(E63/1000)</f>
        <v>12.702</v>
      </c>
      <c r="G63" s="12">
        <v>216.68</v>
      </c>
      <c r="H63" s="75">
        <f t="shared" si="13"/>
        <v>2.7522693600000001</v>
      </c>
      <c r="I63" s="12">
        <f t="shared" ref="I63:I66" si="14">F63*G63</f>
        <v>2752.2693600000002</v>
      </c>
      <c r="J63" s="22"/>
      <c r="L63" s="18"/>
      <c r="M63" s="19"/>
      <c r="N63" s="20"/>
    </row>
    <row r="64" spans="1:14" ht="15.75" hidden="1" customHeight="1">
      <c r="A64" s="26">
        <v>11</v>
      </c>
      <c r="B64" s="13" t="s">
        <v>48</v>
      </c>
      <c r="C64" s="15" t="s">
        <v>70</v>
      </c>
      <c r="D64" s="13"/>
      <c r="E64" s="60">
        <v>2200</v>
      </c>
      <c r="F64" s="12">
        <f>SUM(E64/100)</f>
        <v>22</v>
      </c>
      <c r="G64" s="12">
        <v>2720.94</v>
      </c>
      <c r="H64" s="75">
        <f t="shared" si="13"/>
        <v>59.860680000000002</v>
      </c>
      <c r="I64" s="12">
        <f t="shared" si="14"/>
        <v>59860.68</v>
      </c>
      <c r="J64" s="22"/>
      <c r="L64" s="18"/>
      <c r="M64" s="19"/>
      <c r="N64" s="20"/>
    </row>
    <row r="65" spans="1:14" ht="15.75" hidden="1" customHeight="1">
      <c r="A65" s="26">
        <v>12</v>
      </c>
      <c r="B65" s="76" t="s">
        <v>97</v>
      </c>
      <c r="C65" s="15" t="s">
        <v>30</v>
      </c>
      <c r="D65" s="13"/>
      <c r="E65" s="60">
        <v>9.6</v>
      </c>
      <c r="F65" s="12">
        <f>SUM(E65)</f>
        <v>9.6</v>
      </c>
      <c r="G65" s="12">
        <v>42.61</v>
      </c>
      <c r="H65" s="75">
        <f t="shared" si="13"/>
        <v>0.40905599999999998</v>
      </c>
      <c r="I65" s="12">
        <f t="shared" si="14"/>
        <v>409.05599999999998</v>
      </c>
      <c r="J65" s="22"/>
      <c r="L65" s="18"/>
      <c r="M65" s="19"/>
      <c r="N65" s="20"/>
    </row>
    <row r="66" spans="1:14" ht="15.75" hidden="1" customHeight="1">
      <c r="A66" s="26">
        <v>13</v>
      </c>
      <c r="B66" s="76" t="s">
        <v>98</v>
      </c>
      <c r="C66" s="15" t="s">
        <v>30</v>
      </c>
      <c r="D66" s="13"/>
      <c r="E66" s="60">
        <v>9.6</v>
      </c>
      <c r="F66" s="12">
        <f>SUM(E66)</f>
        <v>9.6</v>
      </c>
      <c r="G66" s="12">
        <v>46.04</v>
      </c>
      <c r="H66" s="75">
        <f t="shared" si="13"/>
        <v>0.44198399999999999</v>
      </c>
      <c r="I66" s="12">
        <f t="shared" si="14"/>
        <v>441.98399999999998</v>
      </c>
      <c r="J66" s="22"/>
      <c r="L66" s="18"/>
      <c r="M66" s="19"/>
      <c r="N66" s="20"/>
    </row>
    <row r="67" spans="1:14" ht="15.75" hidden="1" customHeight="1">
      <c r="A67" s="26"/>
      <c r="B67" s="13" t="s">
        <v>55</v>
      </c>
      <c r="C67" s="15" t="s">
        <v>56</v>
      </c>
      <c r="D67" s="13" t="s">
        <v>51</v>
      </c>
      <c r="E67" s="17">
        <v>4</v>
      </c>
      <c r="F67" s="12">
        <f>SUM(E67)</f>
        <v>4</v>
      </c>
      <c r="G67" s="12">
        <v>65.42</v>
      </c>
      <c r="H67" s="75">
        <f t="shared" si="13"/>
        <v>0.26168000000000002</v>
      </c>
      <c r="I67" s="12">
        <v>0</v>
      </c>
      <c r="J67" s="22"/>
      <c r="L67" s="18"/>
      <c r="M67" s="19"/>
      <c r="N67" s="20"/>
    </row>
    <row r="68" spans="1:14" ht="15.75" customHeight="1">
      <c r="A68" s="26">
        <v>9</v>
      </c>
      <c r="B68" s="13" t="s">
        <v>146</v>
      </c>
      <c r="C68" s="26" t="s">
        <v>147</v>
      </c>
      <c r="D68" s="13"/>
      <c r="E68" s="17">
        <v>3181</v>
      </c>
      <c r="F68" s="61">
        <f>SUM(E68)*12</f>
        <v>38172</v>
      </c>
      <c r="G68" s="12">
        <v>2.2799999999999998</v>
      </c>
      <c r="H68" s="75">
        <f t="shared" si="13"/>
        <v>87.03215999999999</v>
      </c>
      <c r="I68" s="12">
        <f>F68/12*G68</f>
        <v>7252.6799999999994</v>
      </c>
      <c r="J68" s="22"/>
      <c r="L68" s="18"/>
      <c r="M68" s="19"/>
      <c r="N68" s="20"/>
    </row>
    <row r="69" spans="1:14" ht="13.5" customHeight="1">
      <c r="A69" s="26"/>
      <c r="B69" s="55" t="s">
        <v>65</v>
      </c>
      <c r="C69" s="15"/>
      <c r="D69" s="13"/>
      <c r="E69" s="17"/>
      <c r="F69" s="12"/>
      <c r="G69" s="12"/>
      <c r="H69" s="75" t="s">
        <v>102</v>
      </c>
      <c r="I69" s="12"/>
      <c r="J69" s="22"/>
      <c r="L69" s="18"/>
      <c r="M69" s="19"/>
      <c r="N69" s="20"/>
    </row>
    <row r="70" spans="1:14" ht="26.25" hidden="1" customHeight="1">
      <c r="A70" s="26">
        <v>18</v>
      </c>
      <c r="B70" s="13" t="s">
        <v>148</v>
      </c>
      <c r="C70" s="15" t="s">
        <v>28</v>
      </c>
      <c r="D70" s="13" t="s">
        <v>61</v>
      </c>
      <c r="E70" s="17">
        <v>1</v>
      </c>
      <c r="F70" s="61">
        <f t="shared" ref="F70" si="15">E70</f>
        <v>1</v>
      </c>
      <c r="G70" s="12">
        <v>1543.4</v>
      </c>
      <c r="H70" s="75">
        <f>G70*F70/1000</f>
        <v>1.5434000000000001</v>
      </c>
      <c r="I70" s="12">
        <v>0</v>
      </c>
      <c r="J70" s="22"/>
      <c r="L70" s="18"/>
      <c r="M70" s="19"/>
      <c r="N70" s="20"/>
    </row>
    <row r="71" spans="1:14" ht="27.75" hidden="1" customHeight="1">
      <c r="A71" s="26"/>
      <c r="B71" s="50" t="s">
        <v>149</v>
      </c>
      <c r="C71" s="54" t="s">
        <v>94</v>
      </c>
      <c r="D71" s="13" t="s">
        <v>61</v>
      </c>
      <c r="E71" s="17">
        <v>1</v>
      </c>
      <c r="F71" s="61">
        <f>E71</f>
        <v>1</v>
      </c>
      <c r="G71" s="12">
        <v>130.96</v>
      </c>
      <c r="H71" s="75">
        <f>G71*F71/1000</f>
        <v>0.13096000000000002</v>
      </c>
      <c r="I71" s="12">
        <v>0</v>
      </c>
      <c r="J71" s="22"/>
      <c r="L71" s="18"/>
      <c r="M71" s="19"/>
      <c r="N71" s="20"/>
    </row>
    <row r="72" spans="1:14" ht="21" hidden="1" customHeight="1">
      <c r="A72" s="26"/>
      <c r="B72" s="13" t="s">
        <v>66</v>
      </c>
      <c r="C72" s="15" t="s">
        <v>68</v>
      </c>
      <c r="D72" s="13" t="s">
        <v>61</v>
      </c>
      <c r="E72" s="17">
        <v>3</v>
      </c>
      <c r="F72" s="61">
        <f>E72/10</f>
        <v>0.3</v>
      </c>
      <c r="G72" s="12">
        <v>657.87</v>
      </c>
      <c r="H72" s="75">
        <f t="shared" ref="H72:H75" si="16">SUM(F72*G72/1000)</f>
        <v>0.19736099999999998</v>
      </c>
      <c r="I72" s="12">
        <v>0</v>
      </c>
      <c r="J72" s="22"/>
      <c r="L72" s="18"/>
      <c r="M72" s="19"/>
      <c r="N72" s="20"/>
    </row>
    <row r="73" spans="1:14" ht="21" hidden="1" customHeight="1">
      <c r="A73" s="26"/>
      <c r="B73" s="13" t="s">
        <v>67</v>
      </c>
      <c r="C73" s="15" t="s">
        <v>28</v>
      </c>
      <c r="D73" s="13" t="s">
        <v>61</v>
      </c>
      <c r="E73" s="17">
        <v>1</v>
      </c>
      <c r="F73" s="61">
        <f>E73</f>
        <v>1</v>
      </c>
      <c r="G73" s="12">
        <v>1118.72</v>
      </c>
      <c r="H73" s="75">
        <f t="shared" si="16"/>
        <v>1.1187199999999999</v>
      </c>
      <c r="I73" s="12">
        <v>0</v>
      </c>
      <c r="J73" s="22"/>
      <c r="L73" s="18"/>
      <c r="M73" s="19"/>
      <c r="N73" s="20"/>
    </row>
    <row r="74" spans="1:14" ht="21.75" hidden="1" customHeight="1">
      <c r="A74" s="26"/>
      <c r="B74" s="50" t="s">
        <v>150</v>
      </c>
      <c r="C74" s="54" t="s">
        <v>94</v>
      </c>
      <c r="D74" s="13" t="s">
        <v>61</v>
      </c>
      <c r="E74" s="17">
        <v>1</v>
      </c>
      <c r="F74" s="61">
        <f>E74</f>
        <v>1</v>
      </c>
      <c r="G74" s="12">
        <v>1605.83</v>
      </c>
      <c r="H74" s="75">
        <f t="shared" si="16"/>
        <v>1.6058299999999999</v>
      </c>
      <c r="I74" s="12">
        <v>0</v>
      </c>
      <c r="J74" s="22"/>
      <c r="L74" s="18"/>
      <c r="M74" s="19"/>
      <c r="N74" s="20"/>
    </row>
    <row r="75" spans="1:14" ht="33" customHeight="1">
      <c r="A75" s="26">
        <v>10</v>
      </c>
      <c r="B75" s="50" t="s">
        <v>151</v>
      </c>
      <c r="C75" s="54" t="s">
        <v>94</v>
      </c>
      <c r="D75" s="13" t="s">
        <v>211</v>
      </c>
      <c r="E75" s="17">
        <v>2</v>
      </c>
      <c r="F75" s="61">
        <f>E75*12</f>
        <v>24</v>
      </c>
      <c r="G75" s="12">
        <v>53.42</v>
      </c>
      <c r="H75" s="75">
        <f t="shared" si="16"/>
        <v>1.2820799999999999</v>
      </c>
      <c r="I75" s="12">
        <f>G75*2</f>
        <v>106.84</v>
      </c>
      <c r="J75" s="22"/>
      <c r="L75" s="18"/>
      <c r="M75" s="19"/>
      <c r="N75" s="20"/>
    </row>
    <row r="76" spans="1:14" ht="27" hidden="1" customHeight="1">
      <c r="A76" s="26"/>
      <c r="B76" s="77" t="s">
        <v>69</v>
      </c>
      <c r="C76" s="15"/>
      <c r="D76" s="13"/>
      <c r="E76" s="17"/>
      <c r="F76" s="12"/>
      <c r="G76" s="12" t="s">
        <v>102</v>
      </c>
      <c r="H76" s="75" t="s">
        <v>102</v>
      </c>
      <c r="I76" s="12"/>
      <c r="J76" s="22"/>
      <c r="L76" s="18"/>
      <c r="M76" s="19"/>
      <c r="N76" s="20"/>
    </row>
    <row r="77" spans="1:14" ht="26.25" hidden="1" customHeight="1">
      <c r="A77" s="26"/>
      <c r="B77" s="45" t="s">
        <v>101</v>
      </c>
      <c r="C77" s="15" t="s">
        <v>70</v>
      </c>
      <c r="D77" s="13"/>
      <c r="E77" s="17"/>
      <c r="F77" s="12">
        <v>1</v>
      </c>
      <c r="G77" s="12">
        <v>3370.89</v>
      </c>
      <c r="H77" s="75">
        <f t="shared" ref="H77" si="17">SUM(F77*G77/1000)</f>
        <v>3.3708899999999997</v>
      </c>
      <c r="I77" s="12">
        <v>0</v>
      </c>
      <c r="J77" s="22"/>
      <c r="L77" s="18"/>
      <c r="M77" s="19"/>
      <c r="N77" s="20"/>
    </row>
    <row r="78" spans="1:14" ht="17.25" customHeight="1">
      <c r="A78" s="26"/>
      <c r="B78" s="55" t="s">
        <v>99</v>
      </c>
      <c r="C78" s="77"/>
      <c r="D78" s="27"/>
      <c r="E78" s="30"/>
      <c r="F78" s="66"/>
      <c r="G78" s="66"/>
      <c r="H78" s="78">
        <f>SUM(H55:H77)</f>
        <v>227.14633412000001</v>
      </c>
      <c r="I78" s="66"/>
      <c r="J78" s="22"/>
      <c r="L78" s="18"/>
      <c r="M78" s="19"/>
      <c r="N78" s="20"/>
    </row>
    <row r="79" spans="1:14" ht="19.5" hidden="1" customHeight="1">
      <c r="A79" s="105">
        <v>11</v>
      </c>
      <c r="B79" s="53" t="s">
        <v>100</v>
      </c>
      <c r="C79" s="110"/>
      <c r="D79" s="111"/>
      <c r="E79" s="111"/>
      <c r="F79" s="112">
        <v>1</v>
      </c>
      <c r="G79" s="112">
        <v>23195</v>
      </c>
      <c r="H79" s="113">
        <f>G79*F79/1000</f>
        <v>23.195</v>
      </c>
      <c r="I79" s="80">
        <v>4166</v>
      </c>
      <c r="J79" s="22"/>
      <c r="L79" s="18"/>
      <c r="M79" s="19"/>
      <c r="N79" s="20"/>
    </row>
    <row r="80" spans="1:14" ht="21" customHeight="1">
      <c r="A80" s="49">
        <v>11</v>
      </c>
      <c r="B80" s="114" t="s">
        <v>152</v>
      </c>
      <c r="C80" s="15"/>
      <c r="D80" s="13"/>
      <c r="E80" s="13"/>
      <c r="F80" s="12">
        <v>69</v>
      </c>
      <c r="G80" s="12">
        <v>20700</v>
      </c>
      <c r="H80" s="75">
        <f>G80*F80/1000</f>
        <v>1428.3</v>
      </c>
      <c r="I80" s="115">
        <f>G80*1</f>
        <v>20700</v>
      </c>
      <c r="J80" s="22"/>
      <c r="L80" s="18"/>
      <c r="M80" s="19"/>
      <c r="N80" s="20"/>
    </row>
    <row r="81" spans="1:14" ht="15.75" customHeight="1">
      <c r="A81" s="168" t="s">
        <v>123</v>
      </c>
      <c r="B81" s="176"/>
      <c r="C81" s="176"/>
      <c r="D81" s="176"/>
      <c r="E81" s="176"/>
      <c r="F81" s="176"/>
      <c r="G81" s="176"/>
      <c r="H81" s="176"/>
      <c r="I81" s="177"/>
      <c r="J81" s="22"/>
      <c r="L81" s="18"/>
      <c r="M81" s="19"/>
      <c r="N81" s="20"/>
    </row>
    <row r="82" spans="1:14" ht="15.75" customHeight="1">
      <c r="A82" s="100">
        <v>12</v>
      </c>
      <c r="B82" s="32" t="s">
        <v>116</v>
      </c>
      <c r="C82" s="37" t="s">
        <v>52</v>
      </c>
      <c r="D82" s="79" t="s">
        <v>53</v>
      </c>
      <c r="E82" s="34">
        <v>3181</v>
      </c>
      <c r="F82" s="34">
        <f>SUM(E82*12)</f>
        <v>38172</v>
      </c>
      <c r="G82" s="34">
        <v>3.1</v>
      </c>
      <c r="H82" s="106">
        <f>SUM(F82*G82/1000)</f>
        <v>118.33319999999999</v>
      </c>
      <c r="I82" s="101">
        <f>F82/12*G82</f>
        <v>9861.1</v>
      </c>
      <c r="J82" s="22"/>
      <c r="L82" s="18"/>
      <c r="M82" s="19"/>
      <c r="N82" s="20"/>
    </row>
    <row r="83" spans="1:14" ht="31.5" customHeight="1">
      <c r="A83" s="26">
        <v>13</v>
      </c>
      <c r="B83" s="13" t="s">
        <v>71</v>
      </c>
      <c r="C83" s="15"/>
      <c r="D83" s="79" t="s">
        <v>53</v>
      </c>
      <c r="E83" s="60">
        <v>3181</v>
      </c>
      <c r="F83" s="12">
        <f>E83*12</f>
        <v>38172</v>
      </c>
      <c r="G83" s="12">
        <v>3.5</v>
      </c>
      <c r="H83" s="75">
        <f>F83*G83/1000</f>
        <v>133.602</v>
      </c>
      <c r="I83" s="12">
        <f>F83/12*G83</f>
        <v>11133.5</v>
      </c>
      <c r="J83" s="22"/>
      <c r="L83" s="18"/>
      <c r="M83" s="19"/>
      <c r="N83" s="20"/>
    </row>
    <row r="84" spans="1:14" ht="15.75" customHeight="1">
      <c r="A84" s="49"/>
      <c r="B84" s="38" t="s">
        <v>74</v>
      </c>
      <c r="C84" s="15"/>
      <c r="D84" s="45"/>
      <c r="E84" s="12"/>
      <c r="F84" s="12"/>
      <c r="G84" s="12"/>
      <c r="H84" s="75">
        <f>H83</f>
        <v>133.602</v>
      </c>
      <c r="I84" s="66">
        <f>I83+I82+I75+I68+I52+I51+I30+I29+I26+I18+I17+I16+I80</f>
        <v>86400.227942666665</v>
      </c>
      <c r="J84" s="22"/>
      <c r="L84" s="18"/>
      <c r="M84" s="19"/>
      <c r="N84" s="20"/>
    </row>
    <row r="85" spans="1:14" ht="15.75" customHeight="1">
      <c r="A85" s="178" t="s">
        <v>57</v>
      </c>
      <c r="B85" s="179"/>
      <c r="C85" s="179"/>
      <c r="D85" s="179"/>
      <c r="E85" s="179"/>
      <c r="F85" s="179"/>
      <c r="G85" s="179"/>
      <c r="H85" s="179"/>
      <c r="I85" s="180"/>
      <c r="J85" s="22"/>
      <c r="L85" s="18"/>
      <c r="M85" s="19"/>
      <c r="N85" s="20"/>
    </row>
    <row r="86" spans="1:14" ht="15.75" customHeight="1">
      <c r="A86" s="49">
        <v>14</v>
      </c>
      <c r="B86" s="70" t="s">
        <v>156</v>
      </c>
      <c r="C86" s="69" t="s">
        <v>157</v>
      </c>
      <c r="D86" s="70"/>
      <c r="E86" s="71"/>
      <c r="F86" s="74">
        <v>96</v>
      </c>
      <c r="G86" s="56">
        <v>1.4</v>
      </c>
      <c r="H86" s="72">
        <f>F86*G86/1000</f>
        <v>0.13439999999999996</v>
      </c>
      <c r="I86" s="12">
        <f>G86*48</f>
        <v>67.199999999999989</v>
      </c>
      <c r="J86" s="22"/>
      <c r="L86" s="18"/>
      <c r="M86" s="19"/>
      <c r="N86" s="20"/>
    </row>
    <row r="87" spans="1:14" ht="31.5" customHeight="1">
      <c r="A87" s="49">
        <v>15</v>
      </c>
      <c r="B87" s="122" t="s">
        <v>119</v>
      </c>
      <c r="C87" s="123" t="s">
        <v>35</v>
      </c>
      <c r="D87" s="13"/>
      <c r="E87" s="17"/>
      <c r="F87" s="12"/>
      <c r="G87" s="34">
        <v>3914.31</v>
      </c>
      <c r="H87" s="75"/>
      <c r="I87" s="80">
        <f>G87*0.01</f>
        <v>39.143099999999997</v>
      </c>
      <c r="J87" s="22"/>
      <c r="L87" s="18"/>
      <c r="M87" s="19"/>
      <c r="N87" s="20"/>
    </row>
    <row r="88" spans="1:14" ht="18" customHeight="1">
      <c r="A88" s="26">
        <v>16</v>
      </c>
      <c r="B88" s="122" t="s">
        <v>197</v>
      </c>
      <c r="C88" s="123" t="s">
        <v>198</v>
      </c>
      <c r="D88" s="13"/>
      <c r="E88" s="17"/>
      <c r="F88" s="12">
        <v>1</v>
      </c>
      <c r="G88" s="34">
        <v>24628.49</v>
      </c>
      <c r="H88" s="75">
        <f>G88*F88/1000</f>
        <v>24.628490000000003</v>
      </c>
      <c r="I88" s="80">
        <f>G88*0.045</f>
        <v>1108.28205</v>
      </c>
      <c r="J88" s="22"/>
      <c r="L88" s="18"/>
      <c r="M88" s="19"/>
      <c r="N88" s="20"/>
    </row>
    <row r="89" spans="1:14" ht="15.75" customHeight="1">
      <c r="A89" s="26"/>
      <c r="B89" s="27" t="s">
        <v>49</v>
      </c>
      <c r="C89" s="40"/>
      <c r="D89" s="46"/>
      <c r="E89" s="40">
        <v>1</v>
      </c>
      <c r="F89" s="40"/>
      <c r="G89" s="40"/>
      <c r="H89" s="40"/>
      <c r="I89" s="30">
        <f>SUM(I86:I88)</f>
        <v>1214.6251500000001</v>
      </c>
      <c r="J89" s="22"/>
      <c r="L89" s="18"/>
      <c r="M89" s="19"/>
      <c r="N89" s="20"/>
    </row>
    <row r="90" spans="1:14" ht="15.75" customHeight="1">
      <c r="A90" s="26"/>
      <c r="B90" s="45" t="s">
        <v>72</v>
      </c>
      <c r="C90" s="14"/>
      <c r="D90" s="14"/>
      <c r="E90" s="41"/>
      <c r="F90" s="41"/>
      <c r="G90" s="42"/>
      <c r="H90" s="42"/>
      <c r="I90" s="16">
        <v>0</v>
      </c>
      <c r="J90" s="22"/>
      <c r="L90" s="18"/>
      <c r="M90" s="19"/>
      <c r="N90" s="20"/>
    </row>
    <row r="91" spans="1:14" ht="15.75" customHeight="1">
      <c r="A91" s="47"/>
      <c r="B91" s="44" t="s">
        <v>142</v>
      </c>
      <c r="C91" s="33"/>
      <c r="D91" s="33"/>
      <c r="E91" s="33"/>
      <c r="F91" s="33"/>
      <c r="G91" s="33"/>
      <c r="H91" s="33"/>
      <c r="I91" s="43">
        <f>I84+I89</f>
        <v>87614.853092666672</v>
      </c>
      <c r="J91" s="22"/>
      <c r="L91" s="18"/>
      <c r="M91" s="19"/>
      <c r="N91" s="20"/>
    </row>
    <row r="92" spans="1:14" ht="15.75" customHeight="1">
      <c r="A92" s="167" t="s">
        <v>230</v>
      </c>
      <c r="B92" s="167"/>
      <c r="C92" s="167"/>
      <c r="D92" s="167"/>
      <c r="E92" s="167"/>
      <c r="F92" s="167"/>
      <c r="G92" s="167"/>
      <c r="H92" s="167"/>
      <c r="I92" s="167"/>
      <c r="J92" s="22"/>
      <c r="L92" s="18"/>
      <c r="M92" s="19"/>
      <c r="N92" s="20"/>
    </row>
    <row r="93" spans="1:14" ht="15.75" customHeight="1">
      <c r="A93" s="8"/>
      <c r="B93" s="181" t="s">
        <v>231</v>
      </c>
      <c r="C93" s="181"/>
      <c r="D93" s="181"/>
      <c r="E93" s="181"/>
      <c r="F93" s="181"/>
      <c r="G93" s="181"/>
      <c r="H93" s="83"/>
      <c r="I93" s="3"/>
      <c r="J93" s="22"/>
      <c r="L93" s="18"/>
      <c r="M93" s="19"/>
      <c r="N93" s="20"/>
    </row>
    <row r="94" spans="1:14" ht="15.75" customHeight="1">
      <c r="A94" s="85"/>
      <c r="B94" s="182" t="s">
        <v>5</v>
      </c>
      <c r="C94" s="182"/>
      <c r="D94" s="182"/>
      <c r="E94" s="182"/>
      <c r="F94" s="182"/>
      <c r="G94" s="182"/>
      <c r="H94" s="23"/>
      <c r="I94" s="5"/>
      <c r="J94" s="22"/>
      <c r="K94" s="22"/>
      <c r="L94" s="22"/>
      <c r="M94" s="19"/>
      <c r="N94" s="20"/>
    </row>
    <row r="95" spans="1:14" ht="15.75" customHeight="1">
      <c r="A95" s="9"/>
      <c r="B95" s="9"/>
      <c r="C95" s="9"/>
      <c r="D95" s="9"/>
      <c r="E95" s="9"/>
      <c r="F95" s="9"/>
      <c r="G95" s="9"/>
      <c r="H95" s="9"/>
      <c r="I95" s="9"/>
      <c r="J95" s="22"/>
      <c r="K95" s="22"/>
      <c r="L95" s="22"/>
      <c r="M95" s="19"/>
      <c r="N95" s="20"/>
    </row>
    <row r="96" spans="1:14" ht="15.75" customHeight="1">
      <c r="A96" s="183" t="s">
        <v>6</v>
      </c>
      <c r="B96" s="183"/>
      <c r="C96" s="183"/>
      <c r="D96" s="183"/>
      <c r="E96" s="183"/>
      <c r="F96" s="183"/>
      <c r="G96" s="183"/>
      <c r="H96" s="183"/>
      <c r="I96" s="183"/>
      <c r="J96" s="22"/>
      <c r="K96" s="22"/>
      <c r="L96" s="22"/>
    </row>
    <row r="97" spans="1:22" ht="15.75" customHeight="1">
      <c r="A97" s="183" t="s">
        <v>7</v>
      </c>
      <c r="B97" s="183"/>
      <c r="C97" s="183"/>
      <c r="D97" s="183"/>
      <c r="E97" s="183"/>
      <c r="F97" s="183"/>
      <c r="G97" s="183"/>
      <c r="H97" s="183"/>
      <c r="I97" s="183"/>
      <c r="J97" s="22"/>
      <c r="K97" s="22"/>
      <c r="L97" s="22"/>
    </row>
    <row r="98" spans="1:22" ht="15.75" customHeight="1">
      <c r="A98" s="167" t="s">
        <v>8</v>
      </c>
      <c r="B98" s="167"/>
      <c r="C98" s="167"/>
      <c r="D98" s="167"/>
      <c r="E98" s="167"/>
      <c r="F98" s="167"/>
      <c r="G98" s="167"/>
      <c r="H98" s="167"/>
      <c r="I98" s="167"/>
    </row>
    <row r="99" spans="1:22" ht="15.75" customHeight="1">
      <c r="A99" s="10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7"/>
    </row>
    <row r="100" spans="1:22" ht="15.75" customHeight="1">
      <c r="A100" s="185" t="s">
        <v>9</v>
      </c>
      <c r="B100" s="185"/>
      <c r="C100" s="185"/>
      <c r="D100" s="185"/>
      <c r="E100" s="185"/>
      <c r="F100" s="185"/>
      <c r="G100" s="185"/>
      <c r="H100" s="185"/>
      <c r="I100" s="185"/>
      <c r="J100" s="24"/>
      <c r="K100" s="24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2" ht="15.75" customHeight="1">
      <c r="A101" s="4"/>
      <c r="J101" s="3"/>
      <c r="K101" s="3"/>
      <c r="L101" s="3"/>
      <c r="M101" s="3"/>
      <c r="N101" s="3"/>
      <c r="O101" s="3"/>
      <c r="P101" s="3"/>
      <c r="Q101" s="3"/>
      <c r="S101" s="3"/>
      <c r="T101" s="3"/>
      <c r="U101" s="3"/>
    </row>
    <row r="102" spans="1:22" ht="15.75" customHeight="1">
      <c r="A102" s="167" t="s">
        <v>10</v>
      </c>
      <c r="B102" s="167"/>
      <c r="C102" s="186" t="s">
        <v>79</v>
      </c>
      <c r="D102" s="186"/>
      <c r="E102" s="186"/>
      <c r="F102" s="57"/>
      <c r="I102" s="88"/>
      <c r="J102" s="5"/>
      <c r="K102" s="5"/>
      <c r="L102" s="5"/>
      <c r="M102" s="5"/>
      <c r="N102" s="5"/>
      <c r="O102" s="5"/>
      <c r="P102" s="5"/>
      <c r="Q102" s="5"/>
      <c r="R102" s="187"/>
      <c r="S102" s="187"/>
      <c r="T102" s="187"/>
      <c r="U102" s="187"/>
    </row>
    <row r="103" spans="1:22" ht="15.75" customHeight="1">
      <c r="A103" s="85"/>
      <c r="C103" s="182" t="s">
        <v>11</v>
      </c>
      <c r="D103" s="182"/>
      <c r="E103" s="182"/>
      <c r="F103" s="23"/>
      <c r="I103" s="86" t="s">
        <v>12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2" ht="15.75" customHeight="1">
      <c r="A104" s="24"/>
      <c r="C104" s="11"/>
      <c r="D104" s="11"/>
      <c r="G104" s="11"/>
      <c r="H104" s="11"/>
    </row>
    <row r="105" spans="1:22" ht="15.75" customHeight="1">
      <c r="A105" s="167" t="s">
        <v>13</v>
      </c>
      <c r="B105" s="167"/>
      <c r="C105" s="188"/>
      <c r="D105" s="188"/>
      <c r="E105" s="188"/>
      <c r="F105" s="58"/>
      <c r="I105" s="88"/>
    </row>
    <row r="106" spans="1:22" ht="15.75" customHeight="1">
      <c r="A106" s="85"/>
      <c r="C106" s="187" t="s">
        <v>11</v>
      </c>
      <c r="D106" s="187"/>
      <c r="E106" s="187"/>
      <c r="F106" s="85"/>
      <c r="I106" s="86" t="s">
        <v>12</v>
      </c>
    </row>
    <row r="107" spans="1:22" ht="15.75" customHeight="1">
      <c r="A107" s="4" t="s">
        <v>14</v>
      </c>
    </row>
    <row r="108" spans="1:22" ht="15" customHeight="1">
      <c r="A108" s="189" t="s">
        <v>15</v>
      </c>
      <c r="B108" s="189"/>
      <c r="C108" s="189"/>
      <c r="D108" s="189"/>
      <c r="E108" s="189"/>
      <c r="F108" s="189"/>
      <c r="G108" s="189"/>
      <c r="H108" s="189"/>
      <c r="I108" s="189"/>
    </row>
    <row r="109" spans="1:22" ht="45" customHeight="1">
      <c r="A109" s="184" t="s">
        <v>16</v>
      </c>
      <c r="B109" s="184"/>
      <c r="C109" s="184"/>
      <c r="D109" s="184"/>
      <c r="E109" s="184"/>
      <c r="F109" s="184"/>
      <c r="G109" s="184"/>
      <c r="H109" s="184"/>
      <c r="I109" s="184"/>
    </row>
    <row r="110" spans="1:22" ht="30" customHeight="1">
      <c r="A110" s="184" t="s">
        <v>17</v>
      </c>
      <c r="B110" s="184"/>
      <c r="C110" s="184"/>
      <c r="D110" s="184"/>
      <c r="E110" s="184"/>
      <c r="F110" s="184"/>
      <c r="G110" s="184"/>
      <c r="H110" s="184"/>
      <c r="I110" s="184"/>
    </row>
    <row r="111" spans="1:22" ht="30" customHeight="1">
      <c r="A111" s="184" t="s">
        <v>21</v>
      </c>
      <c r="B111" s="184"/>
      <c r="C111" s="184"/>
      <c r="D111" s="184"/>
      <c r="E111" s="184"/>
      <c r="F111" s="184"/>
      <c r="G111" s="184"/>
      <c r="H111" s="184"/>
      <c r="I111" s="184"/>
    </row>
    <row r="112" spans="1:22" ht="15" customHeight="1">
      <c r="A112" s="184" t="s">
        <v>20</v>
      </c>
      <c r="B112" s="184"/>
      <c r="C112" s="184"/>
      <c r="D112" s="184"/>
      <c r="E112" s="184"/>
      <c r="F112" s="184"/>
      <c r="G112" s="184"/>
      <c r="H112" s="184"/>
      <c r="I112" s="184"/>
    </row>
  </sheetData>
  <autoFilter ref="I12:I98"/>
  <mergeCells count="31">
    <mergeCell ref="A112:I112"/>
    <mergeCell ref="A100:I100"/>
    <mergeCell ref="A102:B102"/>
    <mergeCell ref="C102:E102"/>
    <mergeCell ref="R102:U102"/>
    <mergeCell ref="C103:E103"/>
    <mergeCell ref="A105:B105"/>
    <mergeCell ref="C105:E105"/>
    <mergeCell ref="C106:E106"/>
    <mergeCell ref="A108:I108"/>
    <mergeCell ref="A109:I109"/>
    <mergeCell ref="A110:I110"/>
    <mergeCell ref="A111:I111"/>
    <mergeCell ref="A98:I98"/>
    <mergeCell ref="A15:I15"/>
    <mergeCell ref="A27:I27"/>
    <mergeCell ref="A42:I42"/>
    <mergeCell ref="A53:I53"/>
    <mergeCell ref="A81:I81"/>
    <mergeCell ref="A85:I85"/>
    <mergeCell ref="A92:I92"/>
    <mergeCell ref="B93:G93"/>
    <mergeCell ref="B94:G94"/>
    <mergeCell ref="A96:I96"/>
    <mergeCell ref="A97:I97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B29" sqref="B29:I3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1" t="s">
        <v>161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62" t="s">
        <v>127</v>
      </c>
      <c r="B3" s="162"/>
      <c r="C3" s="162"/>
      <c r="D3" s="162"/>
      <c r="E3" s="162"/>
      <c r="F3" s="162"/>
      <c r="G3" s="162"/>
      <c r="H3" s="162"/>
      <c r="I3" s="162"/>
      <c r="J3" s="2"/>
      <c r="K3" s="2"/>
      <c r="L3" s="2"/>
      <c r="M3" s="2"/>
    </row>
    <row r="4" spans="1:15" s="25" customFormat="1" ht="31.5" customHeight="1">
      <c r="A4" s="163" t="s">
        <v>82</v>
      </c>
      <c r="B4" s="163"/>
      <c r="C4" s="163"/>
      <c r="D4" s="163"/>
      <c r="E4" s="163"/>
      <c r="F4" s="163"/>
      <c r="G4" s="163"/>
      <c r="H4" s="163"/>
      <c r="I4" s="163"/>
      <c r="J4" s="3"/>
      <c r="K4" s="3"/>
      <c r="L4" s="3"/>
    </row>
    <row r="5" spans="1:15" s="25" customFormat="1" ht="15.75" customHeight="1">
      <c r="A5" s="162" t="s">
        <v>232</v>
      </c>
      <c r="B5" s="164"/>
      <c r="C5" s="164"/>
      <c r="D5" s="164"/>
      <c r="E5" s="164"/>
      <c r="F5" s="164"/>
      <c r="G5" s="164"/>
      <c r="H5" s="164"/>
      <c r="I5" s="164"/>
    </row>
    <row r="6" spans="1:15" s="25" customFormat="1" ht="15.75">
      <c r="A6" s="2"/>
      <c r="B6" s="84"/>
      <c r="C6" s="84"/>
      <c r="D6" s="84"/>
      <c r="E6" s="84"/>
      <c r="F6" s="84"/>
      <c r="G6" s="84"/>
      <c r="H6" s="84"/>
      <c r="I6" s="29">
        <v>43677</v>
      </c>
      <c r="J6" s="2"/>
      <c r="K6" s="2"/>
      <c r="L6" s="2"/>
      <c r="M6" s="2"/>
    </row>
    <row r="7" spans="1:15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65" t="s">
        <v>162</v>
      </c>
      <c r="B8" s="165"/>
      <c r="C8" s="165"/>
      <c r="D8" s="165"/>
      <c r="E8" s="165"/>
      <c r="F8" s="165"/>
      <c r="G8" s="165"/>
      <c r="H8" s="165"/>
      <c r="I8" s="16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66" t="s">
        <v>155</v>
      </c>
      <c r="B10" s="166"/>
      <c r="C10" s="166"/>
      <c r="D10" s="166"/>
      <c r="E10" s="166"/>
      <c r="F10" s="166"/>
      <c r="G10" s="166"/>
      <c r="H10" s="166"/>
      <c r="I10" s="166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132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59" t="s">
        <v>133</v>
      </c>
      <c r="B14" s="160"/>
      <c r="C14" s="160"/>
      <c r="D14" s="160"/>
      <c r="E14" s="160"/>
      <c r="F14" s="160"/>
      <c r="G14" s="160"/>
      <c r="H14" s="160"/>
      <c r="I14" s="160"/>
      <c r="J14" s="99"/>
      <c r="K14" s="99"/>
      <c r="L14" s="6"/>
      <c r="M14" s="6"/>
      <c r="N14" s="6"/>
      <c r="O14" s="6"/>
    </row>
    <row r="15" spans="1:15" ht="15.75" customHeight="1">
      <c r="A15" s="168" t="s">
        <v>3</v>
      </c>
      <c r="B15" s="169"/>
      <c r="C15" s="169"/>
      <c r="D15" s="169"/>
      <c r="E15" s="169"/>
      <c r="F15" s="169"/>
      <c r="G15" s="169"/>
      <c r="H15" s="169"/>
      <c r="I15" s="170"/>
      <c r="J15" s="6"/>
      <c r="K15" s="6"/>
      <c r="L15" s="6"/>
      <c r="M15" s="6"/>
    </row>
    <row r="16" spans="1:15" ht="15.75" customHeight="1">
      <c r="A16" s="26">
        <v>1</v>
      </c>
      <c r="B16" s="51" t="s">
        <v>77</v>
      </c>
      <c r="C16" s="59" t="s">
        <v>83</v>
      </c>
      <c r="D16" s="51" t="s">
        <v>203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80</v>
      </c>
      <c r="C17" s="59" t="s">
        <v>83</v>
      </c>
      <c r="D17" s="51" t="s">
        <v>204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81</v>
      </c>
      <c r="C18" s="59" t="s">
        <v>83</v>
      </c>
      <c r="D18" s="51" t="s">
        <v>205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84</v>
      </c>
      <c r="C19" s="59" t="s">
        <v>85</v>
      </c>
      <c r="D19" s="51" t="s">
        <v>86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5</v>
      </c>
      <c r="B20" s="51" t="s">
        <v>87</v>
      </c>
      <c r="C20" s="59" t="s">
        <v>83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6</v>
      </c>
      <c r="B21" s="51" t="s">
        <v>88</v>
      </c>
      <c r="C21" s="59" t="s">
        <v>83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89</v>
      </c>
      <c r="C22" s="59" t="s">
        <v>50</v>
      </c>
      <c r="D22" s="51" t="s">
        <v>86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90</v>
      </c>
      <c r="C23" s="59" t="s">
        <v>50</v>
      </c>
      <c r="D23" s="51" t="s">
        <v>86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91</v>
      </c>
      <c r="C24" s="59" t="s">
        <v>50</v>
      </c>
      <c r="D24" s="52" t="s">
        <v>86</v>
      </c>
      <c r="E24" s="17">
        <v>15</v>
      </c>
      <c r="F24" s="64">
        <f t="shared" si="2"/>
        <v>0.15</v>
      </c>
      <c r="G24" s="61">
        <v>511.12</v>
      </c>
      <c r="H24" s="62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92</v>
      </c>
      <c r="C25" s="59" t="s">
        <v>50</v>
      </c>
      <c r="D25" s="51" t="s">
        <v>86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202</v>
      </c>
      <c r="C26" s="39" t="s">
        <v>157</v>
      </c>
      <c r="D26" s="32" t="s">
        <v>206</v>
      </c>
      <c r="E26" s="157">
        <v>4.5999999999999996</v>
      </c>
      <c r="F26" s="31">
        <f>E26*258</f>
        <v>1186.8</v>
      </c>
      <c r="G26" s="31">
        <v>10.39</v>
      </c>
      <c r="H26" s="62">
        <f t="shared" ref="H26" si="5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68" t="s">
        <v>134</v>
      </c>
      <c r="B27" s="169"/>
      <c r="C27" s="169"/>
      <c r="D27" s="169"/>
      <c r="E27" s="169"/>
      <c r="F27" s="169"/>
      <c r="G27" s="169"/>
      <c r="H27" s="169"/>
      <c r="I27" s="170"/>
      <c r="J27" s="21"/>
      <c r="K27" s="6"/>
      <c r="L27" s="6"/>
      <c r="M27" s="6"/>
    </row>
    <row r="28" spans="1:13" ht="15.75" customHeight="1">
      <c r="A28" s="102"/>
      <c r="B28" s="55" t="s">
        <v>135</v>
      </c>
      <c r="C28" s="103"/>
      <c r="D28" s="103"/>
      <c r="E28" s="103"/>
      <c r="F28" s="103"/>
      <c r="G28" s="103"/>
      <c r="H28" s="103"/>
      <c r="I28" s="103"/>
      <c r="J28" s="21"/>
      <c r="K28" s="6"/>
      <c r="L28" s="6"/>
      <c r="M28" s="6"/>
    </row>
    <row r="29" spans="1:13" ht="15.75" customHeight="1">
      <c r="A29" s="100">
        <v>5</v>
      </c>
      <c r="B29" s="51" t="s">
        <v>136</v>
      </c>
      <c r="C29" s="59" t="s">
        <v>93</v>
      </c>
      <c r="D29" s="51" t="s">
        <v>204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3" si="6">SUM(F29*G29/1000)</f>
        <v>2.2346109759999999</v>
      </c>
      <c r="I29" s="12">
        <f>F29/6*G29</f>
        <v>372.43516266666666</v>
      </c>
      <c r="J29" s="21"/>
      <c r="K29" s="6"/>
      <c r="L29" s="6"/>
      <c r="M29" s="6"/>
    </row>
    <row r="30" spans="1:13" ht="31.5" customHeight="1">
      <c r="A30" s="26">
        <v>6</v>
      </c>
      <c r="B30" s="51" t="s">
        <v>137</v>
      </c>
      <c r="C30" s="59" t="s">
        <v>93</v>
      </c>
      <c r="D30" s="51" t="s">
        <v>203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6"/>
        <v>2.4341709599999999</v>
      </c>
      <c r="I30" s="12">
        <f t="shared" ref="I30" si="7">F30/6*G30</f>
        <v>405.69515999999999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93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si="6"/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/>
      <c r="B32" s="51" t="s">
        <v>60</v>
      </c>
      <c r="C32" s="59" t="s">
        <v>30</v>
      </c>
      <c r="D32" s="51" t="s">
        <v>61</v>
      </c>
      <c r="E32" s="60"/>
      <c r="F32" s="61">
        <v>1</v>
      </c>
      <c r="G32" s="61">
        <v>250.92</v>
      </c>
      <c r="H32" s="62">
        <f t="shared" si="6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5"/>
      <c r="B33" s="51" t="s">
        <v>104</v>
      </c>
      <c r="C33" s="59" t="s">
        <v>29</v>
      </c>
      <c r="D33" s="51" t="s">
        <v>61</v>
      </c>
      <c r="E33" s="60"/>
      <c r="F33" s="61">
        <v>1</v>
      </c>
      <c r="G33" s="61">
        <v>1490.31</v>
      </c>
      <c r="H33" s="62">
        <f t="shared" si="6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102"/>
      <c r="B34" s="55" t="s">
        <v>4</v>
      </c>
      <c r="C34" s="104"/>
      <c r="D34" s="104"/>
      <c r="E34" s="104"/>
      <c r="F34" s="104"/>
      <c r="G34" s="104"/>
      <c r="H34" s="104"/>
      <c r="I34" s="104"/>
      <c r="J34" s="21"/>
      <c r="K34" s="6"/>
      <c r="L34" s="6"/>
      <c r="M34" s="6"/>
    </row>
    <row r="35" spans="1:14" ht="15.75" hidden="1" customHeight="1">
      <c r="A35" s="100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8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143</v>
      </c>
      <c r="C36" s="59" t="s">
        <v>27</v>
      </c>
      <c r="D36" s="51" t="s">
        <v>105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106</v>
      </c>
      <c r="C37" s="59" t="s">
        <v>107</v>
      </c>
      <c r="D37" s="51" t="s">
        <v>61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9">F37/6*G37</f>
        <v>2072.1133333333332</v>
      </c>
      <c r="J37" s="21"/>
      <c r="K37" s="6"/>
    </row>
    <row r="38" spans="1:14" ht="15.75" hidden="1" customHeight="1">
      <c r="A38" s="26"/>
      <c r="B38" s="51" t="s">
        <v>62</v>
      </c>
      <c r="C38" s="59" t="s">
        <v>27</v>
      </c>
      <c r="D38" s="51" t="s">
        <v>108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8"/>
        <v>6.5598852000000001</v>
      </c>
      <c r="I38" s="12">
        <f t="shared" si="9"/>
        <v>1093.3141999999998</v>
      </c>
      <c r="J38" s="22"/>
    </row>
    <row r="39" spans="1:14" ht="48" hidden="1" customHeight="1">
      <c r="A39" s="26">
        <v>9</v>
      </c>
      <c r="B39" s="51" t="s">
        <v>76</v>
      </c>
      <c r="C39" s="59" t="s">
        <v>93</v>
      </c>
      <c r="D39" s="51" t="s">
        <v>144</v>
      </c>
      <c r="E39" s="61">
        <v>92</v>
      </c>
      <c r="F39" s="61">
        <f>SUM(E39*35/1000)</f>
        <v>3.22</v>
      </c>
      <c r="G39" s="61">
        <v>7611.16</v>
      </c>
      <c r="H39" s="62">
        <f t="shared" si="8"/>
        <v>24.507935199999999</v>
      </c>
      <c r="I39" s="12">
        <f t="shared" si="9"/>
        <v>4084.655866666667</v>
      </c>
      <c r="J39" s="22"/>
    </row>
    <row r="40" spans="1:14" ht="15.75" hidden="1" customHeight="1">
      <c r="A40" s="26">
        <v>10</v>
      </c>
      <c r="B40" s="51" t="s">
        <v>109</v>
      </c>
      <c r="C40" s="59" t="s">
        <v>93</v>
      </c>
      <c r="D40" s="51" t="s">
        <v>145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8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63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8"/>
        <v>0.79437600000000008</v>
      </c>
      <c r="I41" s="12">
        <f>F41/6*G41</f>
        <v>132.39600000000002</v>
      </c>
      <c r="J41" s="22"/>
    </row>
    <row r="42" spans="1:14" ht="15.75" hidden="1" customHeight="1">
      <c r="A42" s="171" t="s">
        <v>121</v>
      </c>
      <c r="B42" s="172"/>
      <c r="C42" s="172"/>
      <c r="D42" s="172"/>
      <c r="E42" s="172"/>
      <c r="F42" s="172"/>
      <c r="G42" s="172"/>
      <c r="H42" s="172"/>
      <c r="I42" s="173"/>
      <c r="J42" s="22"/>
      <c r="L42" s="18"/>
      <c r="M42" s="19"/>
      <c r="N42" s="20"/>
    </row>
    <row r="43" spans="1:14" ht="15.75" hidden="1" customHeight="1">
      <c r="A43" s="26">
        <v>17</v>
      </c>
      <c r="B43" s="32" t="s">
        <v>110</v>
      </c>
      <c r="C43" s="39" t="s">
        <v>93</v>
      </c>
      <c r="D43" s="32" t="s">
        <v>39</v>
      </c>
      <c r="E43" s="107">
        <v>1114.25</v>
      </c>
      <c r="F43" s="31">
        <f>SUM(E43*2/1000)</f>
        <v>2.2284999999999999</v>
      </c>
      <c r="G43" s="34">
        <v>1193.71</v>
      </c>
      <c r="H43" s="108">
        <f t="shared" ref="H43:H52" si="10">SUM(F43*G43/1000)</f>
        <v>2.6601827349999998</v>
      </c>
      <c r="I43" s="12">
        <f t="shared" ref="I43:I45" si="11">F43/2*G43</f>
        <v>1330.0913674999999</v>
      </c>
      <c r="J43" s="22"/>
      <c r="L43" s="18"/>
      <c r="M43" s="19"/>
      <c r="N43" s="20"/>
    </row>
    <row r="44" spans="1:14" ht="15.75" hidden="1" customHeight="1">
      <c r="A44" s="26">
        <v>18</v>
      </c>
      <c r="B44" s="32" t="s">
        <v>33</v>
      </c>
      <c r="C44" s="39" t="s">
        <v>93</v>
      </c>
      <c r="D44" s="32" t="s">
        <v>39</v>
      </c>
      <c r="E44" s="107">
        <v>2631</v>
      </c>
      <c r="F44" s="31">
        <f>SUM(E44*2/1000)</f>
        <v>5.2619999999999996</v>
      </c>
      <c r="G44" s="34">
        <v>1803.69</v>
      </c>
      <c r="H44" s="108">
        <f t="shared" si="10"/>
        <v>9.4910167800000007</v>
      </c>
      <c r="I44" s="12">
        <f t="shared" si="11"/>
        <v>4745.50839</v>
      </c>
      <c r="J44" s="22"/>
      <c r="L44" s="18"/>
      <c r="M44" s="19"/>
      <c r="N44" s="20"/>
    </row>
    <row r="45" spans="1:14" ht="15.75" hidden="1" customHeight="1">
      <c r="A45" s="26">
        <v>19</v>
      </c>
      <c r="B45" s="32" t="s">
        <v>34</v>
      </c>
      <c r="C45" s="39" t="s">
        <v>93</v>
      </c>
      <c r="D45" s="32" t="s">
        <v>39</v>
      </c>
      <c r="E45" s="107">
        <v>1953.8</v>
      </c>
      <c r="F45" s="31">
        <f>SUM(E45*2/1000)</f>
        <v>3.9076</v>
      </c>
      <c r="G45" s="34">
        <v>1243.43</v>
      </c>
      <c r="H45" s="108">
        <f t="shared" si="10"/>
        <v>4.8588270680000001</v>
      </c>
      <c r="I45" s="12">
        <f t="shared" si="11"/>
        <v>2429.4135340000003</v>
      </c>
      <c r="J45" s="22"/>
      <c r="L45" s="18"/>
      <c r="M45" s="19"/>
      <c r="N45" s="20"/>
    </row>
    <row r="46" spans="1:14" ht="15.75" hidden="1" customHeight="1">
      <c r="A46" s="26">
        <v>20</v>
      </c>
      <c r="B46" s="32" t="s">
        <v>31</v>
      </c>
      <c r="C46" s="39" t="s">
        <v>32</v>
      </c>
      <c r="D46" s="32" t="s">
        <v>39</v>
      </c>
      <c r="E46" s="107">
        <v>91.84</v>
      </c>
      <c r="F46" s="31">
        <f>SUM(E46*2/100)</f>
        <v>1.8368</v>
      </c>
      <c r="G46" s="109">
        <v>1172.4100000000001</v>
      </c>
      <c r="H46" s="108">
        <f t="shared" si="10"/>
        <v>2.153482688</v>
      </c>
      <c r="I46" s="12">
        <f>F46/2*G46</f>
        <v>1076.741344</v>
      </c>
      <c r="J46" s="22"/>
      <c r="L46" s="18"/>
      <c r="M46" s="19"/>
      <c r="N46" s="20"/>
    </row>
    <row r="47" spans="1:14" ht="15.75" hidden="1" customHeight="1">
      <c r="A47" s="26">
        <v>21</v>
      </c>
      <c r="B47" s="32" t="s">
        <v>54</v>
      </c>
      <c r="C47" s="39" t="s">
        <v>93</v>
      </c>
      <c r="D47" s="32" t="s">
        <v>141</v>
      </c>
      <c r="E47" s="107">
        <v>3181</v>
      </c>
      <c r="F47" s="31">
        <f>SUM(E47*5/1000)</f>
        <v>15.904999999999999</v>
      </c>
      <c r="G47" s="34">
        <v>1083.69</v>
      </c>
      <c r="H47" s="108">
        <f t="shared" si="10"/>
        <v>17.236089449999998</v>
      </c>
      <c r="I47" s="12">
        <f>F47/5*G47</f>
        <v>3447.2178900000004</v>
      </c>
      <c r="J47" s="22"/>
      <c r="L47" s="18"/>
      <c r="M47" s="19"/>
      <c r="N47" s="20"/>
    </row>
    <row r="48" spans="1:14" ht="31.5" hidden="1" customHeight="1">
      <c r="A48" s="26">
        <v>13</v>
      </c>
      <c r="B48" s="32" t="s">
        <v>111</v>
      </c>
      <c r="C48" s="39" t="s">
        <v>93</v>
      </c>
      <c r="D48" s="32" t="s">
        <v>39</v>
      </c>
      <c r="E48" s="107">
        <v>3181</v>
      </c>
      <c r="F48" s="31">
        <f>SUM(E48*2/1000)</f>
        <v>6.3620000000000001</v>
      </c>
      <c r="G48" s="34">
        <v>1591.6</v>
      </c>
      <c r="H48" s="108">
        <f t="shared" si="10"/>
        <v>10.125759200000001</v>
      </c>
      <c r="I48" s="12">
        <f>F48/2*G48</f>
        <v>5062.8796000000002</v>
      </c>
      <c r="J48" s="22"/>
      <c r="L48" s="18"/>
      <c r="M48" s="19"/>
      <c r="N48" s="20"/>
    </row>
    <row r="49" spans="1:14" ht="31.5" hidden="1" customHeight="1">
      <c r="A49" s="26">
        <v>13</v>
      </c>
      <c r="B49" s="32" t="s">
        <v>112</v>
      </c>
      <c r="C49" s="39" t="s">
        <v>35</v>
      </c>
      <c r="D49" s="32" t="s">
        <v>39</v>
      </c>
      <c r="E49" s="107">
        <v>20</v>
      </c>
      <c r="F49" s="31">
        <f>SUM(E49*2/100)</f>
        <v>0.4</v>
      </c>
      <c r="G49" s="34">
        <v>4058.32</v>
      </c>
      <c r="H49" s="108">
        <f t="shared" si="10"/>
        <v>1.6233280000000001</v>
      </c>
      <c r="I49" s="12">
        <f t="shared" ref="I49:I50" si="12">F49/2*G49</f>
        <v>811.6640000000001</v>
      </c>
      <c r="J49" s="22"/>
      <c r="L49" s="18"/>
      <c r="M49" s="19"/>
      <c r="N49" s="20"/>
    </row>
    <row r="50" spans="1:14" ht="15.75" hidden="1" customHeight="1">
      <c r="A50" s="26">
        <v>14</v>
      </c>
      <c r="B50" s="32" t="s">
        <v>36</v>
      </c>
      <c r="C50" s="39" t="s">
        <v>37</v>
      </c>
      <c r="D50" s="32" t="s">
        <v>39</v>
      </c>
      <c r="E50" s="107">
        <v>1</v>
      </c>
      <c r="F50" s="31">
        <v>0.02</v>
      </c>
      <c r="G50" s="34">
        <v>7412.92</v>
      </c>
      <c r="H50" s="108">
        <f t="shared" si="10"/>
        <v>0.14825839999999998</v>
      </c>
      <c r="I50" s="12">
        <f t="shared" si="12"/>
        <v>74.129199999999997</v>
      </c>
      <c r="J50" s="22"/>
      <c r="L50" s="18"/>
      <c r="M50" s="19"/>
      <c r="N50" s="20"/>
    </row>
    <row r="51" spans="1:14" ht="15.75" hidden="1" customHeight="1">
      <c r="A51" s="26">
        <v>22</v>
      </c>
      <c r="B51" s="32" t="s">
        <v>113</v>
      </c>
      <c r="C51" s="39" t="s">
        <v>94</v>
      </c>
      <c r="D51" s="32" t="s">
        <v>64</v>
      </c>
      <c r="E51" s="107">
        <v>70</v>
      </c>
      <c r="F51" s="31">
        <f>E51*3</f>
        <v>210</v>
      </c>
      <c r="G51" s="34">
        <v>185.08</v>
      </c>
      <c r="H51" s="108">
        <f t="shared" si="10"/>
        <v>38.866800000000005</v>
      </c>
      <c r="I51" s="12">
        <f>E51*G51</f>
        <v>12955.6</v>
      </c>
      <c r="J51" s="22"/>
      <c r="L51" s="18"/>
      <c r="M51" s="19"/>
      <c r="N51" s="20"/>
    </row>
    <row r="52" spans="1:14" ht="15.75" hidden="1" customHeight="1">
      <c r="A52" s="26">
        <v>23</v>
      </c>
      <c r="B52" s="32" t="s">
        <v>38</v>
      </c>
      <c r="C52" s="39" t="s">
        <v>94</v>
      </c>
      <c r="D52" s="32" t="s">
        <v>64</v>
      </c>
      <c r="E52" s="107">
        <v>140</v>
      </c>
      <c r="F52" s="31">
        <f>E52*3</f>
        <v>420</v>
      </c>
      <c r="G52" s="35">
        <v>86.15</v>
      </c>
      <c r="H52" s="108">
        <f t="shared" si="10"/>
        <v>36.183</v>
      </c>
      <c r="I52" s="12">
        <f>E52*G52</f>
        <v>12061</v>
      </c>
      <c r="J52" s="22"/>
      <c r="L52" s="18"/>
      <c r="M52" s="19"/>
      <c r="N52" s="20"/>
    </row>
    <row r="53" spans="1:14" ht="15.75" customHeight="1">
      <c r="A53" s="171" t="s">
        <v>78</v>
      </c>
      <c r="B53" s="174"/>
      <c r="C53" s="174"/>
      <c r="D53" s="174"/>
      <c r="E53" s="174"/>
      <c r="F53" s="174"/>
      <c r="G53" s="174"/>
      <c r="H53" s="174"/>
      <c r="I53" s="175"/>
      <c r="J53" s="22"/>
      <c r="L53" s="18"/>
      <c r="M53" s="19"/>
      <c r="N53" s="20"/>
    </row>
    <row r="54" spans="1:14" ht="15.75" hidden="1" customHeight="1">
      <c r="A54" s="26"/>
      <c r="B54" s="81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114</v>
      </c>
      <c r="C55" s="59" t="s">
        <v>83</v>
      </c>
      <c r="D55" s="51" t="s">
        <v>115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hidden="1" customHeight="1">
      <c r="A56" s="26"/>
      <c r="B56" s="70" t="s">
        <v>117</v>
      </c>
      <c r="C56" s="69" t="s">
        <v>118</v>
      </c>
      <c r="D56" s="13" t="s">
        <v>61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v>0</v>
      </c>
      <c r="J56" s="22"/>
      <c r="L56" s="18"/>
      <c r="M56" s="19"/>
      <c r="N56" s="20"/>
    </row>
    <row r="57" spans="1:14" ht="15.75" hidden="1" customHeight="1">
      <c r="A57" s="26"/>
      <c r="B57" s="82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/>
      <c r="B59" s="82" t="s">
        <v>43</v>
      </c>
      <c r="C59" s="69"/>
      <c r="D59" s="70"/>
      <c r="E59" s="71"/>
      <c r="F59" s="74"/>
      <c r="G59" s="74"/>
      <c r="H59" s="72" t="s">
        <v>102</v>
      </c>
      <c r="I59" s="12"/>
      <c r="J59" s="22"/>
      <c r="L59" s="18"/>
      <c r="M59" s="19"/>
      <c r="N59" s="20"/>
    </row>
    <row r="60" spans="1:14" ht="15.75" customHeight="1">
      <c r="A60" s="26">
        <v>7</v>
      </c>
      <c r="B60" s="13" t="s">
        <v>44</v>
      </c>
      <c r="C60" s="15" t="s">
        <v>94</v>
      </c>
      <c r="D60" s="13" t="s">
        <v>211</v>
      </c>
      <c r="E60" s="17">
        <v>4</v>
      </c>
      <c r="F60" s="61">
        <f>E60</f>
        <v>4</v>
      </c>
      <c r="G60" s="12">
        <v>291.68</v>
      </c>
      <c r="H60" s="75">
        <f t="shared" ref="H60:H68" si="13">SUM(F60*G60/1000)</f>
        <v>1.16672</v>
      </c>
      <c r="I60" s="12">
        <f>G60</f>
        <v>291.68</v>
      </c>
      <c r="J60" s="22"/>
      <c r="L60" s="18"/>
      <c r="M60" s="19"/>
      <c r="N60" s="20"/>
    </row>
    <row r="61" spans="1:14" ht="17.25" hidden="1" customHeight="1">
      <c r="A61" s="26">
        <v>17</v>
      </c>
      <c r="B61" s="13" t="s">
        <v>45</v>
      </c>
      <c r="C61" s="15" t="s">
        <v>94</v>
      </c>
      <c r="D61" s="13" t="s">
        <v>61</v>
      </c>
      <c r="E61" s="17">
        <v>4</v>
      </c>
      <c r="F61" s="61">
        <f>E61</f>
        <v>4</v>
      </c>
      <c r="G61" s="12">
        <v>100.01</v>
      </c>
      <c r="H61" s="75">
        <f t="shared" si="13"/>
        <v>0.40004000000000001</v>
      </c>
      <c r="I61" s="12">
        <v>0</v>
      </c>
      <c r="J61" s="22"/>
      <c r="L61" s="18"/>
      <c r="M61" s="19"/>
      <c r="N61" s="20"/>
    </row>
    <row r="62" spans="1:14" ht="15.75" customHeight="1">
      <c r="A62" s="26">
        <v>8</v>
      </c>
      <c r="B62" s="13" t="s">
        <v>46</v>
      </c>
      <c r="C62" s="15" t="s">
        <v>95</v>
      </c>
      <c r="D62" s="13"/>
      <c r="E62" s="60">
        <v>12702</v>
      </c>
      <c r="F62" s="12">
        <f>SUM(E62/100)</f>
        <v>127.02</v>
      </c>
      <c r="G62" s="12">
        <v>278.24</v>
      </c>
      <c r="H62" s="75">
        <f t="shared" si="13"/>
        <v>35.342044800000004</v>
      </c>
      <c r="I62" s="12">
        <f>F62*G62</f>
        <v>35342.044800000003</v>
      </c>
      <c r="J62" s="22"/>
      <c r="L62" s="18"/>
      <c r="M62" s="19"/>
      <c r="N62" s="20"/>
    </row>
    <row r="63" spans="1:14" ht="15.75" customHeight="1">
      <c r="A63" s="26">
        <v>9</v>
      </c>
      <c r="B63" s="13" t="s">
        <v>47</v>
      </c>
      <c r="C63" s="15" t="s">
        <v>96</v>
      </c>
      <c r="D63" s="13"/>
      <c r="E63" s="60">
        <v>12702</v>
      </c>
      <c r="F63" s="12">
        <f>SUM(E63/1000)</f>
        <v>12.702</v>
      </c>
      <c r="G63" s="12">
        <v>216.68</v>
      </c>
      <c r="H63" s="75">
        <f t="shared" si="13"/>
        <v>2.7522693600000001</v>
      </c>
      <c r="I63" s="12">
        <f t="shared" ref="I63:I66" si="14">F63*G63</f>
        <v>2752.2693600000002</v>
      </c>
      <c r="J63" s="22"/>
      <c r="L63" s="18"/>
      <c r="M63" s="19"/>
      <c r="N63" s="20"/>
    </row>
    <row r="64" spans="1:14" ht="15.75" customHeight="1">
      <c r="A64" s="26">
        <v>10</v>
      </c>
      <c r="B64" s="13" t="s">
        <v>48</v>
      </c>
      <c r="C64" s="15" t="s">
        <v>70</v>
      </c>
      <c r="D64" s="13"/>
      <c r="E64" s="60">
        <v>2200</v>
      </c>
      <c r="F64" s="12">
        <f>SUM(E64/100)</f>
        <v>22</v>
      </c>
      <c r="G64" s="12">
        <v>2720.94</v>
      </c>
      <c r="H64" s="75">
        <f t="shared" si="13"/>
        <v>59.860680000000002</v>
      </c>
      <c r="I64" s="12">
        <f t="shared" si="14"/>
        <v>59860.68</v>
      </c>
      <c r="J64" s="22"/>
      <c r="L64" s="18"/>
      <c r="M64" s="19"/>
      <c r="N64" s="20"/>
    </row>
    <row r="65" spans="1:14" ht="15.75" customHeight="1">
      <c r="A65" s="26">
        <v>11</v>
      </c>
      <c r="B65" s="76" t="s">
        <v>97</v>
      </c>
      <c r="C65" s="15" t="s">
        <v>30</v>
      </c>
      <c r="D65" s="13"/>
      <c r="E65" s="60">
        <v>9.6</v>
      </c>
      <c r="F65" s="12">
        <f>SUM(E65)</f>
        <v>9.6</v>
      </c>
      <c r="G65" s="12">
        <v>42.61</v>
      </c>
      <c r="H65" s="75">
        <f t="shared" si="13"/>
        <v>0.40905599999999998</v>
      </c>
      <c r="I65" s="12">
        <f t="shared" si="14"/>
        <v>409.05599999999998</v>
      </c>
      <c r="J65" s="22"/>
      <c r="L65" s="18"/>
      <c r="M65" s="19"/>
      <c r="N65" s="20"/>
    </row>
    <row r="66" spans="1:14" ht="15.75" customHeight="1">
      <c r="A66" s="26">
        <v>12</v>
      </c>
      <c r="B66" s="76" t="s">
        <v>98</v>
      </c>
      <c r="C66" s="15" t="s">
        <v>30</v>
      </c>
      <c r="D66" s="13"/>
      <c r="E66" s="60">
        <v>9.6</v>
      </c>
      <c r="F66" s="12">
        <f>SUM(E66)</f>
        <v>9.6</v>
      </c>
      <c r="G66" s="12">
        <v>46.04</v>
      </c>
      <c r="H66" s="75">
        <f t="shared" si="13"/>
        <v>0.44198399999999999</v>
      </c>
      <c r="I66" s="12">
        <f t="shared" si="14"/>
        <v>441.98399999999998</v>
      </c>
      <c r="J66" s="22"/>
      <c r="L66" s="18"/>
      <c r="M66" s="19"/>
      <c r="N66" s="20"/>
    </row>
    <row r="67" spans="1:14" ht="15.75" hidden="1" customHeight="1">
      <c r="A67" s="26"/>
      <c r="B67" s="13" t="s">
        <v>55</v>
      </c>
      <c r="C67" s="15" t="s">
        <v>56</v>
      </c>
      <c r="D67" s="13" t="s">
        <v>51</v>
      </c>
      <c r="E67" s="17">
        <v>4</v>
      </c>
      <c r="F67" s="12">
        <f>SUM(E67)</f>
        <v>4</v>
      </c>
      <c r="G67" s="12">
        <v>65.42</v>
      </c>
      <c r="H67" s="75">
        <f t="shared" si="13"/>
        <v>0.26168000000000002</v>
      </c>
      <c r="I67" s="12">
        <v>0</v>
      </c>
      <c r="J67" s="22"/>
      <c r="L67" s="18"/>
      <c r="M67" s="19"/>
      <c r="N67" s="20"/>
    </row>
    <row r="68" spans="1:14" ht="29.25" customHeight="1">
      <c r="A68" s="26">
        <v>13</v>
      </c>
      <c r="B68" s="13" t="s">
        <v>146</v>
      </c>
      <c r="C68" s="26" t="s">
        <v>147</v>
      </c>
      <c r="D68" s="13"/>
      <c r="E68" s="17">
        <v>3181</v>
      </c>
      <c r="F68" s="61">
        <f>SUM(E68)*12</f>
        <v>38172</v>
      </c>
      <c r="G68" s="12">
        <v>2.2799999999999998</v>
      </c>
      <c r="H68" s="75">
        <f t="shared" si="13"/>
        <v>87.03215999999999</v>
      </c>
      <c r="I68" s="12">
        <f>F68/12*G68</f>
        <v>7252.6799999999994</v>
      </c>
      <c r="J68" s="22"/>
      <c r="L68" s="18"/>
      <c r="M68" s="19"/>
      <c r="N68" s="20"/>
    </row>
    <row r="69" spans="1:14" ht="19.5" customHeight="1">
      <c r="A69" s="26"/>
      <c r="B69" s="55" t="s">
        <v>65</v>
      </c>
      <c r="C69" s="15"/>
      <c r="D69" s="13"/>
      <c r="E69" s="17"/>
      <c r="F69" s="12"/>
      <c r="G69" s="12"/>
      <c r="H69" s="75" t="s">
        <v>102</v>
      </c>
      <c r="I69" s="12"/>
      <c r="J69" s="22"/>
      <c r="L69" s="18"/>
      <c r="M69" s="19"/>
      <c r="N69" s="20"/>
    </row>
    <row r="70" spans="1:14" ht="26.25" hidden="1" customHeight="1">
      <c r="A70" s="26">
        <v>18</v>
      </c>
      <c r="B70" s="13" t="s">
        <v>148</v>
      </c>
      <c r="C70" s="15" t="s">
        <v>28</v>
      </c>
      <c r="D70" s="13" t="s">
        <v>61</v>
      </c>
      <c r="E70" s="17">
        <v>1</v>
      </c>
      <c r="F70" s="61">
        <f t="shared" ref="F70" si="15">E70</f>
        <v>1</v>
      </c>
      <c r="G70" s="12">
        <v>1543.4</v>
      </c>
      <c r="H70" s="75">
        <f>G70*F70/1000</f>
        <v>1.5434000000000001</v>
      </c>
      <c r="I70" s="12">
        <v>0</v>
      </c>
      <c r="J70" s="22"/>
      <c r="L70" s="18"/>
      <c r="M70" s="19"/>
      <c r="N70" s="20"/>
    </row>
    <row r="71" spans="1:14" ht="24.75" hidden="1" customHeight="1">
      <c r="A71" s="26"/>
      <c r="B71" s="50" t="s">
        <v>149</v>
      </c>
      <c r="C71" s="54" t="s">
        <v>94</v>
      </c>
      <c r="D71" s="13" t="s">
        <v>61</v>
      </c>
      <c r="E71" s="17">
        <v>1</v>
      </c>
      <c r="F71" s="61">
        <f>E71</f>
        <v>1</v>
      </c>
      <c r="G71" s="12">
        <v>130.96</v>
      </c>
      <c r="H71" s="75">
        <f>G71*F71/1000</f>
        <v>0.13096000000000002</v>
      </c>
      <c r="I71" s="12">
        <v>0</v>
      </c>
      <c r="J71" s="22"/>
      <c r="L71" s="18"/>
      <c r="M71" s="19"/>
      <c r="N71" s="20"/>
    </row>
    <row r="72" spans="1:14" ht="23.25" hidden="1" customHeight="1">
      <c r="A72" s="26"/>
      <c r="B72" s="13" t="s">
        <v>66</v>
      </c>
      <c r="C72" s="15" t="s">
        <v>68</v>
      </c>
      <c r="D72" s="13" t="s">
        <v>61</v>
      </c>
      <c r="E72" s="17">
        <v>3</v>
      </c>
      <c r="F72" s="61">
        <f>E72/10</f>
        <v>0.3</v>
      </c>
      <c r="G72" s="12">
        <v>657.87</v>
      </c>
      <c r="H72" s="75">
        <f t="shared" ref="H72:H75" si="16">SUM(F72*G72/1000)</f>
        <v>0.19736099999999998</v>
      </c>
      <c r="I72" s="12">
        <v>0</v>
      </c>
      <c r="J72" s="22"/>
      <c r="L72" s="18"/>
      <c r="M72" s="19"/>
      <c r="N72" s="20"/>
    </row>
    <row r="73" spans="1:14" ht="24" hidden="1" customHeight="1">
      <c r="A73" s="26"/>
      <c r="B73" s="13" t="s">
        <v>67</v>
      </c>
      <c r="C73" s="15" t="s">
        <v>28</v>
      </c>
      <c r="D73" s="13" t="s">
        <v>61</v>
      </c>
      <c r="E73" s="17">
        <v>1</v>
      </c>
      <c r="F73" s="61">
        <f>E73</f>
        <v>1</v>
      </c>
      <c r="G73" s="12">
        <v>1118.72</v>
      </c>
      <c r="H73" s="75">
        <f t="shared" si="16"/>
        <v>1.1187199999999999</v>
      </c>
      <c r="I73" s="12">
        <v>0</v>
      </c>
      <c r="J73" s="22"/>
      <c r="L73" s="18"/>
      <c r="M73" s="19"/>
      <c r="N73" s="20"/>
    </row>
    <row r="74" spans="1:14" ht="27.75" hidden="1" customHeight="1">
      <c r="A74" s="26"/>
      <c r="B74" s="50" t="s">
        <v>150</v>
      </c>
      <c r="C74" s="54" t="s">
        <v>94</v>
      </c>
      <c r="D74" s="13" t="s">
        <v>61</v>
      </c>
      <c r="E74" s="17">
        <v>1</v>
      </c>
      <c r="F74" s="61">
        <f>E74</f>
        <v>1</v>
      </c>
      <c r="G74" s="12">
        <v>1605.83</v>
      </c>
      <c r="H74" s="75">
        <f t="shared" si="16"/>
        <v>1.6058299999999999</v>
      </c>
      <c r="I74" s="12">
        <v>0</v>
      </c>
      <c r="J74" s="22"/>
      <c r="L74" s="18"/>
      <c r="M74" s="19"/>
      <c r="N74" s="20"/>
    </row>
    <row r="75" spans="1:14" ht="31.5" customHeight="1">
      <c r="A75" s="26">
        <v>14</v>
      </c>
      <c r="B75" s="50" t="s">
        <v>151</v>
      </c>
      <c r="C75" s="54" t="s">
        <v>94</v>
      </c>
      <c r="D75" s="13" t="s">
        <v>211</v>
      </c>
      <c r="E75" s="17">
        <v>2</v>
      </c>
      <c r="F75" s="61">
        <f>E75*12</f>
        <v>24</v>
      </c>
      <c r="G75" s="12">
        <v>53.42</v>
      </c>
      <c r="H75" s="75">
        <f t="shared" si="16"/>
        <v>1.2820799999999999</v>
      </c>
      <c r="I75" s="12">
        <f>G75*2</f>
        <v>106.84</v>
      </c>
      <c r="J75" s="22"/>
      <c r="L75" s="18"/>
      <c r="M75" s="19"/>
      <c r="N75" s="20"/>
    </row>
    <row r="76" spans="1:14" ht="25.5" hidden="1" customHeight="1">
      <c r="A76" s="26"/>
      <c r="B76" s="77" t="s">
        <v>69</v>
      </c>
      <c r="C76" s="15"/>
      <c r="D76" s="13"/>
      <c r="E76" s="17"/>
      <c r="F76" s="12"/>
      <c r="G76" s="12" t="s">
        <v>102</v>
      </c>
      <c r="H76" s="75" t="s">
        <v>102</v>
      </c>
      <c r="I76" s="12"/>
      <c r="J76" s="22"/>
      <c r="L76" s="18"/>
      <c r="M76" s="19"/>
      <c r="N76" s="20"/>
    </row>
    <row r="77" spans="1:14" ht="28.5" hidden="1" customHeight="1">
      <c r="A77" s="26"/>
      <c r="B77" s="45" t="s">
        <v>101</v>
      </c>
      <c r="C77" s="15" t="s">
        <v>70</v>
      </c>
      <c r="D77" s="13"/>
      <c r="E77" s="17"/>
      <c r="F77" s="12">
        <v>1</v>
      </c>
      <c r="G77" s="12">
        <v>3370.89</v>
      </c>
      <c r="H77" s="75">
        <f t="shared" ref="H77" si="17">SUM(F77*G77/1000)</f>
        <v>3.3708899999999997</v>
      </c>
      <c r="I77" s="12">
        <v>0</v>
      </c>
      <c r="J77" s="22"/>
      <c r="L77" s="18"/>
      <c r="M77" s="19"/>
      <c r="N77" s="20"/>
    </row>
    <row r="78" spans="1:14" ht="24" hidden="1" customHeight="1">
      <c r="A78" s="26"/>
      <c r="B78" s="55" t="s">
        <v>99</v>
      </c>
      <c r="C78" s="77"/>
      <c r="D78" s="27"/>
      <c r="E78" s="30"/>
      <c r="F78" s="66"/>
      <c r="G78" s="66"/>
      <c r="H78" s="78">
        <f>SUM(H55:H77)</f>
        <v>227.14633412000001</v>
      </c>
      <c r="I78" s="66"/>
      <c r="J78" s="22"/>
      <c r="L78" s="18"/>
      <c r="M78" s="19"/>
      <c r="N78" s="20"/>
    </row>
    <row r="79" spans="1:14" ht="20.25" hidden="1" customHeight="1">
      <c r="A79" s="105">
        <v>15</v>
      </c>
      <c r="B79" s="53" t="s">
        <v>100</v>
      </c>
      <c r="C79" s="110"/>
      <c r="D79" s="111"/>
      <c r="E79" s="111"/>
      <c r="F79" s="112">
        <v>1</v>
      </c>
      <c r="G79" s="112">
        <v>23195</v>
      </c>
      <c r="H79" s="113">
        <f>G79*F79/1000</f>
        <v>23.195</v>
      </c>
      <c r="I79" s="80">
        <f>G79</f>
        <v>23195</v>
      </c>
      <c r="J79" s="22"/>
      <c r="L79" s="18"/>
      <c r="M79" s="19"/>
      <c r="N79" s="20"/>
    </row>
    <row r="80" spans="1:14" ht="18.75" hidden="1" customHeight="1">
      <c r="A80" s="49"/>
      <c r="B80" s="114" t="s">
        <v>152</v>
      </c>
      <c r="C80" s="15"/>
      <c r="D80" s="13"/>
      <c r="E80" s="13"/>
      <c r="F80" s="12">
        <v>69</v>
      </c>
      <c r="G80" s="12">
        <v>700</v>
      </c>
      <c r="H80" s="75">
        <f>G80*F80/1000</f>
        <v>48.3</v>
      </c>
      <c r="I80" s="115">
        <v>0</v>
      </c>
      <c r="J80" s="22"/>
      <c r="L80" s="18"/>
      <c r="M80" s="19"/>
      <c r="N80" s="20"/>
    </row>
    <row r="81" spans="1:14" ht="15.75" customHeight="1">
      <c r="A81" s="168" t="s">
        <v>129</v>
      </c>
      <c r="B81" s="176"/>
      <c r="C81" s="176"/>
      <c r="D81" s="176"/>
      <c r="E81" s="176"/>
      <c r="F81" s="176"/>
      <c r="G81" s="176"/>
      <c r="H81" s="176"/>
      <c r="I81" s="177"/>
      <c r="J81" s="22"/>
      <c r="L81" s="18"/>
      <c r="M81" s="19"/>
      <c r="N81" s="20"/>
    </row>
    <row r="82" spans="1:14" ht="15.75" customHeight="1">
      <c r="A82" s="100">
        <v>15</v>
      </c>
      <c r="B82" s="32" t="s">
        <v>116</v>
      </c>
      <c r="C82" s="37" t="s">
        <v>52</v>
      </c>
      <c r="D82" s="79"/>
      <c r="E82" s="34">
        <v>3181</v>
      </c>
      <c r="F82" s="34">
        <f>SUM(E82*12)</f>
        <v>38172</v>
      </c>
      <c r="G82" s="34">
        <v>3.1</v>
      </c>
      <c r="H82" s="106">
        <f>SUM(F82*G82/1000)</f>
        <v>118.33319999999999</v>
      </c>
      <c r="I82" s="101">
        <f>F82/12*G82</f>
        <v>9861.1</v>
      </c>
      <c r="J82" s="22"/>
      <c r="L82" s="18"/>
      <c r="M82" s="19"/>
      <c r="N82" s="20"/>
    </row>
    <row r="83" spans="1:14" ht="31.5" customHeight="1">
      <c r="A83" s="26">
        <v>16</v>
      </c>
      <c r="B83" s="13" t="s">
        <v>71</v>
      </c>
      <c r="C83" s="15"/>
      <c r="D83" s="79"/>
      <c r="E83" s="60">
        <v>3181</v>
      </c>
      <c r="F83" s="12">
        <f>E83*12</f>
        <v>38172</v>
      </c>
      <c r="G83" s="12">
        <v>3.5</v>
      </c>
      <c r="H83" s="75">
        <f>F83*G83/1000</f>
        <v>133.602</v>
      </c>
      <c r="I83" s="12">
        <f>F83/12*G83</f>
        <v>11133.5</v>
      </c>
      <c r="J83" s="22"/>
      <c r="L83" s="18"/>
      <c r="M83" s="19"/>
      <c r="N83" s="20"/>
    </row>
    <row r="84" spans="1:14" ht="15.75" customHeight="1">
      <c r="A84" s="49"/>
      <c r="B84" s="38" t="s">
        <v>74</v>
      </c>
      <c r="C84" s="15"/>
      <c r="D84" s="45"/>
      <c r="E84" s="12"/>
      <c r="F84" s="12"/>
      <c r="G84" s="12"/>
      <c r="H84" s="75">
        <f>H83</f>
        <v>133.602</v>
      </c>
      <c r="I84" s="66">
        <f>I83+I82+I75+I68+I66+I65+I64+I63+I62+I60+I30+I29+I26+I18+I17+I16</f>
        <v>139781.34210266668</v>
      </c>
      <c r="J84" s="22"/>
      <c r="L84" s="18"/>
      <c r="M84" s="19"/>
      <c r="N84" s="20"/>
    </row>
    <row r="85" spans="1:14" ht="15.75" customHeight="1">
      <c r="A85" s="178" t="s">
        <v>57</v>
      </c>
      <c r="B85" s="179"/>
      <c r="C85" s="179"/>
      <c r="D85" s="179"/>
      <c r="E85" s="179"/>
      <c r="F85" s="179"/>
      <c r="G85" s="179"/>
      <c r="H85" s="179"/>
      <c r="I85" s="180"/>
      <c r="J85" s="22"/>
      <c r="L85" s="18"/>
      <c r="M85" s="19"/>
      <c r="N85" s="20"/>
    </row>
    <row r="86" spans="1:14" ht="15.75" customHeight="1">
      <c r="A86" s="26">
        <v>17</v>
      </c>
      <c r="B86" s="70" t="s">
        <v>156</v>
      </c>
      <c r="C86" s="69" t="s">
        <v>157</v>
      </c>
      <c r="D86" s="70"/>
      <c r="E86" s="71"/>
      <c r="F86" s="74">
        <v>96</v>
      </c>
      <c r="G86" s="56">
        <v>1.4</v>
      </c>
      <c r="H86" s="72">
        <f>F86*G86/1000</f>
        <v>0.13439999999999996</v>
      </c>
      <c r="I86" s="12">
        <f>G86*48</f>
        <v>67.199999999999989</v>
      </c>
      <c r="J86" s="22"/>
      <c r="L86" s="18"/>
      <c r="M86" s="19"/>
      <c r="N86" s="20"/>
    </row>
    <row r="87" spans="1:14" ht="17.25" customHeight="1">
      <c r="A87" s="26">
        <v>18</v>
      </c>
      <c r="B87" s="122" t="s">
        <v>75</v>
      </c>
      <c r="C87" s="123" t="s">
        <v>94</v>
      </c>
      <c r="D87" s="45"/>
      <c r="E87" s="12"/>
      <c r="F87" s="12"/>
      <c r="G87" s="136">
        <v>207.55</v>
      </c>
      <c r="H87" s="75"/>
      <c r="I87" s="80">
        <f>G87*2</f>
        <v>415.1</v>
      </c>
      <c r="J87" s="22"/>
      <c r="L87" s="18"/>
      <c r="M87" s="19"/>
      <c r="N87" s="20"/>
    </row>
    <row r="88" spans="1:14" ht="17.25" customHeight="1">
      <c r="A88" s="26">
        <v>19</v>
      </c>
      <c r="B88" s="122" t="s">
        <v>233</v>
      </c>
      <c r="C88" s="123" t="s">
        <v>201</v>
      </c>
      <c r="D88" s="45"/>
      <c r="E88" s="12"/>
      <c r="F88" s="12"/>
      <c r="G88" s="136">
        <v>7802</v>
      </c>
      <c r="H88" s="75"/>
      <c r="I88" s="80">
        <f>G88*1</f>
        <v>7802</v>
      </c>
      <c r="J88" s="22"/>
      <c r="L88" s="18"/>
      <c r="M88" s="19"/>
      <c r="N88" s="20"/>
    </row>
    <row r="89" spans="1:14" ht="15.75" customHeight="1">
      <c r="A89" s="26"/>
      <c r="B89" s="27" t="s">
        <v>49</v>
      </c>
      <c r="C89" s="40"/>
      <c r="D89" s="46"/>
      <c r="E89" s="40">
        <v>1</v>
      </c>
      <c r="F89" s="40"/>
      <c r="G89" s="40"/>
      <c r="H89" s="40"/>
      <c r="I89" s="30">
        <f>SUM(I86:I88)</f>
        <v>8284.2999999999993</v>
      </c>
      <c r="J89" s="22"/>
      <c r="L89" s="18"/>
      <c r="M89" s="19"/>
      <c r="N89" s="20"/>
    </row>
    <row r="90" spans="1:14" ht="15.75" customHeight="1">
      <c r="A90" s="26"/>
      <c r="B90" s="45" t="s">
        <v>72</v>
      </c>
      <c r="C90" s="14"/>
      <c r="D90" s="14"/>
      <c r="E90" s="41"/>
      <c r="F90" s="41"/>
      <c r="G90" s="42"/>
      <c r="H90" s="42"/>
      <c r="I90" s="16">
        <v>0</v>
      </c>
      <c r="J90" s="22"/>
      <c r="L90" s="18"/>
      <c r="M90" s="19"/>
      <c r="N90" s="20"/>
    </row>
    <row r="91" spans="1:14" ht="15.75" customHeight="1">
      <c r="A91" s="26"/>
      <c r="B91" s="44" t="s">
        <v>142</v>
      </c>
      <c r="C91" s="33"/>
      <c r="D91" s="33"/>
      <c r="E91" s="33"/>
      <c r="F91" s="33"/>
      <c r="G91" s="33"/>
      <c r="H91" s="33"/>
      <c r="I91" s="43">
        <f>I89+I84</f>
        <v>148065.64210266666</v>
      </c>
      <c r="J91" s="22"/>
      <c r="L91" s="18"/>
      <c r="M91" s="19"/>
      <c r="N91" s="20"/>
    </row>
    <row r="92" spans="1:14" ht="15.75" customHeight="1">
      <c r="A92" s="167" t="s">
        <v>234</v>
      </c>
      <c r="B92" s="167"/>
      <c r="C92" s="167"/>
      <c r="D92" s="167"/>
      <c r="E92" s="167"/>
      <c r="F92" s="167"/>
      <c r="G92" s="167"/>
      <c r="H92" s="167"/>
      <c r="I92" s="167"/>
      <c r="J92" s="22"/>
      <c r="L92" s="18"/>
      <c r="M92" s="19"/>
      <c r="N92" s="20"/>
    </row>
    <row r="93" spans="1:14" ht="15.75" customHeight="1">
      <c r="A93" s="8"/>
      <c r="B93" s="181" t="s">
        <v>235</v>
      </c>
      <c r="C93" s="181"/>
      <c r="D93" s="181"/>
      <c r="E93" s="181"/>
      <c r="F93" s="181"/>
      <c r="G93" s="181"/>
      <c r="H93" s="83"/>
      <c r="I93" s="3"/>
      <c r="J93" s="22"/>
      <c r="L93" s="18"/>
      <c r="M93" s="19"/>
      <c r="N93" s="20"/>
    </row>
    <row r="94" spans="1:14" ht="15.75" customHeight="1">
      <c r="A94" s="85"/>
      <c r="B94" s="182" t="s">
        <v>5</v>
      </c>
      <c r="C94" s="182"/>
      <c r="D94" s="182"/>
      <c r="E94" s="182"/>
      <c r="F94" s="182"/>
      <c r="G94" s="182"/>
      <c r="H94" s="23"/>
      <c r="I94" s="5"/>
      <c r="J94" s="22"/>
      <c r="K94" s="22"/>
      <c r="L94" s="22"/>
      <c r="M94" s="19"/>
      <c r="N94" s="20"/>
    </row>
    <row r="95" spans="1:14" ht="15.75" customHeight="1">
      <c r="A95" s="9"/>
      <c r="B95" s="9"/>
      <c r="C95" s="9"/>
      <c r="D95" s="9"/>
      <c r="E95" s="9"/>
      <c r="F95" s="9"/>
      <c r="G95" s="9"/>
      <c r="H95" s="9"/>
      <c r="I95" s="9"/>
      <c r="J95" s="22"/>
      <c r="K95" s="22"/>
      <c r="L95" s="22"/>
      <c r="M95" s="19"/>
      <c r="N95" s="20"/>
    </row>
    <row r="96" spans="1:14" ht="15.75" customHeight="1">
      <c r="A96" s="183" t="s">
        <v>6</v>
      </c>
      <c r="B96" s="183"/>
      <c r="C96" s="183"/>
      <c r="D96" s="183"/>
      <c r="E96" s="183"/>
      <c r="F96" s="183"/>
      <c r="G96" s="183"/>
      <c r="H96" s="183"/>
      <c r="I96" s="183"/>
      <c r="J96" s="22"/>
      <c r="K96" s="22"/>
      <c r="L96" s="22"/>
    </row>
    <row r="97" spans="1:22" ht="15.75" customHeight="1">
      <c r="A97" s="183" t="s">
        <v>7</v>
      </c>
      <c r="B97" s="183"/>
      <c r="C97" s="183"/>
      <c r="D97" s="183"/>
      <c r="E97" s="183"/>
      <c r="F97" s="183"/>
      <c r="G97" s="183"/>
      <c r="H97" s="183"/>
      <c r="I97" s="183"/>
      <c r="J97" s="22"/>
      <c r="K97" s="22"/>
      <c r="L97" s="22"/>
    </row>
    <row r="98" spans="1:22" ht="15.75" customHeight="1">
      <c r="A98" s="167" t="s">
        <v>8</v>
      </c>
      <c r="B98" s="167"/>
      <c r="C98" s="167"/>
      <c r="D98" s="167"/>
      <c r="E98" s="167"/>
      <c r="F98" s="167"/>
      <c r="G98" s="167"/>
      <c r="H98" s="167"/>
      <c r="I98" s="167"/>
    </row>
    <row r="99" spans="1:22" ht="15.75" customHeight="1">
      <c r="A99" s="10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7"/>
    </row>
    <row r="100" spans="1:22" ht="15.75" customHeight="1">
      <c r="A100" s="185" t="s">
        <v>9</v>
      </c>
      <c r="B100" s="185"/>
      <c r="C100" s="185"/>
      <c r="D100" s="185"/>
      <c r="E100" s="185"/>
      <c r="F100" s="185"/>
      <c r="G100" s="185"/>
      <c r="H100" s="185"/>
      <c r="I100" s="185"/>
      <c r="J100" s="24"/>
      <c r="K100" s="24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2" ht="15.75" customHeight="1">
      <c r="A101" s="4"/>
      <c r="J101" s="3"/>
      <c r="K101" s="3"/>
      <c r="L101" s="3"/>
      <c r="M101" s="3"/>
      <c r="N101" s="3"/>
      <c r="O101" s="3"/>
      <c r="P101" s="3"/>
      <c r="Q101" s="3"/>
      <c r="S101" s="3"/>
      <c r="T101" s="3"/>
      <c r="U101" s="3"/>
    </row>
    <row r="102" spans="1:22" ht="15.75" customHeight="1">
      <c r="A102" s="167" t="s">
        <v>10</v>
      </c>
      <c r="B102" s="167"/>
      <c r="C102" s="186" t="s">
        <v>79</v>
      </c>
      <c r="D102" s="186"/>
      <c r="E102" s="186"/>
      <c r="F102" s="57"/>
      <c r="I102" s="88"/>
      <c r="J102" s="5"/>
      <c r="K102" s="5"/>
      <c r="L102" s="5"/>
      <c r="M102" s="5"/>
      <c r="N102" s="5"/>
      <c r="O102" s="5"/>
      <c r="P102" s="5"/>
      <c r="Q102" s="5"/>
      <c r="R102" s="187"/>
      <c r="S102" s="187"/>
      <c r="T102" s="187"/>
      <c r="U102" s="187"/>
    </row>
    <row r="103" spans="1:22" ht="15.75" customHeight="1">
      <c r="A103" s="85"/>
      <c r="C103" s="182" t="s">
        <v>11</v>
      </c>
      <c r="D103" s="182"/>
      <c r="E103" s="182"/>
      <c r="F103" s="23"/>
      <c r="I103" s="86" t="s">
        <v>12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2" ht="15.75" customHeight="1">
      <c r="A104" s="24"/>
      <c r="C104" s="11"/>
      <c r="D104" s="11"/>
      <c r="G104" s="11"/>
      <c r="H104" s="11"/>
    </row>
    <row r="105" spans="1:22" ht="15.75" customHeight="1">
      <c r="A105" s="167" t="s">
        <v>13</v>
      </c>
      <c r="B105" s="167"/>
      <c r="C105" s="188"/>
      <c r="D105" s="188"/>
      <c r="E105" s="188"/>
      <c r="F105" s="58"/>
      <c r="I105" s="88"/>
    </row>
    <row r="106" spans="1:22" ht="15.75" customHeight="1">
      <c r="A106" s="85"/>
      <c r="C106" s="187" t="s">
        <v>11</v>
      </c>
      <c r="D106" s="187"/>
      <c r="E106" s="187"/>
      <c r="F106" s="85"/>
      <c r="I106" s="86" t="s">
        <v>12</v>
      </c>
    </row>
    <row r="107" spans="1:22" ht="15.75" customHeight="1">
      <c r="A107" s="4" t="s">
        <v>14</v>
      </c>
    </row>
    <row r="108" spans="1:22" ht="15" customHeight="1">
      <c r="A108" s="189" t="s">
        <v>15</v>
      </c>
      <c r="B108" s="189"/>
      <c r="C108" s="189"/>
      <c r="D108" s="189"/>
      <c r="E108" s="189"/>
      <c r="F108" s="189"/>
      <c r="G108" s="189"/>
      <c r="H108" s="189"/>
      <c r="I108" s="189"/>
    </row>
    <row r="109" spans="1:22" ht="45" customHeight="1">
      <c r="A109" s="184" t="s">
        <v>16</v>
      </c>
      <c r="B109" s="184"/>
      <c r="C109" s="184"/>
      <c r="D109" s="184"/>
      <c r="E109" s="184"/>
      <c r="F109" s="184"/>
      <c r="G109" s="184"/>
      <c r="H109" s="184"/>
      <c r="I109" s="184"/>
    </row>
    <row r="110" spans="1:22" ht="30" customHeight="1">
      <c r="A110" s="184" t="s">
        <v>17</v>
      </c>
      <c r="B110" s="184"/>
      <c r="C110" s="184"/>
      <c r="D110" s="184"/>
      <c r="E110" s="184"/>
      <c r="F110" s="184"/>
      <c r="G110" s="184"/>
      <c r="H110" s="184"/>
      <c r="I110" s="184"/>
    </row>
    <row r="111" spans="1:22" ht="30" customHeight="1">
      <c r="A111" s="184" t="s">
        <v>21</v>
      </c>
      <c r="B111" s="184"/>
      <c r="C111" s="184"/>
      <c r="D111" s="184"/>
      <c r="E111" s="184"/>
      <c r="F111" s="184"/>
      <c r="G111" s="184"/>
      <c r="H111" s="184"/>
      <c r="I111" s="184"/>
    </row>
    <row r="112" spans="1:22" ht="15" customHeight="1">
      <c r="A112" s="184" t="s">
        <v>20</v>
      </c>
      <c r="B112" s="184"/>
      <c r="C112" s="184"/>
      <c r="D112" s="184"/>
      <c r="E112" s="184"/>
      <c r="F112" s="184"/>
      <c r="G112" s="184"/>
      <c r="H112" s="184"/>
      <c r="I112" s="184"/>
    </row>
  </sheetData>
  <autoFilter ref="I12:I98"/>
  <mergeCells count="31">
    <mergeCell ref="A112:I112"/>
    <mergeCell ref="A100:I100"/>
    <mergeCell ref="A102:B102"/>
    <mergeCell ref="C102:E102"/>
    <mergeCell ref="R102:U102"/>
    <mergeCell ref="C103:E103"/>
    <mergeCell ref="A105:B105"/>
    <mergeCell ref="C105:E105"/>
    <mergeCell ref="C106:E106"/>
    <mergeCell ref="A108:I108"/>
    <mergeCell ref="A109:I109"/>
    <mergeCell ref="A110:I110"/>
    <mergeCell ref="A111:I111"/>
    <mergeCell ref="A98:I98"/>
    <mergeCell ref="A15:I15"/>
    <mergeCell ref="A27:I27"/>
    <mergeCell ref="A42:I42"/>
    <mergeCell ref="A53:I53"/>
    <mergeCell ref="A81:I81"/>
    <mergeCell ref="A85:I85"/>
    <mergeCell ref="A92:I92"/>
    <mergeCell ref="B93:G93"/>
    <mergeCell ref="B94:G94"/>
    <mergeCell ref="A96:I96"/>
    <mergeCell ref="A97:I97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B29" sqref="B29:I3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3" t="s">
        <v>161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62" t="s">
        <v>128</v>
      </c>
      <c r="B3" s="162"/>
      <c r="C3" s="162"/>
      <c r="D3" s="162"/>
      <c r="E3" s="162"/>
      <c r="F3" s="162"/>
      <c r="G3" s="162"/>
      <c r="H3" s="162"/>
      <c r="I3" s="162"/>
      <c r="J3" s="2"/>
      <c r="K3" s="2"/>
      <c r="L3" s="2"/>
      <c r="M3" s="2"/>
    </row>
    <row r="4" spans="1:15" s="25" customFormat="1" ht="31.5" customHeight="1">
      <c r="A4" s="163" t="s">
        <v>82</v>
      </c>
      <c r="B4" s="163"/>
      <c r="C4" s="163"/>
      <c r="D4" s="163"/>
      <c r="E4" s="163"/>
      <c r="F4" s="163"/>
      <c r="G4" s="163"/>
      <c r="H4" s="163"/>
      <c r="I4" s="163"/>
      <c r="J4" s="3"/>
      <c r="K4" s="3"/>
      <c r="L4" s="3"/>
    </row>
    <row r="5" spans="1:15" s="25" customFormat="1" ht="15.75" customHeight="1">
      <c r="A5" s="162" t="s">
        <v>236</v>
      </c>
      <c r="B5" s="164"/>
      <c r="C5" s="164"/>
      <c r="D5" s="164"/>
      <c r="E5" s="164"/>
      <c r="F5" s="164"/>
      <c r="G5" s="164"/>
      <c r="H5" s="164"/>
      <c r="I5" s="164"/>
    </row>
    <row r="6" spans="1:15" s="25" customFormat="1" ht="15.75">
      <c r="A6" s="2"/>
      <c r="B6" s="84"/>
      <c r="C6" s="84"/>
      <c r="D6" s="84"/>
      <c r="E6" s="84"/>
      <c r="F6" s="84"/>
      <c r="G6" s="84"/>
      <c r="H6" s="84"/>
      <c r="I6" s="29">
        <v>43708</v>
      </c>
      <c r="J6" s="2"/>
      <c r="K6" s="2"/>
      <c r="L6" s="2"/>
      <c r="M6" s="2"/>
    </row>
    <row r="7" spans="1:15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65" t="s">
        <v>162</v>
      </c>
      <c r="B8" s="165"/>
      <c r="C8" s="165"/>
      <c r="D8" s="165"/>
      <c r="E8" s="165"/>
      <c r="F8" s="165"/>
      <c r="G8" s="165"/>
      <c r="H8" s="165"/>
      <c r="I8" s="16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66" t="s">
        <v>155</v>
      </c>
      <c r="B10" s="166"/>
      <c r="C10" s="166"/>
      <c r="D10" s="166"/>
      <c r="E10" s="166"/>
      <c r="F10" s="166"/>
      <c r="G10" s="166"/>
      <c r="H10" s="166"/>
      <c r="I10" s="166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132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59" t="s">
        <v>133</v>
      </c>
      <c r="B14" s="160"/>
      <c r="C14" s="160"/>
      <c r="D14" s="160"/>
      <c r="E14" s="160"/>
      <c r="F14" s="160"/>
      <c r="G14" s="160"/>
      <c r="H14" s="160"/>
      <c r="I14" s="160"/>
      <c r="J14" s="99"/>
      <c r="K14" s="99"/>
      <c r="L14" s="6"/>
      <c r="M14" s="6"/>
      <c r="N14" s="6"/>
      <c r="O14" s="6"/>
    </row>
    <row r="15" spans="1:15" ht="15.75" customHeight="1">
      <c r="A15" s="168" t="s">
        <v>3</v>
      </c>
      <c r="B15" s="169"/>
      <c r="C15" s="169"/>
      <c r="D15" s="169"/>
      <c r="E15" s="169"/>
      <c r="F15" s="169"/>
      <c r="G15" s="169"/>
      <c r="H15" s="169"/>
      <c r="I15" s="170"/>
      <c r="J15" s="6"/>
      <c r="K15" s="6"/>
      <c r="L15" s="6"/>
      <c r="M15" s="6"/>
    </row>
    <row r="16" spans="1:15" ht="15.75" customHeight="1">
      <c r="A16" s="26">
        <v>1</v>
      </c>
      <c r="B16" s="51" t="s">
        <v>77</v>
      </c>
      <c r="C16" s="59" t="s">
        <v>83</v>
      </c>
      <c r="D16" s="51" t="s">
        <v>203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80</v>
      </c>
      <c r="C17" s="59" t="s">
        <v>83</v>
      </c>
      <c r="D17" s="51" t="s">
        <v>204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81</v>
      </c>
      <c r="C18" s="59" t="s">
        <v>83</v>
      </c>
      <c r="D18" s="51" t="s">
        <v>205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84</v>
      </c>
      <c r="C19" s="59" t="s">
        <v>85</v>
      </c>
      <c r="D19" s="51" t="s">
        <v>86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5</v>
      </c>
      <c r="B20" s="51" t="s">
        <v>87</v>
      </c>
      <c r="C20" s="59" t="s">
        <v>83</v>
      </c>
      <c r="D20" s="51" t="s">
        <v>39</v>
      </c>
      <c r="E20" s="60">
        <v>10.5</v>
      </c>
      <c r="F20" s="61">
        <f>SUM(E20*2/100)</f>
        <v>0.21</v>
      </c>
      <c r="G20" s="61">
        <v>285.76</v>
      </c>
      <c r="H20" s="62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6</v>
      </c>
      <c r="B21" s="51" t="s">
        <v>88</v>
      </c>
      <c r="C21" s="59" t="s">
        <v>83</v>
      </c>
      <c r="D21" s="51" t="s">
        <v>39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89</v>
      </c>
      <c r="C22" s="59" t="s">
        <v>50</v>
      </c>
      <c r="D22" s="51" t="s">
        <v>86</v>
      </c>
      <c r="E22" s="60">
        <v>357</v>
      </c>
      <c r="F22" s="61">
        <f t="shared" ref="F22:F25" si="2">SUM(E22/100)</f>
        <v>3.57</v>
      </c>
      <c r="G22" s="61">
        <v>353.14</v>
      </c>
      <c r="H22" s="62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90</v>
      </c>
      <c r="C23" s="59" t="s">
        <v>50</v>
      </c>
      <c r="D23" s="51" t="s">
        <v>86</v>
      </c>
      <c r="E23" s="63">
        <v>38.64</v>
      </c>
      <c r="F23" s="61">
        <f t="shared" si="2"/>
        <v>0.38640000000000002</v>
      </c>
      <c r="G23" s="61">
        <v>58.08</v>
      </c>
      <c r="H23" s="62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91</v>
      </c>
      <c r="C24" s="59" t="s">
        <v>50</v>
      </c>
      <c r="D24" s="52" t="s">
        <v>86</v>
      </c>
      <c r="E24" s="17">
        <v>15</v>
      </c>
      <c r="F24" s="64">
        <f t="shared" si="2"/>
        <v>0.15</v>
      </c>
      <c r="G24" s="61">
        <v>511.12</v>
      </c>
      <c r="H24" s="62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92</v>
      </c>
      <c r="C25" s="59" t="s">
        <v>50</v>
      </c>
      <c r="D25" s="51" t="s">
        <v>86</v>
      </c>
      <c r="E25" s="65">
        <v>6.38</v>
      </c>
      <c r="F25" s="61">
        <f t="shared" si="2"/>
        <v>6.3799999999999996E-2</v>
      </c>
      <c r="G25" s="61">
        <v>638.04999999999995</v>
      </c>
      <c r="H25" s="62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32" t="s">
        <v>202</v>
      </c>
      <c r="C26" s="39" t="s">
        <v>157</v>
      </c>
      <c r="D26" s="32" t="s">
        <v>206</v>
      </c>
      <c r="E26" s="157">
        <v>4.5999999999999996</v>
      </c>
      <c r="F26" s="31">
        <f>E26*258</f>
        <v>1186.8</v>
      </c>
      <c r="G26" s="31">
        <v>10.39</v>
      </c>
      <c r="H26" s="62">
        <f t="shared" ref="H26" si="5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68" t="s">
        <v>134</v>
      </c>
      <c r="B27" s="169"/>
      <c r="C27" s="169"/>
      <c r="D27" s="169"/>
      <c r="E27" s="169"/>
      <c r="F27" s="169"/>
      <c r="G27" s="169"/>
      <c r="H27" s="169"/>
      <c r="I27" s="170"/>
      <c r="J27" s="21"/>
      <c r="K27" s="6"/>
      <c r="L27" s="6"/>
      <c r="M27" s="6"/>
    </row>
    <row r="28" spans="1:13" ht="15.75" customHeight="1">
      <c r="A28" s="102"/>
      <c r="B28" s="55" t="s">
        <v>135</v>
      </c>
      <c r="C28" s="103"/>
      <c r="D28" s="103"/>
      <c r="E28" s="103"/>
      <c r="F28" s="103"/>
      <c r="G28" s="103"/>
      <c r="H28" s="103"/>
      <c r="I28" s="103"/>
      <c r="J28" s="21"/>
      <c r="K28" s="6"/>
      <c r="L28" s="6"/>
      <c r="M28" s="6"/>
    </row>
    <row r="29" spans="1:13" ht="15.75" customHeight="1">
      <c r="A29" s="100">
        <v>5</v>
      </c>
      <c r="B29" s="51" t="s">
        <v>136</v>
      </c>
      <c r="C29" s="59" t="s">
        <v>93</v>
      </c>
      <c r="D29" s="51" t="s">
        <v>204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0" si="6">SUM(F29*G29/1000)</f>
        <v>2.2346109759999999</v>
      </c>
      <c r="I29" s="12">
        <f>F29/6*G29</f>
        <v>372.43516266666666</v>
      </c>
      <c r="J29" s="21"/>
      <c r="K29" s="6"/>
      <c r="L29" s="6"/>
      <c r="M29" s="6"/>
    </row>
    <row r="30" spans="1:13" ht="31.5" customHeight="1">
      <c r="A30" s="26">
        <v>6</v>
      </c>
      <c r="B30" s="51" t="s">
        <v>137</v>
      </c>
      <c r="C30" s="59" t="s">
        <v>93</v>
      </c>
      <c r="D30" s="51" t="s">
        <v>203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6"/>
        <v>2.4341709599999999</v>
      </c>
      <c r="I30" s="12">
        <f t="shared" ref="I30" si="7">F30/6*G30</f>
        <v>405.69515999999999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93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ref="H31:H33" si="8">SUM(F31*G31/1000)</f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/>
      <c r="B32" s="51" t="s">
        <v>60</v>
      </c>
      <c r="C32" s="59" t="s">
        <v>30</v>
      </c>
      <c r="D32" s="51" t="s">
        <v>61</v>
      </c>
      <c r="E32" s="60"/>
      <c r="F32" s="61">
        <v>1</v>
      </c>
      <c r="G32" s="61">
        <v>250.92</v>
      </c>
      <c r="H32" s="62">
        <f t="shared" si="8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5"/>
      <c r="B33" s="51" t="s">
        <v>104</v>
      </c>
      <c r="C33" s="59" t="s">
        <v>29</v>
      </c>
      <c r="D33" s="51" t="s">
        <v>61</v>
      </c>
      <c r="E33" s="60"/>
      <c r="F33" s="61">
        <v>1</v>
      </c>
      <c r="G33" s="61">
        <v>1490.31</v>
      </c>
      <c r="H33" s="62">
        <f t="shared" si="8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102"/>
      <c r="B34" s="55" t="s">
        <v>4</v>
      </c>
      <c r="C34" s="104"/>
      <c r="D34" s="104"/>
      <c r="E34" s="104"/>
      <c r="F34" s="104"/>
      <c r="G34" s="104"/>
      <c r="H34" s="104"/>
      <c r="I34" s="104"/>
      <c r="J34" s="21"/>
      <c r="K34" s="6"/>
      <c r="L34" s="6"/>
      <c r="M34" s="6"/>
    </row>
    <row r="35" spans="1:14" ht="15.75" hidden="1" customHeight="1">
      <c r="A35" s="100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9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143</v>
      </c>
      <c r="C36" s="59" t="s">
        <v>27</v>
      </c>
      <c r="D36" s="51" t="s">
        <v>105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106</v>
      </c>
      <c r="C37" s="59" t="s">
        <v>107</v>
      </c>
      <c r="D37" s="51" t="s">
        <v>61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10">F37/6*G37</f>
        <v>2072.1133333333332</v>
      </c>
      <c r="J37" s="21"/>
      <c r="K37" s="6"/>
    </row>
    <row r="38" spans="1:14" ht="15.75" hidden="1" customHeight="1">
      <c r="A38" s="26"/>
      <c r="B38" s="51" t="s">
        <v>62</v>
      </c>
      <c r="C38" s="59" t="s">
        <v>27</v>
      </c>
      <c r="D38" s="51" t="s">
        <v>108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9"/>
        <v>6.5598852000000001</v>
      </c>
      <c r="I38" s="12">
        <f t="shared" si="10"/>
        <v>1093.3141999999998</v>
      </c>
      <c r="J38" s="22"/>
    </row>
    <row r="39" spans="1:14" ht="48" hidden="1" customHeight="1">
      <c r="A39" s="26">
        <v>9</v>
      </c>
      <c r="B39" s="51" t="s">
        <v>76</v>
      </c>
      <c r="C39" s="59" t="s">
        <v>93</v>
      </c>
      <c r="D39" s="51" t="s">
        <v>144</v>
      </c>
      <c r="E39" s="61">
        <v>92</v>
      </c>
      <c r="F39" s="61">
        <f>SUM(E39*35/1000)</f>
        <v>3.22</v>
      </c>
      <c r="G39" s="61">
        <v>7611.16</v>
      </c>
      <c r="H39" s="62">
        <f t="shared" si="9"/>
        <v>24.507935199999999</v>
      </c>
      <c r="I39" s="12">
        <f t="shared" si="10"/>
        <v>4084.655866666667</v>
      </c>
      <c r="J39" s="22"/>
    </row>
    <row r="40" spans="1:14" ht="15.75" hidden="1" customHeight="1">
      <c r="A40" s="26">
        <v>10</v>
      </c>
      <c r="B40" s="51" t="s">
        <v>109</v>
      </c>
      <c r="C40" s="59" t="s">
        <v>93</v>
      </c>
      <c r="D40" s="51" t="s">
        <v>145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9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63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9"/>
        <v>0.79437600000000008</v>
      </c>
      <c r="I41" s="12">
        <f>F41/6*G41</f>
        <v>132.39600000000002</v>
      </c>
      <c r="J41" s="22"/>
    </row>
    <row r="42" spans="1:14" ht="15.75" hidden="1" customHeight="1">
      <c r="A42" s="171" t="s">
        <v>121</v>
      </c>
      <c r="B42" s="172"/>
      <c r="C42" s="172"/>
      <c r="D42" s="172"/>
      <c r="E42" s="172"/>
      <c r="F42" s="172"/>
      <c r="G42" s="172"/>
      <c r="H42" s="172"/>
      <c r="I42" s="173"/>
      <c r="J42" s="22"/>
      <c r="L42" s="18"/>
      <c r="M42" s="19"/>
      <c r="N42" s="20"/>
    </row>
    <row r="43" spans="1:14" ht="15.75" hidden="1" customHeight="1">
      <c r="A43" s="26">
        <v>17</v>
      </c>
      <c r="B43" s="32" t="s">
        <v>110</v>
      </c>
      <c r="C43" s="39" t="s">
        <v>93</v>
      </c>
      <c r="D43" s="32" t="s">
        <v>39</v>
      </c>
      <c r="E43" s="107">
        <v>1114.25</v>
      </c>
      <c r="F43" s="31">
        <f>SUM(E43*2/1000)</f>
        <v>2.2284999999999999</v>
      </c>
      <c r="G43" s="34">
        <v>1193.71</v>
      </c>
      <c r="H43" s="108">
        <f t="shared" ref="H43:H52" si="11">SUM(F43*G43/1000)</f>
        <v>2.6601827349999998</v>
      </c>
      <c r="I43" s="12">
        <f t="shared" ref="I43:I45" si="12">F43/2*G43</f>
        <v>1330.0913674999999</v>
      </c>
      <c r="J43" s="22"/>
      <c r="L43" s="18"/>
      <c r="M43" s="19"/>
      <c r="N43" s="20"/>
    </row>
    <row r="44" spans="1:14" ht="15.75" hidden="1" customHeight="1">
      <c r="A44" s="26">
        <v>18</v>
      </c>
      <c r="B44" s="32" t="s">
        <v>33</v>
      </c>
      <c r="C44" s="39" t="s">
        <v>93</v>
      </c>
      <c r="D44" s="32" t="s">
        <v>39</v>
      </c>
      <c r="E44" s="107">
        <v>2631</v>
      </c>
      <c r="F44" s="31">
        <f>SUM(E44*2/1000)</f>
        <v>5.2619999999999996</v>
      </c>
      <c r="G44" s="34">
        <v>1803.69</v>
      </c>
      <c r="H44" s="108">
        <f t="shared" si="11"/>
        <v>9.4910167800000007</v>
      </c>
      <c r="I44" s="12">
        <f t="shared" si="12"/>
        <v>4745.50839</v>
      </c>
      <c r="J44" s="22"/>
      <c r="L44" s="18"/>
      <c r="M44" s="19"/>
      <c r="N44" s="20"/>
    </row>
    <row r="45" spans="1:14" ht="15.75" hidden="1" customHeight="1">
      <c r="A45" s="26">
        <v>19</v>
      </c>
      <c r="B45" s="32" t="s">
        <v>34</v>
      </c>
      <c r="C45" s="39" t="s">
        <v>93</v>
      </c>
      <c r="D45" s="32" t="s">
        <v>39</v>
      </c>
      <c r="E45" s="107">
        <v>1953.8</v>
      </c>
      <c r="F45" s="31">
        <f>SUM(E45*2/1000)</f>
        <v>3.9076</v>
      </c>
      <c r="G45" s="34">
        <v>1243.43</v>
      </c>
      <c r="H45" s="108">
        <f t="shared" si="11"/>
        <v>4.8588270680000001</v>
      </c>
      <c r="I45" s="12">
        <f t="shared" si="12"/>
        <v>2429.4135340000003</v>
      </c>
      <c r="J45" s="22"/>
      <c r="L45" s="18"/>
      <c r="M45" s="19"/>
      <c r="N45" s="20"/>
    </row>
    <row r="46" spans="1:14" ht="15.75" hidden="1" customHeight="1">
      <c r="A46" s="26">
        <v>20</v>
      </c>
      <c r="B46" s="32" t="s">
        <v>31</v>
      </c>
      <c r="C46" s="39" t="s">
        <v>32</v>
      </c>
      <c r="D46" s="32" t="s">
        <v>39</v>
      </c>
      <c r="E46" s="107">
        <v>91.84</v>
      </c>
      <c r="F46" s="31">
        <f>SUM(E46*2/100)</f>
        <v>1.8368</v>
      </c>
      <c r="G46" s="109">
        <v>1172.4100000000001</v>
      </c>
      <c r="H46" s="108">
        <f t="shared" si="11"/>
        <v>2.153482688</v>
      </c>
      <c r="I46" s="12">
        <f>F46/2*G46</f>
        <v>1076.741344</v>
      </c>
      <c r="J46" s="22"/>
      <c r="L46" s="18"/>
      <c r="M46" s="19"/>
      <c r="N46" s="20"/>
    </row>
    <row r="47" spans="1:14" ht="15.75" hidden="1" customHeight="1">
      <c r="A47" s="26">
        <v>21</v>
      </c>
      <c r="B47" s="32" t="s">
        <v>54</v>
      </c>
      <c r="C47" s="39" t="s">
        <v>93</v>
      </c>
      <c r="D47" s="32" t="s">
        <v>141</v>
      </c>
      <c r="E47" s="107">
        <v>3181</v>
      </c>
      <c r="F47" s="31">
        <f>SUM(E47*5/1000)</f>
        <v>15.904999999999999</v>
      </c>
      <c r="G47" s="34">
        <v>1083.69</v>
      </c>
      <c r="H47" s="108">
        <f t="shared" si="11"/>
        <v>17.236089449999998</v>
      </c>
      <c r="I47" s="12">
        <f>F47/5*G47</f>
        <v>3447.2178900000004</v>
      </c>
      <c r="J47" s="22"/>
      <c r="L47" s="18"/>
      <c r="M47" s="19"/>
      <c r="N47" s="20"/>
    </row>
    <row r="48" spans="1:14" ht="31.5" hidden="1" customHeight="1">
      <c r="A48" s="26">
        <v>13</v>
      </c>
      <c r="B48" s="32" t="s">
        <v>111</v>
      </c>
      <c r="C48" s="39" t="s">
        <v>93</v>
      </c>
      <c r="D48" s="32" t="s">
        <v>39</v>
      </c>
      <c r="E48" s="107">
        <v>3181</v>
      </c>
      <c r="F48" s="31">
        <f>SUM(E48*2/1000)</f>
        <v>6.3620000000000001</v>
      </c>
      <c r="G48" s="34">
        <v>1591.6</v>
      </c>
      <c r="H48" s="108">
        <f t="shared" si="11"/>
        <v>10.125759200000001</v>
      </c>
      <c r="I48" s="12">
        <f>F48/2*G48</f>
        <v>5062.8796000000002</v>
      </c>
      <c r="J48" s="22"/>
      <c r="L48" s="18"/>
      <c r="M48" s="19"/>
      <c r="N48" s="20"/>
    </row>
    <row r="49" spans="1:14" ht="31.5" hidden="1" customHeight="1">
      <c r="A49" s="26">
        <v>13</v>
      </c>
      <c r="B49" s="32" t="s">
        <v>112</v>
      </c>
      <c r="C49" s="39" t="s">
        <v>35</v>
      </c>
      <c r="D49" s="32" t="s">
        <v>39</v>
      </c>
      <c r="E49" s="107">
        <v>20</v>
      </c>
      <c r="F49" s="31">
        <f>SUM(E49*2/100)</f>
        <v>0.4</v>
      </c>
      <c r="G49" s="34">
        <v>4058.32</v>
      </c>
      <c r="H49" s="108">
        <f t="shared" si="11"/>
        <v>1.6233280000000001</v>
      </c>
      <c r="I49" s="12">
        <f t="shared" ref="I49:I50" si="13">F49/2*G49</f>
        <v>811.6640000000001</v>
      </c>
      <c r="J49" s="22"/>
      <c r="L49" s="18"/>
      <c r="M49" s="19"/>
      <c r="N49" s="20"/>
    </row>
    <row r="50" spans="1:14" ht="15.75" hidden="1" customHeight="1">
      <c r="A50" s="26">
        <v>14</v>
      </c>
      <c r="B50" s="32" t="s">
        <v>36</v>
      </c>
      <c r="C50" s="39" t="s">
        <v>37</v>
      </c>
      <c r="D50" s="32" t="s">
        <v>39</v>
      </c>
      <c r="E50" s="107">
        <v>1</v>
      </c>
      <c r="F50" s="31">
        <v>0.02</v>
      </c>
      <c r="G50" s="34">
        <v>7412.92</v>
      </c>
      <c r="H50" s="108">
        <f t="shared" si="11"/>
        <v>0.14825839999999998</v>
      </c>
      <c r="I50" s="12">
        <f t="shared" si="13"/>
        <v>74.129199999999997</v>
      </c>
      <c r="J50" s="22"/>
      <c r="L50" s="18"/>
      <c r="M50" s="19"/>
      <c r="N50" s="20"/>
    </row>
    <row r="51" spans="1:14" ht="15.75" hidden="1" customHeight="1">
      <c r="A51" s="26">
        <v>22</v>
      </c>
      <c r="B51" s="32" t="s">
        <v>113</v>
      </c>
      <c r="C51" s="39" t="s">
        <v>94</v>
      </c>
      <c r="D51" s="32" t="s">
        <v>64</v>
      </c>
      <c r="E51" s="107">
        <v>70</v>
      </c>
      <c r="F51" s="31">
        <f>E51*3</f>
        <v>210</v>
      </c>
      <c r="G51" s="34">
        <v>185.08</v>
      </c>
      <c r="H51" s="108">
        <f t="shared" si="11"/>
        <v>38.866800000000005</v>
      </c>
      <c r="I51" s="12">
        <f>E51*G51</f>
        <v>12955.6</v>
      </c>
      <c r="J51" s="22"/>
      <c r="L51" s="18"/>
      <c r="M51" s="19"/>
      <c r="N51" s="20"/>
    </row>
    <row r="52" spans="1:14" ht="15.75" hidden="1" customHeight="1">
      <c r="A52" s="26">
        <v>23</v>
      </c>
      <c r="B52" s="32" t="s">
        <v>38</v>
      </c>
      <c r="C52" s="39" t="s">
        <v>94</v>
      </c>
      <c r="D52" s="32" t="s">
        <v>64</v>
      </c>
      <c r="E52" s="107">
        <v>140</v>
      </c>
      <c r="F52" s="31">
        <f>E52*3</f>
        <v>420</v>
      </c>
      <c r="G52" s="35">
        <v>86.15</v>
      </c>
      <c r="H52" s="108">
        <f t="shared" si="11"/>
        <v>36.183</v>
      </c>
      <c r="I52" s="12">
        <f>E52*G52</f>
        <v>12061</v>
      </c>
      <c r="J52" s="22"/>
      <c r="L52" s="18"/>
      <c r="M52" s="19"/>
      <c r="N52" s="20"/>
    </row>
    <row r="53" spans="1:14" ht="15.75" customHeight="1">
      <c r="A53" s="171" t="s">
        <v>78</v>
      </c>
      <c r="B53" s="174"/>
      <c r="C53" s="174"/>
      <c r="D53" s="174"/>
      <c r="E53" s="174"/>
      <c r="F53" s="174"/>
      <c r="G53" s="174"/>
      <c r="H53" s="174"/>
      <c r="I53" s="175"/>
      <c r="J53" s="22"/>
      <c r="L53" s="18"/>
      <c r="M53" s="19"/>
      <c r="N53" s="20"/>
    </row>
    <row r="54" spans="1:14" ht="15.75" hidden="1" customHeight="1">
      <c r="A54" s="26"/>
      <c r="B54" s="81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114</v>
      </c>
      <c r="C55" s="59" t="s">
        <v>83</v>
      </c>
      <c r="D55" s="51" t="s">
        <v>115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hidden="1" customHeight="1">
      <c r="A56" s="26"/>
      <c r="B56" s="70" t="s">
        <v>117</v>
      </c>
      <c r="C56" s="69" t="s">
        <v>118</v>
      </c>
      <c r="D56" s="13" t="s">
        <v>61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v>0</v>
      </c>
      <c r="J56" s="22"/>
      <c r="L56" s="18"/>
      <c r="M56" s="19"/>
      <c r="N56" s="20"/>
    </row>
    <row r="57" spans="1:14" ht="15.75" hidden="1" customHeight="1">
      <c r="A57" s="26"/>
      <c r="B57" s="82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/>
      <c r="B59" s="82" t="s">
        <v>43</v>
      </c>
      <c r="C59" s="69"/>
      <c r="D59" s="70"/>
      <c r="E59" s="71"/>
      <c r="F59" s="74"/>
      <c r="G59" s="74"/>
      <c r="H59" s="72" t="s">
        <v>102</v>
      </c>
      <c r="I59" s="12"/>
      <c r="J59" s="22"/>
      <c r="L59" s="18"/>
      <c r="M59" s="19"/>
      <c r="N59" s="20"/>
    </row>
    <row r="60" spans="1:14" ht="15.75" hidden="1" customHeight="1">
      <c r="A60" s="26">
        <v>9</v>
      </c>
      <c r="B60" s="13" t="s">
        <v>44</v>
      </c>
      <c r="C60" s="15" t="s">
        <v>94</v>
      </c>
      <c r="D60" s="13" t="s">
        <v>61</v>
      </c>
      <c r="E60" s="17">
        <v>4</v>
      </c>
      <c r="F60" s="61">
        <f>E60</f>
        <v>4</v>
      </c>
      <c r="G60" s="12">
        <v>291.68</v>
      </c>
      <c r="H60" s="75">
        <f t="shared" ref="H60:H68" si="14">SUM(F60*G60/1000)</f>
        <v>1.16672</v>
      </c>
      <c r="I60" s="12">
        <f>G60</f>
        <v>291.68</v>
      </c>
      <c r="J60" s="22"/>
      <c r="L60" s="18"/>
      <c r="M60" s="19"/>
      <c r="N60" s="20"/>
    </row>
    <row r="61" spans="1:14" ht="15.75" hidden="1" customHeight="1">
      <c r="A61" s="26">
        <v>17</v>
      </c>
      <c r="B61" s="13" t="s">
        <v>45</v>
      </c>
      <c r="C61" s="15" t="s">
        <v>94</v>
      </c>
      <c r="D61" s="13" t="s">
        <v>61</v>
      </c>
      <c r="E61" s="17">
        <v>4</v>
      </c>
      <c r="F61" s="61">
        <f>E61</f>
        <v>4</v>
      </c>
      <c r="G61" s="12">
        <v>100.01</v>
      </c>
      <c r="H61" s="75">
        <f t="shared" si="14"/>
        <v>0.40004000000000001</v>
      </c>
      <c r="I61" s="12">
        <v>0</v>
      </c>
      <c r="J61" s="22"/>
      <c r="L61" s="18"/>
      <c r="M61" s="19"/>
      <c r="N61" s="20"/>
    </row>
    <row r="62" spans="1:14" ht="15.75" hidden="1" customHeight="1">
      <c r="A62" s="26">
        <v>24</v>
      </c>
      <c r="B62" s="13" t="s">
        <v>46</v>
      </c>
      <c r="C62" s="15" t="s">
        <v>95</v>
      </c>
      <c r="D62" s="13" t="s">
        <v>51</v>
      </c>
      <c r="E62" s="60">
        <v>12702</v>
      </c>
      <c r="F62" s="12">
        <f>SUM(E62/100)</f>
        <v>127.02</v>
      </c>
      <c r="G62" s="12">
        <v>278.24</v>
      </c>
      <c r="H62" s="75">
        <f t="shared" si="14"/>
        <v>35.342044800000004</v>
      </c>
      <c r="I62" s="12">
        <f>F62*G62</f>
        <v>35342.044800000003</v>
      </c>
      <c r="J62" s="22"/>
      <c r="L62" s="18"/>
      <c r="M62" s="19"/>
      <c r="N62" s="20"/>
    </row>
    <row r="63" spans="1:14" ht="15.75" hidden="1" customHeight="1">
      <c r="A63" s="26">
        <v>25</v>
      </c>
      <c r="B63" s="13" t="s">
        <v>47</v>
      </c>
      <c r="C63" s="15" t="s">
        <v>96</v>
      </c>
      <c r="D63" s="13"/>
      <c r="E63" s="60">
        <v>12702</v>
      </c>
      <c r="F63" s="12">
        <f>SUM(E63/1000)</f>
        <v>12.702</v>
      </c>
      <c r="G63" s="12">
        <v>216.68</v>
      </c>
      <c r="H63" s="75">
        <f t="shared" si="14"/>
        <v>2.7522693600000001</v>
      </c>
      <c r="I63" s="12">
        <f t="shared" ref="I63:I66" si="15">F63*G63</f>
        <v>2752.2693600000002</v>
      </c>
      <c r="J63" s="22"/>
      <c r="L63" s="18"/>
      <c r="M63" s="19"/>
      <c r="N63" s="20"/>
    </row>
    <row r="64" spans="1:14" ht="15.75" hidden="1" customHeight="1">
      <c r="A64" s="26">
        <v>26</v>
      </c>
      <c r="B64" s="13" t="s">
        <v>48</v>
      </c>
      <c r="C64" s="15" t="s">
        <v>70</v>
      </c>
      <c r="D64" s="13" t="s">
        <v>51</v>
      </c>
      <c r="E64" s="60">
        <v>2200</v>
      </c>
      <c r="F64" s="12">
        <f>SUM(E64/100)</f>
        <v>22</v>
      </c>
      <c r="G64" s="12">
        <v>2720.94</v>
      </c>
      <c r="H64" s="75">
        <f t="shared" si="14"/>
        <v>59.860680000000002</v>
      </c>
      <c r="I64" s="12">
        <f t="shared" si="15"/>
        <v>59860.68</v>
      </c>
      <c r="J64" s="22"/>
      <c r="L64" s="18"/>
      <c r="M64" s="19"/>
      <c r="N64" s="20"/>
    </row>
    <row r="65" spans="1:14" ht="15.75" hidden="1" customHeight="1">
      <c r="A65" s="26">
        <v>27</v>
      </c>
      <c r="B65" s="76" t="s">
        <v>97</v>
      </c>
      <c r="C65" s="15" t="s">
        <v>30</v>
      </c>
      <c r="D65" s="13"/>
      <c r="E65" s="60">
        <v>9.6</v>
      </c>
      <c r="F65" s="12">
        <f>SUM(E65)</f>
        <v>9.6</v>
      </c>
      <c r="G65" s="12">
        <v>42.61</v>
      </c>
      <c r="H65" s="75">
        <f t="shared" si="14"/>
        <v>0.40905599999999998</v>
      </c>
      <c r="I65" s="12">
        <f t="shared" si="15"/>
        <v>409.05599999999998</v>
      </c>
      <c r="J65" s="22"/>
      <c r="L65" s="18"/>
      <c r="M65" s="19"/>
      <c r="N65" s="20"/>
    </row>
    <row r="66" spans="1:14" ht="21" hidden="1" customHeight="1">
      <c r="A66" s="26">
        <v>28</v>
      </c>
      <c r="B66" s="76" t="s">
        <v>98</v>
      </c>
      <c r="C66" s="15" t="s">
        <v>30</v>
      </c>
      <c r="D66" s="13"/>
      <c r="E66" s="60">
        <v>9.6</v>
      </c>
      <c r="F66" s="12">
        <f>SUM(E66)</f>
        <v>9.6</v>
      </c>
      <c r="G66" s="12">
        <v>46.04</v>
      </c>
      <c r="H66" s="75">
        <f t="shared" si="14"/>
        <v>0.44198399999999999</v>
      </c>
      <c r="I66" s="12">
        <f t="shared" si="15"/>
        <v>441.98399999999998</v>
      </c>
      <c r="J66" s="22"/>
      <c r="L66" s="18"/>
      <c r="M66" s="19"/>
      <c r="N66" s="20"/>
    </row>
    <row r="67" spans="1:14" ht="15.75" hidden="1" customHeight="1">
      <c r="A67" s="26"/>
      <c r="B67" s="13" t="s">
        <v>55</v>
      </c>
      <c r="C67" s="15" t="s">
        <v>56</v>
      </c>
      <c r="D67" s="13" t="s">
        <v>51</v>
      </c>
      <c r="E67" s="17">
        <v>4</v>
      </c>
      <c r="F67" s="12">
        <f>SUM(E67)</f>
        <v>4</v>
      </c>
      <c r="G67" s="12">
        <v>65.42</v>
      </c>
      <c r="H67" s="75">
        <f t="shared" si="14"/>
        <v>0.26168000000000002</v>
      </c>
      <c r="I67" s="12">
        <v>0</v>
      </c>
      <c r="J67" s="22"/>
      <c r="L67" s="18"/>
      <c r="M67" s="19"/>
      <c r="N67" s="20"/>
    </row>
    <row r="68" spans="1:14" ht="33.75" customHeight="1">
      <c r="A68" s="26">
        <v>7</v>
      </c>
      <c r="B68" s="13" t="s">
        <v>146</v>
      </c>
      <c r="C68" s="26" t="s">
        <v>147</v>
      </c>
      <c r="D68" s="13"/>
      <c r="E68" s="17">
        <v>3181</v>
      </c>
      <c r="F68" s="61">
        <f>SUM(E68)*12</f>
        <v>38172</v>
      </c>
      <c r="G68" s="12">
        <v>2.2799999999999998</v>
      </c>
      <c r="H68" s="75">
        <f t="shared" si="14"/>
        <v>87.03215999999999</v>
      </c>
      <c r="I68" s="12">
        <f>F68/12*G68</f>
        <v>7252.6799999999994</v>
      </c>
      <c r="J68" s="22"/>
      <c r="L68" s="18"/>
      <c r="M68" s="19"/>
      <c r="N68" s="20"/>
    </row>
    <row r="69" spans="1:14" ht="17.25" customHeight="1">
      <c r="A69" s="26"/>
      <c r="B69" s="55" t="s">
        <v>65</v>
      </c>
      <c r="C69" s="15"/>
      <c r="D69" s="13"/>
      <c r="E69" s="17"/>
      <c r="F69" s="12"/>
      <c r="G69" s="12"/>
      <c r="H69" s="75" t="s">
        <v>102</v>
      </c>
      <c r="I69" s="12"/>
      <c r="J69" s="22"/>
      <c r="L69" s="18"/>
      <c r="M69" s="19"/>
      <c r="N69" s="20"/>
    </row>
    <row r="70" spans="1:14" ht="16.5" hidden="1" customHeight="1">
      <c r="A70" s="26">
        <v>18</v>
      </c>
      <c r="B70" s="13" t="s">
        <v>148</v>
      </c>
      <c r="C70" s="15" t="s">
        <v>28</v>
      </c>
      <c r="D70" s="13" t="s">
        <v>61</v>
      </c>
      <c r="E70" s="17">
        <v>1</v>
      </c>
      <c r="F70" s="61">
        <f t="shared" ref="F70" si="16">E70</f>
        <v>1</v>
      </c>
      <c r="G70" s="12">
        <v>1543.4</v>
      </c>
      <c r="H70" s="75">
        <f>G70*F70/1000</f>
        <v>1.5434000000000001</v>
      </c>
      <c r="I70" s="12">
        <v>0</v>
      </c>
      <c r="J70" s="22"/>
      <c r="L70" s="18"/>
      <c r="M70" s="19"/>
      <c r="N70" s="20"/>
    </row>
    <row r="71" spans="1:14" ht="18.75" hidden="1" customHeight="1">
      <c r="A71" s="26"/>
      <c r="B71" s="50" t="s">
        <v>149</v>
      </c>
      <c r="C71" s="54" t="s">
        <v>94</v>
      </c>
      <c r="D71" s="13" t="s">
        <v>61</v>
      </c>
      <c r="E71" s="17">
        <v>1</v>
      </c>
      <c r="F71" s="61">
        <f>E71</f>
        <v>1</v>
      </c>
      <c r="G71" s="12">
        <v>130.96</v>
      </c>
      <c r="H71" s="75">
        <f>G71*F71/1000</f>
        <v>0.13096000000000002</v>
      </c>
      <c r="I71" s="12">
        <v>0</v>
      </c>
      <c r="J71" s="22"/>
      <c r="L71" s="18"/>
      <c r="M71" s="19"/>
      <c r="N71" s="20"/>
    </row>
    <row r="72" spans="1:14" ht="18" hidden="1" customHeight="1">
      <c r="A72" s="26"/>
      <c r="B72" s="13" t="s">
        <v>66</v>
      </c>
      <c r="C72" s="15" t="s">
        <v>68</v>
      </c>
      <c r="D72" s="13" t="s">
        <v>61</v>
      </c>
      <c r="E72" s="17">
        <v>3</v>
      </c>
      <c r="F72" s="61">
        <f>E72/10</f>
        <v>0.3</v>
      </c>
      <c r="G72" s="12">
        <v>657.87</v>
      </c>
      <c r="H72" s="75">
        <f t="shared" ref="H72:H75" si="17">SUM(F72*G72/1000)</f>
        <v>0.19736099999999998</v>
      </c>
      <c r="I72" s="12">
        <v>0</v>
      </c>
      <c r="J72" s="22"/>
      <c r="L72" s="18"/>
      <c r="M72" s="19"/>
      <c r="N72" s="20"/>
    </row>
    <row r="73" spans="1:14" ht="18.75" hidden="1" customHeight="1">
      <c r="A73" s="26"/>
      <c r="B73" s="13" t="s">
        <v>67</v>
      </c>
      <c r="C73" s="15" t="s">
        <v>28</v>
      </c>
      <c r="D73" s="13" t="s">
        <v>61</v>
      </c>
      <c r="E73" s="17">
        <v>1</v>
      </c>
      <c r="F73" s="61">
        <f>E73</f>
        <v>1</v>
      </c>
      <c r="G73" s="12">
        <v>1118.72</v>
      </c>
      <c r="H73" s="75">
        <f t="shared" si="17"/>
        <v>1.1187199999999999</v>
      </c>
      <c r="I73" s="12">
        <v>0</v>
      </c>
      <c r="J73" s="22"/>
      <c r="L73" s="18"/>
      <c r="M73" s="19"/>
      <c r="N73" s="20"/>
    </row>
    <row r="74" spans="1:14" ht="18" hidden="1" customHeight="1">
      <c r="A74" s="26"/>
      <c r="B74" s="50" t="s">
        <v>150</v>
      </c>
      <c r="C74" s="54" t="s">
        <v>94</v>
      </c>
      <c r="D74" s="13" t="s">
        <v>61</v>
      </c>
      <c r="E74" s="17">
        <v>1</v>
      </c>
      <c r="F74" s="61">
        <f>E74</f>
        <v>1</v>
      </c>
      <c r="G74" s="12">
        <v>1605.83</v>
      </c>
      <c r="H74" s="75">
        <f t="shared" si="17"/>
        <v>1.6058299999999999</v>
      </c>
      <c r="I74" s="12">
        <v>0</v>
      </c>
      <c r="J74" s="22"/>
      <c r="L74" s="18"/>
      <c r="M74" s="19"/>
      <c r="N74" s="20"/>
    </row>
    <row r="75" spans="1:14" ht="17.25" customHeight="1">
      <c r="A75" s="26">
        <v>8</v>
      </c>
      <c r="B75" s="50" t="s">
        <v>151</v>
      </c>
      <c r="C75" s="54" t="s">
        <v>94</v>
      </c>
      <c r="D75" s="13"/>
      <c r="E75" s="17">
        <v>2</v>
      </c>
      <c r="F75" s="61">
        <f>E75*12</f>
        <v>24</v>
      </c>
      <c r="G75" s="12">
        <v>53.42</v>
      </c>
      <c r="H75" s="75">
        <f t="shared" si="17"/>
        <v>1.2820799999999999</v>
      </c>
      <c r="I75" s="12">
        <f>G75*2</f>
        <v>106.84</v>
      </c>
      <c r="J75" s="22"/>
      <c r="L75" s="18"/>
      <c r="M75" s="19"/>
      <c r="N75" s="20"/>
    </row>
    <row r="76" spans="1:14" ht="21" hidden="1" customHeight="1">
      <c r="A76" s="26"/>
      <c r="B76" s="77" t="s">
        <v>69</v>
      </c>
      <c r="C76" s="15"/>
      <c r="D76" s="13"/>
      <c r="E76" s="17"/>
      <c r="F76" s="12"/>
      <c r="G76" s="12" t="s">
        <v>102</v>
      </c>
      <c r="H76" s="75" t="s">
        <v>102</v>
      </c>
      <c r="I76" s="12"/>
      <c r="J76" s="22"/>
      <c r="L76" s="18"/>
      <c r="M76" s="19"/>
      <c r="N76" s="20"/>
    </row>
    <row r="77" spans="1:14" ht="21" hidden="1" customHeight="1">
      <c r="A77" s="26"/>
      <c r="B77" s="45" t="s">
        <v>101</v>
      </c>
      <c r="C77" s="15" t="s">
        <v>70</v>
      </c>
      <c r="D77" s="13"/>
      <c r="E77" s="17"/>
      <c r="F77" s="12">
        <v>1</v>
      </c>
      <c r="G77" s="12">
        <v>3370.89</v>
      </c>
      <c r="H77" s="75">
        <f t="shared" ref="H77" si="18">SUM(F77*G77/1000)</f>
        <v>3.3708899999999997</v>
      </c>
      <c r="I77" s="12">
        <v>0</v>
      </c>
      <c r="J77" s="22"/>
      <c r="L77" s="18"/>
      <c r="M77" s="19"/>
      <c r="N77" s="20"/>
    </row>
    <row r="78" spans="1:14" ht="17.25" hidden="1" customHeight="1">
      <c r="A78" s="26"/>
      <c r="B78" s="55" t="s">
        <v>99</v>
      </c>
      <c r="C78" s="77"/>
      <c r="D78" s="27"/>
      <c r="E78" s="30"/>
      <c r="F78" s="66"/>
      <c r="G78" s="66"/>
      <c r="H78" s="78">
        <f>SUM(H55:H77)</f>
        <v>227.14633412000001</v>
      </c>
      <c r="I78" s="66"/>
      <c r="J78" s="22"/>
      <c r="L78" s="18"/>
      <c r="M78" s="19"/>
      <c r="N78" s="20"/>
    </row>
    <row r="79" spans="1:14" ht="21" hidden="1" customHeight="1">
      <c r="A79" s="105">
        <v>15</v>
      </c>
      <c r="B79" s="53" t="s">
        <v>100</v>
      </c>
      <c r="C79" s="110"/>
      <c r="D79" s="111"/>
      <c r="E79" s="111"/>
      <c r="F79" s="112">
        <v>1</v>
      </c>
      <c r="G79" s="112">
        <v>23195</v>
      </c>
      <c r="H79" s="113">
        <f>G79*F79/1000</f>
        <v>23.195</v>
      </c>
      <c r="I79" s="80">
        <f>G79</f>
        <v>23195</v>
      </c>
      <c r="J79" s="22"/>
      <c r="L79" s="18"/>
      <c r="M79" s="19"/>
      <c r="N79" s="20"/>
    </row>
    <row r="80" spans="1:14" ht="17.25" hidden="1" customHeight="1">
      <c r="A80" s="49"/>
      <c r="B80" s="114" t="s">
        <v>152</v>
      </c>
      <c r="C80" s="15"/>
      <c r="D80" s="13"/>
      <c r="E80" s="13"/>
      <c r="F80" s="12">
        <v>69</v>
      </c>
      <c r="G80" s="12">
        <v>700</v>
      </c>
      <c r="H80" s="75">
        <f>G80*F80/1000</f>
        <v>48.3</v>
      </c>
      <c r="I80" s="115">
        <v>0</v>
      </c>
      <c r="J80" s="22"/>
      <c r="L80" s="18"/>
      <c r="M80" s="19"/>
      <c r="N80" s="20"/>
    </row>
    <row r="81" spans="1:14" ht="15.75" customHeight="1">
      <c r="A81" s="168" t="s">
        <v>129</v>
      </c>
      <c r="B81" s="176"/>
      <c r="C81" s="176"/>
      <c r="D81" s="176"/>
      <c r="E81" s="176"/>
      <c r="F81" s="176"/>
      <c r="G81" s="176"/>
      <c r="H81" s="176"/>
      <c r="I81" s="177"/>
      <c r="J81" s="22"/>
      <c r="L81" s="18"/>
      <c r="M81" s="19"/>
      <c r="N81" s="20"/>
    </row>
    <row r="82" spans="1:14" ht="15.75" customHeight="1">
      <c r="A82" s="100">
        <v>9</v>
      </c>
      <c r="B82" s="32" t="s">
        <v>116</v>
      </c>
      <c r="C82" s="37" t="s">
        <v>52</v>
      </c>
      <c r="D82" s="79"/>
      <c r="E82" s="34">
        <v>3181</v>
      </c>
      <c r="F82" s="34">
        <f>SUM(E82*12)</f>
        <v>38172</v>
      </c>
      <c r="G82" s="34">
        <v>3.1</v>
      </c>
      <c r="H82" s="106">
        <f>SUM(F82*G82/1000)</f>
        <v>118.33319999999999</v>
      </c>
      <c r="I82" s="101">
        <f>F82/12*G82</f>
        <v>9861.1</v>
      </c>
      <c r="J82" s="22"/>
      <c r="L82" s="18"/>
      <c r="M82" s="19"/>
      <c r="N82" s="20"/>
    </row>
    <row r="83" spans="1:14" ht="31.5" customHeight="1">
      <c r="A83" s="26">
        <v>10</v>
      </c>
      <c r="B83" s="13" t="s">
        <v>71</v>
      </c>
      <c r="C83" s="15"/>
      <c r="D83" s="79"/>
      <c r="E83" s="60">
        <v>3181</v>
      </c>
      <c r="F83" s="12">
        <f>E83*12</f>
        <v>38172</v>
      </c>
      <c r="G83" s="12">
        <v>3.5</v>
      </c>
      <c r="H83" s="75">
        <f>F83*G83/1000</f>
        <v>133.602</v>
      </c>
      <c r="I83" s="12">
        <f>F83/12*G83</f>
        <v>11133.5</v>
      </c>
      <c r="J83" s="22"/>
      <c r="L83" s="18"/>
      <c r="M83" s="19"/>
      <c r="N83" s="20"/>
    </row>
    <row r="84" spans="1:14" ht="15.75" customHeight="1">
      <c r="A84" s="49"/>
      <c r="B84" s="38" t="s">
        <v>74</v>
      </c>
      <c r="C84" s="15"/>
      <c r="D84" s="45"/>
      <c r="E84" s="12"/>
      <c r="F84" s="12"/>
      <c r="G84" s="12"/>
      <c r="H84" s="75">
        <f>H83</f>
        <v>133.602</v>
      </c>
      <c r="I84" s="66">
        <f>I83+I82+I75+I68+I30+I29+I26+I18+I17+I16</f>
        <v>40683.627942666673</v>
      </c>
      <c r="J84" s="22"/>
      <c r="L84" s="18"/>
      <c r="M84" s="19"/>
      <c r="N84" s="20"/>
    </row>
    <row r="85" spans="1:14" ht="15.75" customHeight="1">
      <c r="A85" s="178" t="s">
        <v>57</v>
      </c>
      <c r="B85" s="179"/>
      <c r="C85" s="179"/>
      <c r="D85" s="179"/>
      <c r="E85" s="179"/>
      <c r="F85" s="179"/>
      <c r="G85" s="179"/>
      <c r="H85" s="179"/>
      <c r="I85" s="180"/>
      <c r="J85" s="22"/>
      <c r="L85" s="18"/>
      <c r="M85" s="19"/>
      <c r="N85" s="20"/>
    </row>
    <row r="86" spans="1:14" ht="15.75" customHeight="1">
      <c r="A86" s="26">
        <v>11</v>
      </c>
      <c r="B86" s="70" t="s">
        <v>156</v>
      </c>
      <c r="C86" s="69" t="s">
        <v>157</v>
      </c>
      <c r="D86" s="70"/>
      <c r="E86" s="71"/>
      <c r="F86" s="74">
        <v>96</v>
      </c>
      <c r="G86" s="56">
        <v>1.4</v>
      </c>
      <c r="H86" s="72">
        <f>F86*G86/1000</f>
        <v>0.13439999999999996</v>
      </c>
      <c r="I86" s="12">
        <f>G86*48</f>
        <v>67.199999999999989</v>
      </c>
      <c r="J86" s="22"/>
      <c r="L86" s="18"/>
      <c r="M86" s="19"/>
      <c r="N86" s="20"/>
    </row>
    <row r="87" spans="1:14" ht="32.25" customHeight="1">
      <c r="A87" s="26">
        <v>12</v>
      </c>
      <c r="B87" s="122" t="s">
        <v>119</v>
      </c>
      <c r="C87" s="123" t="s">
        <v>35</v>
      </c>
      <c r="D87" s="45"/>
      <c r="E87" s="12"/>
      <c r="F87" s="12">
        <v>2</v>
      </c>
      <c r="G87" s="34">
        <v>3914.31</v>
      </c>
      <c r="H87" s="75">
        <f>G87*F87/1000</f>
        <v>7.8286199999999999</v>
      </c>
      <c r="I87" s="80">
        <f>G87*0.02</f>
        <v>78.286199999999994</v>
      </c>
      <c r="J87" s="22"/>
      <c r="L87" s="18"/>
      <c r="M87" s="19"/>
      <c r="N87" s="20"/>
    </row>
    <row r="88" spans="1:14" ht="15.75" hidden="1" customHeight="1">
      <c r="A88" s="26"/>
      <c r="B88" s="50"/>
      <c r="C88" s="54"/>
      <c r="D88" s="13"/>
      <c r="E88" s="17"/>
      <c r="F88" s="12"/>
      <c r="G88" s="12"/>
      <c r="H88" s="75"/>
      <c r="I88" s="80"/>
      <c r="J88" s="22"/>
      <c r="L88" s="18"/>
      <c r="M88" s="19"/>
      <c r="N88" s="20"/>
    </row>
    <row r="89" spans="1:14" ht="15.75" customHeight="1">
      <c r="A89" s="26"/>
      <c r="B89" s="27" t="s">
        <v>49</v>
      </c>
      <c r="C89" s="40"/>
      <c r="D89" s="46"/>
      <c r="E89" s="40">
        <v>1</v>
      </c>
      <c r="F89" s="40"/>
      <c r="G89" s="40"/>
      <c r="H89" s="40"/>
      <c r="I89" s="30">
        <f>SUM(I86:I88)</f>
        <v>145.4862</v>
      </c>
      <c r="J89" s="22"/>
      <c r="L89" s="18"/>
      <c r="M89" s="19"/>
      <c r="N89" s="20"/>
    </row>
    <row r="90" spans="1:14" ht="15.75" customHeight="1">
      <c r="A90" s="26"/>
      <c r="B90" s="45" t="s">
        <v>72</v>
      </c>
      <c r="C90" s="14"/>
      <c r="D90" s="14"/>
      <c r="E90" s="41"/>
      <c r="F90" s="41"/>
      <c r="G90" s="42"/>
      <c r="H90" s="42"/>
      <c r="I90" s="16">
        <v>0</v>
      </c>
      <c r="J90" s="22"/>
      <c r="L90" s="18"/>
      <c r="M90" s="19"/>
      <c r="N90" s="20"/>
    </row>
    <row r="91" spans="1:14" ht="15.75" customHeight="1">
      <c r="A91" s="47"/>
      <c r="B91" s="44" t="s">
        <v>142</v>
      </c>
      <c r="C91" s="33"/>
      <c r="D91" s="33"/>
      <c r="E91" s="33"/>
      <c r="F91" s="33"/>
      <c r="G91" s="33"/>
      <c r="H91" s="33"/>
      <c r="I91" s="43">
        <f>I84+I89</f>
        <v>40829.114142666673</v>
      </c>
      <c r="J91" s="22"/>
      <c r="L91" s="18"/>
      <c r="M91" s="19"/>
      <c r="N91" s="20"/>
    </row>
    <row r="92" spans="1:14" ht="15.75" customHeight="1">
      <c r="A92" s="167" t="s">
        <v>244</v>
      </c>
      <c r="B92" s="167"/>
      <c r="C92" s="167"/>
      <c r="D92" s="167"/>
      <c r="E92" s="167"/>
      <c r="F92" s="167"/>
      <c r="G92" s="167"/>
      <c r="H92" s="167"/>
      <c r="I92" s="167"/>
      <c r="J92" s="22"/>
      <c r="L92" s="18"/>
      <c r="M92" s="19"/>
      <c r="N92" s="20"/>
    </row>
    <row r="93" spans="1:14" ht="15.75" customHeight="1">
      <c r="A93" s="8"/>
      <c r="B93" s="181" t="s">
        <v>245</v>
      </c>
      <c r="C93" s="181"/>
      <c r="D93" s="181"/>
      <c r="E93" s="181"/>
      <c r="F93" s="181"/>
      <c r="G93" s="181"/>
      <c r="H93" s="83"/>
      <c r="I93" s="3"/>
      <c r="J93" s="22"/>
      <c r="L93" s="18"/>
      <c r="M93" s="19"/>
      <c r="N93" s="20"/>
    </row>
    <row r="94" spans="1:14" ht="15.75" customHeight="1">
      <c r="A94" s="85"/>
      <c r="B94" s="182" t="s">
        <v>5</v>
      </c>
      <c r="C94" s="182"/>
      <c r="D94" s="182"/>
      <c r="E94" s="182"/>
      <c r="F94" s="182"/>
      <c r="G94" s="182"/>
      <c r="H94" s="23"/>
      <c r="I94" s="5"/>
      <c r="J94" s="22"/>
      <c r="K94" s="22"/>
      <c r="L94" s="22"/>
      <c r="M94" s="19"/>
      <c r="N94" s="20"/>
    </row>
    <row r="95" spans="1:14" ht="15.75" customHeight="1">
      <c r="A95" s="9"/>
      <c r="B95" s="9"/>
      <c r="C95" s="9"/>
      <c r="D95" s="9"/>
      <c r="E95" s="9"/>
      <c r="F95" s="9"/>
      <c r="G95" s="9"/>
      <c r="H95" s="9"/>
      <c r="I95" s="9"/>
      <c r="J95" s="22"/>
      <c r="K95" s="22"/>
      <c r="L95" s="22"/>
      <c r="M95" s="19"/>
      <c r="N95" s="20"/>
    </row>
    <row r="96" spans="1:14" ht="15.75" customHeight="1">
      <c r="A96" s="183" t="s">
        <v>6</v>
      </c>
      <c r="B96" s="183"/>
      <c r="C96" s="183"/>
      <c r="D96" s="183"/>
      <c r="E96" s="183"/>
      <c r="F96" s="183"/>
      <c r="G96" s="183"/>
      <c r="H96" s="183"/>
      <c r="I96" s="183"/>
      <c r="J96" s="22"/>
      <c r="K96" s="22"/>
      <c r="L96" s="22"/>
    </row>
    <row r="97" spans="1:22" ht="15.75" customHeight="1">
      <c r="A97" s="183" t="s">
        <v>7</v>
      </c>
      <c r="B97" s="183"/>
      <c r="C97" s="183"/>
      <c r="D97" s="183"/>
      <c r="E97" s="183"/>
      <c r="F97" s="183"/>
      <c r="G97" s="183"/>
      <c r="H97" s="183"/>
      <c r="I97" s="183"/>
      <c r="J97" s="22"/>
      <c r="K97" s="22"/>
      <c r="L97" s="22"/>
    </row>
    <row r="98" spans="1:22" ht="15.75" customHeight="1">
      <c r="A98" s="167" t="s">
        <v>8</v>
      </c>
      <c r="B98" s="167"/>
      <c r="C98" s="167"/>
      <c r="D98" s="167"/>
      <c r="E98" s="167"/>
      <c r="F98" s="167"/>
      <c r="G98" s="167"/>
      <c r="H98" s="167"/>
      <c r="I98" s="167"/>
    </row>
    <row r="99" spans="1:22" ht="15.75" customHeight="1">
      <c r="A99" s="10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7"/>
    </row>
    <row r="100" spans="1:22" ht="15.75" customHeight="1">
      <c r="A100" s="185" t="s">
        <v>9</v>
      </c>
      <c r="B100" s="185"/>
      <c r="C100" s="185"/>
      <c r="D100" s="185"/>
      <c r="E100" s="185"/>
      <c r="F100" s="185"/>
      <c r="G100" s="185"/>
      <c r="H100" s="185"/>
      <c r="I100" s="185"/>
      <c r="J100" s="24"/>
      <c r="K100" s="24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2" ht="15.75" customHeight="1">
      <c r="A101" s="4"/>
      <c r="J101" s="3"/>
      <c r="K101" s="3"/>
      <c r="L101" s="3"/>
      <c r="M101" s="3"/>
      <c r="N101" s="3"/>
      <c r="O101" s="3"/>
      <c r="P101" s="3"/>
      <c r="Q101" s="3"/>
      <c r="S101" s="3"/>
      <c r="T101" s="3"/>
      <c r="U101" s="3"/>
    </row>
    <row r="102" spans="1:22" ht="15.75" customHeight="1">
      <c r="A102" s="167" t="s">
        <v>10</v>
      </c>
      <c r="B102" s="167"/>
      <c r="C102" s="186" t="s">
        <v>79</v>
      </c>
      <c r="D102" s="186"/>
      <c r="E102" s="186"/>
      <c r="F102" s="57"/>
      <c r="I102" s="88"/>
      <c r="J102" s="5"/>
      <c r="K102" s="5"/>
      <c r="L102" s="5"/>
      <c r="M102" s="5"/>
      <c r="N102" s="5"/>
      <c r="O102" s="5"/>
      <c r="P102" s="5"/>
      <c r="Q102" s="5"/>
      <c r="R102" s="187"/>
      <c r="S102" s="187"/>
      <c r="T102" s="187"/>
      <c r="U102" s="187"/>
    </row>
    <row r="103" spans="1:22" ht="15.75" customHeight="1">
      <c r="A103" s="85"/>
      <c r="C103" s="182" t="s">
        <v>11</v>
      </c>
      <c r="D103" s="182"/>
      <c r="E103" s="182"/>
      <c r="F103" s="23"/>
      <c r="I103" s="86" t="s">
        <v>12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2" ht="15.75" customHeight="1">
      <c r="A104" s="24"/>
      <c r="C104" s="11"/>
      <c r="D104" s="11"/>
      <c r="G104" s="11"/>
      <c r="H104" s="11"/>
    </row>
    <row r="105" spans="1:22" ht="15.75" customHeight="1">
      <c r="A105" s="167" t="s">
        <v>13</v>
      </c>
      <c r="B105" s="167"/>
      <c r="C105" s="188"/>
      <c r="D105" s="188"/>
      <c r="E105" s="188"/>
      <c r="F105" s="58"/>
      <c r="I105" s="88"/>
    </row>
    <row r="106" spans="1:22" ht="15.75" customHeight="1">
      <c r="A106" s="85"/>
      <c r="C106" s="187" t="s">
        <v>11</v>
      </c>
      <c r="D106" s="187"/>
      <c r="E106" s="187"/>
      <c r="F106" s="85"/>
      <c r="I106" s="86" t="s">
        <v>12</v>
      </c>
    </row>
    <row r="107" spans="1:22" ht="15.75" customHeight="1">
      <c r="A107" s="4" t="s">
        <v>14</v>
      </c>
    </row>
    <row r="108" spans="1:22" ht="15" customHeight="1">
      <c r="A108" s="189" t="s">
        <v>15</v>
      </c>
      <c r="B108" s="189"/>
      <c r="C108" s="189"/>
      <c r="D108" s="189"/>
      <c r="E108" s="189"/>
      <c r="F108" s="189"/>
      <c r="G108" s="189"/>
      <c r="H108" s="189"/>
      <c r="I108" s="189"/>
    </row>
    <row r="109" spans="1:22" ht="45" customHeight="1">
      <c r="A109" s="184" t="s">
        <v>16</v>
      </c>
      <c r="B109" s="184"/>
      <c r="C109" s="184"/>
      <c r="D109" s="184"/>
      <c r="E109" s="184"/>
      <c r="F109" s="184"/>
      <c r="G109" s="184"/>
      <c r="H109" s="184"/>
      <c r="I109" s="184"/>
    </row>
    <row r="110" spans="1:22" ht="30" customHeight="1">
      <c r="A110" s="184" t="s">
        <v>17</v>
      </c>
      <c r="B110" s="184"/>
      <c r="C110" s="184"/>
      <c r="D110" s="184"/>
      <c r="E110" s="184"/>
      <c r="F110" s="184"/>
      <c r="G110" s="184"/>
      <c r="H110" s="184"/>
      <c r="I110" s="184"/>
    </row>
    <row r="111" spans="1:22" ht="30" customHeight="1">
      <c r="A111" s="184" t="s">
        <v>21</v>
      </c>
      <c r="B111" s="184"/>
      <c r="C111" s="184"/>
      <c r="D111" s="184"/>
      <c r="E111" s="184"/>
      <c r="F111" s="184"/>
      <c r="G111" s="184"/>
      <c r="H111" s="184"/>
      <c r="I111" s="184"/>
    </row>
    <row r="112" spans="1:22" ht="15" customHeight="1">
      <c r="A112" s="184" t="s">
        <v>20</v>
      </c>
      <c r="B112" s="184"/>
      <c r="C112" s="184"/>
      <c r="D112" s="184"/>
      <c r="E112" s="184"/>
      <c r="F112" s="184"/>
      <c r="G112" s="184"/>
      <c r="H112" s="184"/>
      <c r="I112" s="184"/>
    </row>
  </sheetData>
  <autoFilter ref="I12:I98"/>
  <mergeCells count="31">
    <mergeCell ref="A112:I112"/>
    <mergeCell ref="A100:I100"/>
    <mergeCell ref="A102:B102"/>
    <mergeCell ref="C102:E102"/>
    <mergeCell ref="R102:U102"/>
    <mergeCell ref="C103:E103"/>
    <mergeCell ref="A105:B105"/>
    <mergeCell ref="C105:E105"/>
    <mergeCell ref="C106:E106"/>
    <mergeCell ref="A108:I108"/>
    <mergeCell ref="A109:I109"/>
    <mergeCell ref="A110:I110"/>
    <mergeCell ref="A111:I111"/>
    <mergeCell ref="A98:I98"/>
    <mergeCell ref="A15:I15"/>
    <mergeCell ref="A27:I27"/>
    <mergeCell ref="A42:I42"/>
    <mergeCell ref="A53:I53"/>
    <mergeCell ref="A81:I81"/>
    <mergeCell ref="A85:I85"/>
    <mergeCell ref="A92:I92"/>
    <mergeCell ref="B93:G93"/>
    <mergeCell ref="B94:G94"/>
    <mergeCell ref="A96:I96"/>
    <mergeCell ref="A97:I97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K92" sqref="K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4" t="s">
        <v>161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62" t="s">
        <v>130</v>
      </c>
      <c r="B3" s="162"/>
      <c r="C3" s="162"/>
      <c r="D3" s="162"/>
      <c r="E3" s="162"/>
      <c r="F3" s="162"/>
      <c r="G3" s="162"/>
      <c r="H3" s="162"/>
      <c r="I3" s="162"/>
      <c r="J3" s="2"/>
      <c r="K3" s="2"/>
      <c r="L3" s="2"/>
      <c r="M3" s="2"/>
    </row>
    <row r="4" spans="1:15" s="25" customFormat="1" ht="31.5" customHeight="1">
      <c r="A4" s="163" t="s">
        <v>82</v>
      </c>
      <c r="B4" s="163"/>
      <c r="C4" s="163"/>
      <c r="D4" s="163"/>
      <c r="E4" s="163"/>
      <c r="F4" s="163"/>
      <c r="G4" s="163"/>
      <c r="H4" s="163"/>
      <c r="I4" s="163"/>
      <c r="J4" s="3"/>
      <c r="K4" s="3"/>
      <c r="L4" s="3"/>
    </row>
    <row r="5" spans="1:15" s="25" customFormat="1" ht="15.75" customHeight="1">
      <c r="A5" s="162" t="s">
        <v>237</v>
      </c>
      <c r="B5" s="164"/>
      <c r="C5" s="164"/>
      <c r="D5" s="164"/>
      <c r="E5" s="164"/>
      <c r="F5" s="164"/>
      <c r="G5" s="164"/>
      <c r="H5" s="164"/>
      <c r="I5" s="164"/>
    </row>
    <row r="6" spans="1:15" s="25" customFormat="1" ht="15.75">
      <c r="A6" s="2"/>
      <c r="B6" s="84"/>
      <c r="C6" s="84"/>
      <c r="D6" s="84"/>
      <c r="E6" s="84"/>
      <c r="F6" s="84"/>
      <c r="G6" s="84"/>
      <c r="H6" s="84"/>
      <c r="I6" s="29">
        <v>43738</v>
      </c>
      <c r="J6" s="2"/>
      <c r="K6" s="2"/>
      <c r="L6" s="2"/>
      <c r="M6" s="2"/>
    </row>
    <row r="7" spans="1:15" ht="15.75">
      <c r="B7" s="87"/>
      <c r="C7" s="87"/>
      <c r="D7" s="87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65" t="s">
        <v>162</v>
      </c>
      <c r="B8" s="165"/>
      <c r="C8" s="165"/>
      <c r="D8" s="165"/>
      <c r="E8" s="165"/>
      <c r="F8" s="165"/>
      <c r="G8" s="165"/>
      <c r="H8" s="165"/>
      <c r="I8" s="16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66" t="s">
        <v>155</v>
      </c>
      <c r="B10" s="166"/>
      <c r="C10" s="166"/>
      <c r="D10" s="166"/>
      <c r="E10" s="166"/>
      <c r="F10" s="166"/>
      <c r="G10" s="166"/>
      <c r="H10" s="166"/>
      <c r="I10" s="166"/>
      <c r="J10" s="2"/>
      <c r="K10" s="2"/>
      <c r="L10" s="2"/>
      <c r="M10" s="2"/>
    </row>
    <row r="11" spans="1:15" ht="15.75">
      <c r="A11" s="4"/>
    </row>
    <row r="12" spans="1:15" s="48" customFormat="1" ht="47.25" customHeight="1">
      <c r="A12" s="95" t="s">
        <v>0</v>
      </c>
      <c r="B12" s="95" t="s">
        <v>132</v>
      </c>
      <c r="C12" s="95" t="s">
        <v>1</v>
      </c>
      <c r="D12" s="95" t="s">
        <v>18</v>
      </c>
      <c r="E12" s="95" t="s">
        <v>19</v>
      </c>
      <c r="F12" s="95"/>
      <c r="G12" s="95" t="s">
        <v>22</v>
      </c>
      <c r="H12" s="95"/>
      <c r="I12" s="95" t="s">
        <v>2</v>
      </c>
    </row>
    <row r="13" spans="1:15" s="48" customFormat="1" ht="12.75">
      <c r="A13" s="96">
        <v>1</v>
      </c>
      <c r="B13" s="96">
        <v>2</v>
      </c>
      <c r="C13" s="96">
        <v>3</v>
      </c>
      <c r="D13" s="97">
        <v>4</v>
      </c>
      <c r="E13" s="96">
        <v>5</v>
      </c>
      <c r="F13" s="96"/>
      <c r="G13" s="96">
        <v>5</v>
      </c>
      <c r="H13" s="96"/>
      <c r="I13" s="96">
        <v>6</v>
      </c>
      <c r="J13" s="98"/>
      <c r="K13" s="98"/>
      <c r="L13" s="98"/>
      <c r="M13" s="98"/>
    </row>
    <row r="14" spans="1:15" ht="15.75" customHeight="1">
      <c r="A14" s="159" t="s">
        <v>133</v>
      </c>
      <c r="B14" s="160"/>
      <c r="C14" s="160"/>
      <c r="D14" s="160"/>
      <c r="E14" s="160"/>
      <c r="F14" s="160"/>
      <c r="G14" s="160"/>
      <c r="H14" s="160"/>
      <c r="I14" s="160"/>
      <c r="J14" s="99"/>
      <c r="K14" s="99"/>
      <c r="L14" s="6"/>
      <c r="M14" s="6"/>
      <c r="N14" s="6"/>
      <c r="O14" s="6"/>
    </row>
    <row r="15" spans="1:15" ht="15.75" customHeight="1">
      <c r="A15" s="168" t="s">
        <v>3</v>
      </c>
      <c r="B15" s="169"/>
      <c r="C15" s="169"/>
      <c r="D15" s="169"/>
      <c r="E15" s="169"/>
      <c r="F15" s="169"/>
      <c r="G15" s="169"/>
      <c r="H15" s="169"/>
      <c r="I15" s="170"/>
      <c r="J15" s="6"/>
      <c r="K15" s="6"/>
      <c r="L15" s="6"/>
      <c r="M15" s="6"/>
    </row>
    <row r="16" spans="1:15" ht="15.75" customHeight="1">
      <c r="A16" s="26">
        <v>1</v>
      </c>
      <c r="B16" s="51" t="s">
        <v>77</v>
      </c>
      <c r="C16" s="59" t="s">
        <v>83</v>
      </c>
      <c r="D16" s="51" t="s">
        <v>203</v>
      </c>
      <c r="E16" s="60">
        <v>59.9</v>
      </c>
      <c r="F16" s="61">
        <f>SUM(E16*156/100)</f>
        <v>93.444000000000003</v>
      </c>
      <c r="G16" s="61">
        <v>230</v>
      </c>
      <c r="H16" s="62">
        <f t="shared" ref="H16:H18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1" t="s">
        <v>80</v>
      </c>
      <c r="C17" s="59" t="s">
        <v>83</v>
      </c>
      <c r="D17" s="51" t="s">
        <v>204</v>
      </c>
      <c r="E17" s="60">
        <v>239.4</v>
      </c>
      <c r="F17" s="61">
        <f>SUM(E17*104/100)</f>
        <v>248.97600000000003</v>
      </c>
      <c r="G17" s="61">
        <v>230</v>
      </c>
      <c r="H17" s="62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1" t="s">
        <v>81</v>
      </c>
      <c r="C18" s="59" t="s">
        <v>83</v>
      </c>
      <c r="D18" s="51" t="s">
        <v>205</v>
      </c>
      <c r="E18" s="60">
        <f>SUM(E16+E17)</f>
        <v>299.3</v>
      </c>
      <c r="F18" s="61">
        <f>SUM(E18*24/100)</f>
        <v>71.832000000000008</v>
      </c>
      <c r="G18" s="61">
        <v>661.67</v>
      </c>
      <c r="H18" s="62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1" t="s">
        <v>84</v>
      </c>
      <c r="C19" s="59" t="s">
        <v>85</v>
      </c>
      <c r="D19" s="51" t="s">
        <v>86</v>
      </c>
      <c r="E19" s="60">
        <v>25.6</v>
      </c>
      <c r="F19" s="61">
        <f>SUM(E19/10)</f>
        <v>2.56</v>
      </c>
      <c r="G19" s="61">
        <v>223.17</v>
      </c>
      <c r="H19" s="62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customHeight="1">
      <c r="A20" s="26">
        <v>4</v>
      </c>
      <c r="B20" s="51" t="s">
        <v>87</v>
      </c>
      <c r="C20" s="59" t="s">
        <v>83</v>
      </c>
      <c r="D20" s="51" t="s">
        <v>211</v>
      </c>
      <c r="E20" s="60">
        <v>10.5</v>
      </c>
      <c r="F20" s="61">
        <f>SUM(E20*2/100)</f>
        <v>0.21</v>
      </c>
      <c r="G20" s="61">
        <v>285.76</v>
      </c>
      <c r="H20" s="62">
        <f t="shared" ref="H20:H25" si="1">SUM(F20*G20/1000)</f>
        <v>6.0009599999999996E-2</v>
      </c>
      <c r="I20" s="12">
        <f t="shared" ref="I20:I21" si="2">F20/2*G20</f>
        <v>30.004799999999999</v>
      </c>
      <c r="J20" s="21"/>
      <c r="K20" s="6"/>
      <c r="L20" s="6"/>
      <c r="M20" s="6"/>
    </row>
    <row r="21" spans="1:13" ht="15.75" customHeight="1">
      <c r="A21" s="26">
        <v>5</v>
      </c>
      <c r="B21" s="51" t="s">
        <v>88</v>
      </c>
      <c r="C21" s="59" t="s">
        <v>83</v>
      </c>
      <c r="D21" s="51" t="s">
        <v>211</v>
      </c>
      <c r="E21" s="60">
        <v>2.7</v>
      </c>
      <c r="F21" s="61">
        <f>SUM(E21*2/100)</f>
        <v>5.4000000000000006E-2</v>
      </c>
      <c r="G21" s="61">
        <v>283.44</v>
      </c>
      <c r="H21" s="62">
        <f t="shared" si="1"/>
        <v>1.5305760000000002E-2</v>
      </c>
      <c r="I21" s="12">
        <f t="shared" si="2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1" t="s">
        <v>89</v>
      </c>
      <c r="C22" s="59" t="s">
        <v>50</v>
      </c>
      <c r="D22" s="51" t="s">
        <v>86</v>
      </c>
      <c r="E22" s="60">
        <v>357</v>
      </c>
      <c r="F22" s="61">
        <f t="shared" ref="F22:F25" si="3">SUM(E22/100)</f>
        <v>3.57</v>
      </c>
      <c r="G22" s="61">
        <v>353.14</v>
      </c>
      <c r="H22" s="62">
        <f t="shared" si="1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1" t="s">
        <v>90</v>
      </c>
      <c r="C23" s="59" t="s">
        <v>50</v>
      </c>
      <c r="D23" s="51" t="s">
        <v>86</v>
      </c>
      <c r="E23" s="63">
        <v>38.64</v>
      </c>
      <c r="F23" s="61">
        <f t="shared" si="3"/>
        <v>0.38640000000000002</v>
      </c>
      <c r="G23" s="61">
        <v>58.08</v>
      </c>
      <c r="H23" s="62">
        <f t="shared" si="1"/>
        <v>2.2442112E-2</v>
      </c>
      <c r="I23" s="12">
        <f t="shared" ref="I23:I25" si="4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1" t="s">
        <v>91</v>
      </c>
      <c r="C24" s="59" t="s">
        <v>50</v>
      </c>
      <c r="D24" s="52" t="s">
        <v>86</v>
      </c>
      <c r="E24" s="17">
        <v>15</v>
      </c>
      <c r="F24" s="64">
        <f t="shared" si="3"/>
        <v>0.15</v>
      </c>
      <c r="G24" s="61">
        <v>511.12</v>
      </c>
      <c r="H24" s="62">
        <f t="shared" ref="H24" si="5">SUM(F24*G24/1000)</f>
        <v>7.6667999999999986E-2</v>
      </c>
      <c r="I24" s="12">
        <f t="shared" si="4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1" t="s">
        <v>92</v>
      </c>
      <c r="C25" s="59" t="s">
        <v>50</v>
      </c>
      <c r="D25" s="51" t="s">
        <v>86</v>
      </c>
      <c r="E25" s="65">
        <v>6.38</v>
      </c>
      <c r="F25" s="61">
        <f t="shared" si="3"/>
        <v>6.3799999999999996E-2</v>
      </c>
      <c r="G25" s="61">
        <v>638.04999999999995</v>
      </c>
      <c r="H25" s="62">
        <f t="shared" si="1"/>
        <v>4.0707589999999995E-2</v>
      </c>
      <c r="I25" s="12">
        <f t="shared" si="4"/>
        <v>40.707589999999996</v>
      </c>
      <c r="J25" s="21"/>
      <c r="K25" s="6"/>
      <c r="L25" s="6"/>
      <c r="M25" s="6"/>
    </row>
    <row r="26" spans="1:13" ht="15.75" customHeight="1">
      <c r="A26" s="26">
        <v>6</v>
      </c>
      <c r="B26" s="32" t="s">
        <v>202</v>
      </c>
      <c r="C26" s="39" t="s">
        <v>157</v>
      </c>
      <c r="D26" s="32" t="s">
        <v>206</v>
      </c>
      <c r="E26" s="157">
        <v>4.5999999999999996</v>
      </c>
      <c r="F26" s="31">
        <f>E26*258</f>
        <v>1186.8</v>
      </c>
      <c r="G26" s="31">
        <v>10.39</v>
      </c>
      <c r="H26" s="62">
        <f t="shared" ref="H26" si="6">SUM(F26*G26/1000)</f>
        <v>12.330852</v>
      </c>
      <c r="I26" s="12">
        <f>F26/12*G26</f>
        <v>1027.5709999999999</v>
      </c>
      <c r="J26" s="21"/>
      <c r="K26" s="6"/>
      <c r="L26" s="6"/>
      <c r="M26" s="6"/>
    </row>
    <row r="27" spans="1:13" ht="15.75" customHeight="1">
      <c r="A27" s="168" t="s">
        <v>134</v>
      </c>
      <c r="B27" s="169"/>
      <c r="C27" s="169"/>
      <c r="D27" s="169"/>
      <c r="E27" s="169"/>
      <c r="F27" s="169"/>
      <c r="G27" s="169"/>
      <c r="H27" s="169"/>
      <c r="I27" s="170"/>
      <c r="J27" s="21"/>
      <c r="K27" s="6"/>
      <c r="L27" s="6"/>
      <c r="M27" s="6"/>
    </row>
    <row r="28" spans="1:13" ht="15.75" customHeight="1">
      <c r="A28" s="102"/>
      <c r="B28" s="55" t="s">
        <v>135</v>
      </c>
      <c r="C28" s="103"/>
      <c r="D28" s="103"/>
      <c r="E28" s="103"/>
      <c r="F28" s="103"/>
      <c r="G28" s="103"/>
      <c r="H28" s="103"/>
      <c r="I28" s="103"/>
      <c r="J28" s="21"/>
      <c r="K28" s="6"/>
      <c r="L28" s="6"/>
      <c r="M28" s="6"/>
    </row>
    <row r="29" spans="1:13" ht="15.75" customHeight="1">
      <c r="A29" s="100">
        <v>7</v>
      </c>
      <c r="B29" s="51" t="s">
        <v>136</v>
      </c>
      <c r="C29" s="59" t="s">
        <v>93</v>
      </c>
      <c r="D29" s="51" t="s">
        <v>204</v>
      </c>
      <c r="E29" s="61">
        <v>210.2</v>
      </c>
      <c r="F29" s="61">
        <f>SUM(E29*52/1000)</f>
        <v>10.930399999999999</v>
      </c>
      <c r="G29" s="61">
        <v>204.44</v>
      </c>
      <c r="H29" s="62">
        <f t="shared" ref="H29:H30" si="7">SUM(F29*G29/1000)</f>
        <v>2.2346109759999999</v>
      </c>
      <c r="I29" s="12">
        <f>F29/6*G29</f>
        <v>372.43516266666666</v>
      </c>
      <c r="J29" s="21"/>
      <c r="K29" s="6"/>
      <c r="L29" s="6"/>
      <c r="M29" s="6"/>
    </row>
    <row r="30" spans="1:13" ht="31.5" customHeight="1">
      <c r="A30" s="26">
        <v>8</v>
      </c>
      <c r="B30" s="51" t="s">
        <v>137</v>
      </c>
      <c r="C30" s="59" t="s">
        <v>93</v>
      </c>
      <c r="D30" s="51" t="s">
        <v>203</v>
      </c>
      <c r="E30" s="61">
        <v>92</v>
      </c>
      <c r="F30" s="61">
        <f>SUM(E30*78/1000)</f>
        <v>7.1760000000000002</v>
      </c>
      <c r="G30" s="61">
        <v>339.21</v>
      </c>
      <c r="H30" s="62">
        <f t="shared" si="7"/>
        <v>2.4341709599999999</v>
      </c>
      <c r="I30" s="12">
        <f t="shared" ref="I30" si="8">F30/6*G30</f>
        <v>405.69515999999999</v>
      </c>
      <c r="J30" s="21"/>
      <c r="K30" s="6"/>
      <c r="L30" s="6"/>
      <c r="M30" s="6"/>
    </row>
    <row r="31" spans="1:13" ht="15.75" hidden="1" customHeight="1">
      <c r="A31" s="26">
        <v>15</v>
      </c>
      <c r="B31" s="51" t="s">
        <v>26</v>
      </c>
      <c r="C31" s="59" t="s">
        <v>93</v>
      </c>
      <c r="D31" s="51" t="s">
        <v>51</v>
      </c>
      <c r="E31" s="61">
        <f>E29</f>
        <v>210.2</v>
      </c>
      <c r="F31" s="61">
        <f>SUM(E31/1000)</f>
        <v>0.2102</v>
      </c>
      <c r="G31" s="61">
        <v>3961.23</v>
      </c>
      <c r="H31" s="62">
        <f t="shared" ref="H31:H33" si="9">SUM(F31*G31/1000)</f>
        <v>0.83265054599999999</v>
      </c>
      <c r="I31" s="12">
        <f>F31*G31</f>
        <v>832.65054599999996</v>
      </c>
      <c r="J31" s="21"/>
      <c r="K31" s="6"/>
      <c r="L31" s="6"/>
      <c r="M31" s="6"/>
    </row>
    <row r="32" spans="1:13" ht="15.75" hidden="1" customHeight="1">
      <c r="A32" s="26"/>
      <c r="B32" s="51" t="s">
        <v>60</v>
      </c>
      <c r="C32" s="59" t="s">
        <v>30</v>
      </c>
      <c r="D32" s="51" t="s">
        <v>61</v>
      </c>
      <c r="E32" s="60"/>
      <c r="F32" s="61">
        <v>1</v>
      </c>
      <c r="G32" s="61">
        <v>250.92</v>
      </c>
      <c r="H32" s="62">
        <f t="shared" si="9"/>
        <v>0.25091999999999998</v>
      </c>
      <c r="I32" s="12">
        <v>0</v>
      </c>
      <c r="J32" s="21"/>
      <c r="K32" s="6"/>
      <c r="L32" s="6"/>
      <c r="M32" s="6"/>
    </row>
    <row r="33" spans="1:14" ht="15.75" hidden="1" customHeight="1">
      <c r="A33" s="105"/>
      <c r="B33" s="51" t="s">
        <v>104</v>
      </c>
      <c r="C33" s="59" t="s">
        <v>29</v>
      </c>
      <c r="D33" s="51" t="s">
        <v>61</v>
      </c>
      <c r="E33" s="60"/>
      <c r="F33" s="61">
        <v>1</v>
      </c>
      <c r="G33" s="61">
        <v>1490.31</v>
      </c>
      <c r="H33" s="62">
        <f t="shared" si="9"/>
        <v>1.49031</v>
      </c>
      <c r="I33" s="12">
        <v>0</v>
      </c>
      <c r="J33" s="21"/>
      <c r="K33" s="6"/>
      <c r="L33" s="6"/>
      <c r="M33" s="6"/>
    </row>
    <row r="34" spans="1:14" ht="15.75" hidden="1" customHeight="1">
      <c r="A34" s="102"/>
      <c r="B34" s="55" t="s">
        <v>4</v>
      </c>
      <c r="C34" s="104"/>
      <c r="D34" s="104"/>
      <c r="E34" s="104"/>
      <c r="F34" s="104"/>
      <c r="G34" s="104"/>
      <c r="H34" s="104"/>
      <c r="I34" s="104"/>
      <c r="J34" s="21"/>
      <c r="K34" s="6"/>
      <c r="L34" s="6"/>
      <c r="M34" s="6"/>
    </row>
    <row r="35" spans="1:14" ht="15.75" hidden="1" customHeight="1">
      <c r="A35" s="100">
        <v>6</v>
      </c>
      <c r="B35" s="51" t="s">
        <v>25</v>
      </c>
      <c r="C35" s="59" t="s">
        <v>29</v>
      </c>
      <c r="D35" s="51"/>
      <c r="E35" s="60"/>
      <c r="F35" s="61">
        <v>3</v>
      </c>
      <c r="G35" s="61">
        <v>2003</v>
      </c>
      <c r="H35" s="62">
        <f t="shared" ref="H35:H41" si="10">SUM(F35*G35/1000)</f>
        <v>6.0090000000000003</v>
      </c>
      <c r="I35" s="12">
        <f>F35/6*G35</f>
        <v>1001.5</v>
      </c>
      <c r="J35" s="21"/>
      <c r="K35" s="6"/>
      <c r="L35" s="6"/>
      <c r="M35" s="6"/>
    </row>
    <row r="36" spans="1:14" ht="15.75" hidden="1" customHeight="1">
      <c r="A36" s="26">
        <v>7</v>
      </c>
      <c r="B36" s="51" t="s">
        <v>143</v>
      </c>
      <c r="C36" s="59" t="s">
        <v>27</v>
      </c>
      <c r="D36" s="51" t="s">
        <v>105</v>
      </c>
      <c r="E36" s="60">
        <v>92</v>
      </c>
      <c r="F36" s="61">
        <f>E36*30/1000</f>
        <v>2.76</v>
      </c>
      <c r="G36" s="61">
        <v>2757.78</v>
      </c>
      <c r="H36" s="62">
        <f>G36*F36/1000</f>
        <v>7.6114727999999996</v>
      </c>
      <c r="I36" s="12">
        <f>F36/6*G36</f>
        <v>1268.5788</v>
      </c>
      <c r="J36" s="21"/>
      <c r="K36" s="6"/>
      <c r="L36" s="6"/>
      <c r="M36" s="6"/>
    </row>
    <row r="37" spans="1:14" ht="15.75" hidden="1" customHeight="1">
      <c r="A37" s="26">
        <v>8</v>
      </c>
      <c r="B37" s="51" t="s">
        <v>106</v>
      </c>
      <c r="C37" s="59" t="s">
        <v>107</v>
      </c>
      <c r="D37" s="51" t="s">
        <v>61</v>
      </c>
      <c r="E37" s="60"/>
      <c r="F37" s="61">
        <v>52</v>
      </c>
      <c r="G37" s="61">
        <v>239.09</v>
      </c>
      <c r="H37" s="62">
        <f>G37*F37/1000</f>
        <v>12.43268</v>
      </c>
      <c r="I37" s="12">
        <f t="shared" ref="I37:I39" si="11">F37/6*G37</f>
        <v>2072.1133333333332</v>
      </c>
      <c r="J37" s="21"/>
      <c r="K37" s="6"/>
    </row>
    <row r="38" spans="1:14" ht="15.75" hidden="1" customHeight="1">
      <c r="A38" s="26"/>
      <c r="B38" s="51" t="s">
        <v>62</v>
      </c>
      <c r="C38" s="59" t="s">
        <v>27</v>
      </c>
      <c r="D38" s="51" t="s">
        <v>108</v>
      </c>
      <c r="E38" s="61">
        <f>E36</f>
        <v>92</v>
      </c>
      <c r="F38" s="61">
        <f>SUM(E38*155/1000)</f>
        <v>14.26</v>
      </c>
      <c r="G38" s="61">
        <v>460.02</v>
      </c>
      <c r="H38" s="62">
        <f t="shared" si="10"/>
        <v>6.5598852000000001</v>
      </c>
      <c r="I38" s="12">
        <f t="shared" si="11"/>
        <v>1093.3141999999998</v>
      </c>
      <c r="J38" s="22"/>
    </row>
    <row r="39" spans="1:14" ht="48" hidden="1" customHeight="1">
      <c r="A39" s="26">
        <v>9</v>
      </c>
      <c r="B39" s="51" t="s">
        <v>76</v>
      </c>
      <c r="C39" s="59" t="s">
        <v>93</v>
      </c>
      <c r="D39" s="51" t="s">
        <v>144</v>
      </c>
      <c r="E39" s="61">
        <v>92</v>
      </c>
      <c r="F39" s="61">
        <f>SUM(E39*35/1000)</f>
        <v>3.22</v>
      </c>
      <c r="G39" s="61">
        <v>7611.16</v>
      </c>
      <c r="H39" s="62">
        <f t="shared" si="10"/>
        <v>24.507935199999999</v>
      </c>
      <c r="I39" s="12">
        <f t="shared" si="11"/>
        <v>4084.655866666667</v>
      </c>
      <c r="J39" s="22"/>
    </row>
    <row r="40" spans="1:14" ht="15.75" hidden="1" customHeight="1">
      <c r="A40" s="26">
        <v>10</v>
      </c>
      <c r="B40" s="51" t="s">
        <v>109</v>
      </c>
      <c r="C40" s="59" t="s">
        <v>93</v>
      </c>
      <c r="D40" s="51" t="s">
        <v>145</v>
      </c>
      <c r="E40" s="61">
        <f>E36</f>
        <v>92</v>
      </c>
      <c r="F40" s="61">
        <f>SUM(E40*20/1000)</f>
        <v>1.84</v>
      </c>
      <c r="G40" s="61">
        <v>562.25</v>
      </c>
      <c r="H40" s="62">
        <f t="shared" si="10"/>
        <v>1.03454</v>
      </c>
      <c r="I40" s="12">
        <f>F40/6*G40</f>
        <v>172.42333333333335</v>
      </c>
      <c r="J40" s="22"/>
    </row>
    <row r="41" spans="1:14" ht="15.75" hidden="1" customHeight="1">
      <c r="A41" s="26">
        <v>11</v>
      </c>
      <c r="B41" s="51" t="s">
        <v>63</v>
      </c>
      <c r="C41" s="59" t="s">
        <v>30</v>
      </c>
      <c r="D41" s="51"/>
      <c r="E41" s="60"/>
      <c r="F41" s="61">
        <v>0.8</v>
      </c>
      <c r="G41" s="61">
        <v>992.97</v>
      </c>
      <c r="H41" s="62">
        <f t="shared" si="10"/>
        <v>0.79437600000000008</v>
      </c>
      <c r="I41" s="12">
        <f>F41/6*G41</f>
        <v>132.39600000000002</v>
      </c>
      <c r="J41" s="22"/>
    </row>
    <row r="42" spans="1:14" ht="15.75" customHeight="1">
      <c r="A42" s="171" t="s">
        <v>121</v>
      </c>
      <c r="B42" s="172"/>
      <c r="C42" s="172"/>
      <c r="D42" s="172"/>
      <c r="E42" s="172"/>
      <c r="F42" s="172"/>
      <c r="G42" s="172"/>
      <c r="H42" s="172"/>
      <c r="I42" s="173"/>
      <c r="J42" s="22"/>
      <c r="L42" s="18"/>
      <c r="M42" s="19"/>
      <c r="N42" s="20"/>
    </row>
    <row r="43" spans="1:14" ht="17.25" customHeight="1">
      <c r="A43" s="26">
        <v>9</v>
      </c>
      <c r="B43" s="32" t="s">
        <v>110</v>
      </c>
      <c r="C43" s="39" t="s">
        <v>93</v>
      </c>
      <c r="D43" s="32" t="s">
        <v>211</v>
      </c>
      <c r="E43" s="107">
        <v>1114.25</v>
      </c>
      <c r="F43" s="31">
        <f>SUM(E43*2/1000)</f>
        <v>2.2284999999999999</v>
      </c>
      <c r="G43" s="34">
        <v>1193.71</v>
      </c>
      <c r="H43" s="108">
        <f t="shared" ref="H43:H52" si="12">SUM(F43*G43/1000)</f>
        <v>2.6601827349999998</v>
      </c>
      <c r="I43" s="12">
        <f t="shared" ref="I43:I45" si="13">F43/2*G43</f>
        <v>1330.0913674999999</v>
      </c>
      <c r="J43" s="22"/>
      <c r="L43" s="18"/>
      <c r="M43" s="19"/>
      <c r="N43" s="20"/>
    </row>
    <row r="44" spans="1:14" ht="17.25" customHeight="1">
      <c r="A44" s="26">
        <v>10</v>
      </c>
      <c r="B44" s="32" t="s">
        <v>33</v>
      </c>
      <c r="C44" s="39" t="s">
        <v>93</v>
      </c>
      <c r="D44" s="32" t="s">
        <v>211</v>
      </c>
      <c r="E44" s="107">
        <v>2631</v>
      </c>
      <c r="F44" s="31">
        <f>SUM(E44*2/1000)</f>
        <v>5.2619999999999996</v>
      </c>
      <c r="G44" s="34">
        <v>1803.69</v>
      </c>
      <c r="H44" s="108">
        <f t="shared" si="12"/>
        <v>9.4910167800000007</v>
      </c>
      <c r="I44" s="12">
        <f t="shared" si="13"/>
        <v>4745.50839</v>
      </c>
      <c r="J44" s="22"/>
      <c r="L44" s="18"/>
      <c r="M44" s="19"/>
      <c r="N44" s="20"/>
    </row>
    <row r="45" spans="1:14" ht="16.5" customHeight="1">
      <c r="A45" s="26">
        <v>11</v>
      </c>
      <c r="B45" s="32" t="s">
        <v>34</v>
      </c>
      <c r="C45" s="39" t="s">
        <v>93</v>
      </c>
      <c r="D45" s="32" t="s">
        <v>211</v>
      </c>
      <c r="E45" s="107">
        <v>1953.8</v>
      </c>
      <c r="F45" s="31">
        <f>SUM(E45*2/1000)</f>
        <v>3.9076</v>
      </c>
      <c r="G45" s="34">
        <v>1243.43</v>
      </c>
      <c r="H45" s="108">
        <f t="shared" si="12"/>
        <v>4.8588270680000001</v>
      </c>
      <c r="I45" s="12">
        <f t="shared" si="13"/>
        <v>2429.4135340000003</v>
      </c>
      <c r="J45" s="22"/>
      <c r="L45" s="18"/>
      <c r="M45" s="19"/>
      <c r="N45" s="20"/>
    </row>
    <row r="46" spans="1:14" ht="14.25" customHeight="1">
      <c r="A46" s="26">
        <v>12</v>
      </c>
      <c r="B46" s="32" t="s">
        <v>31</v>
      </c>
      <c r="C46" s="39" t="s">
        <v>32</v>
      </c>
      <c r="D46" s="32" t="s">
        <v>211</v>
      </c>
      <c r="E46" s="107">
        <v>91.84</v>
      </c>
      <c r="F46" s="31">
        <f>SUM(E46*2/100)</f>
        <v>1.8368</v>
      </c>
      <c r="G46" s="109">
        <v>1172.4100000000001</v>
      </c>
      <c r="H46" s="108">
        <f t="shared" si="12"/>
        <v>2.153482688</v>
      </c>
      <c r="I46" s="12">
        <f>F46/2*G46</f>
        <v>1076.741344</v>
      </c>
      <c r="J46" s="22"/>
      <c r="L46" s="18"/>
      <c r="M46" s="19"/>
      <c r="N46" s="20"/>
    </row>
    <row r="47" spans="1:14" ht="15.75" customHeight="1">
      <c r="A47" s="26">
        <v>13</v>
      </c>
      <c r="B47" s="32" t="s">
        <v>54</v>
      </c>
      <c r="C47" s="39" t="s">
        <v>93</v>
      </c>
      <c r="D47" s="32" t="s">
        <v>211</v>
      </c>
      <c r="E47" s="107">
        <v>3181</v>
      </c>
      <c r="F47" s="31">
        <f>SUM(E47*5/1000)</f>
        <v>15.904999999999999</v>
      </c>
      <c r="G47" s="34">
        <v>1083.69</v>
      </c>
      <c r="H47" s="108">
        <f t="shared" si="12"/>
        <v>17.236089449999998</v>
      </c>
      <c r="I47" s="12">
        <f>F47/5*G47</f>
        <v>3447.2178900000004</v>
      </c>
      <c r="J47" s="22"/>
      <c r="L47" s="18"/>
      <c r="M47" s="19"/>
      <c r="N47" s="20"/>
    </row>
    <row r="48" spans="1:14" ht="31.5" customHeight="1">
      <c r="A48" s="26">
        <v>14</v>
      </c>
      <c r="B48" s="32" t="s">
        <v>111</v>
      </c>
      <c r="C48" s="39" t="s">
        <v>93</v>
      </c>
      <c r="D48" s="32" t="s">
        <v>211</v>
      </c>
      <c r="E48" s="107">
        <v>3181</v>
      </c>
      <c r="F48" s="31">
        <f>SUM(E48*2/1000)</f>
        <v>6.3620000000000001</v>
      </c>
      <c r="G48" s="34">
        <v>1591.6</v>
      </c>
      <c r="H48" s="108">
        <f t="shared" si="12"/>
        <v>10.125759200000001</v>
      </c>
      <c r="I48" s="12">
        <f>F48/2*G48</f>
        <v>5062.8796000000002</v>
      </c>
      <c r="J48" s="22"/>
      <c r="L48" s="18"/>
      <c r="M48" s="19"/>
      <c r="N48" s="20"/>
    </row>
    <row r="49" spans="1:14" ht="31.5" customHeight="1">
      <c r="A49" s="26">
        <v>15</v>
      </c>
      <c r="B49" s="32" t="s">
        <v>112</v>
      </c>
      <c r="C49" s="39" t="s">
        <v>35</v>
      </c>
      <c r="D49" s="32" t="s">
        <v>211</v>
      </c>
      <c r="E49" s="107">
        <v>20</v>
      </c>
      <c r="F49" s="31">
        <f>SUM(E49*2/100)</f>
        <v>0.4</v>
      </c>
      <c r="G49" s="34">
        <v>4058.32</v>
      </c>
      <c r="H49" s="108">
        <f t="shared" si="12"/>
        <v>1.6233280000000001</v>
      </c>
      <c r="I49" s="12">
        <f t="shared" ref="I49:I50" si="14">F49/2*G49</f>
        <v>811.6640000000001</v>
      </c>
      <c r="J49" s="22"/>
      <c r="L49" s="18"/>
      <c r="M49" s="19"/>
      <c r="N49" s="20"/>
    </row>
    <row r="50" spans="1:14" ht="15.75" customHeight="1">
      <c r="A50" s="26">
        <v>16</v>
      </c>
      <c r="B50" s="32" t="s">
        <v>36</v>
      </c>
      <c r="C50" s="39" t="s">
        <v>37</v>
      </c>
      <c r="D50" s="32" t="s">
        <v>211</v>
      </c>
      <c r="E50" s="107">
        <v>1</v>
      </c>
      <c r="F50" s="31">
        <v>0.02</v>
      </c>
      <c r="G50" s="34">
        <v>7412.92</v>
      </c>
      <c r="H50" s="108">
        <f t="shared" si="12"/>
        <v>0.14825839999999998</v>
      </c>
      <c r="I50" s="12">
        <f t="shared" si="14"/>
        <v>74.129199999999997</v>
      </c>
      <c r="J50" s="22"/>
      <c r="L50" s="18"/>
      <c r="M50" s="19"/>
      <c r="N50" s="20"/>
    </row>
    <row r="51" spans="1:14" ht="15.75" customHeight="1">
      <c r="A51" s="26">
        <v>17</v>
      </c>
      <c r="B51" s="32" t="s">
        <v>113</v>
      </c>
      <c r="C51" s="39" t="s">
        <v>94</v>
      </c>
      <c r="D51" s="158">
        <v>43721</v>
      </c>
      <c r="E51" s="107">
        <v>70</v>
      </c>
      <c r="F51" s="31">
        <f>E51*3</f>
        <v>210</v>
      </c>
      <c r="G51" s="34">
        <v>185.08</v>
      </c>
      <c r="H51" s="108">
        <f t="shared" si="12"/>
        <v>38.866800000000005</v>
      </c>
      <c r="I51" s="12">
        <f>E51*G51</f>
        <v>12955.6</v>
      </c>
      <c r="J51" s="22"/>
      <c r="L51" s="18"/>
      <c r="M51" s="19"/>
      <c r="N51" s="20"/>
    </row>
    <row r="52" spans="1:14" ht="15.75" customHeight="1">
      <c r="A52" s="26">
        <v>18</v>
      </c>
      <c r="B52" s="32" t="s">
        <v>38</v>
      </c>
      <c r="C52" s="39" t="s">
        <v>94</v>
      </c>
      <c r="D52" s="158">
        <v>43721</v>
      </c>
      <c r="E52" s="107">
        <v>140</v>
      </c>
      <c r="F52" s="31">
        <f>E52*3</f>
        <v>420</v>
      </c>
      <c r="G52" s="35">
        <v>86.15</v>
      </c>
      <c r="H52" s="108">
        <f t="shared" si="12"/>
        <v>36.183</v>
      </c>
      <c r="I52" s="12">
        <f>E52*G52</f>
        <v>12061</v>
      </c>
      <c r="J52" s="22"/>
      <c r="L52" s="18"/>
      <c r="M52" s="19"/>
      <c r="N52" s="20"/>
    </row>
    <row r="53" spans="1:14" ht="15.75" customHeight="1">
      <c r="A53" s="171" t="s">
        <v>122</v>
      </c>
      <c r="B53" s="174"/>
      <c r="C53" s="174"/>
      <c r="D53" s="174"/>
      <c r="E53" s="174"/>
      <c r="F53" s="174"/>
      <c r="G53" s="174"/>
      <c r="H53" s="174"/>
      <c r="I53" s="175"/>
      <c r="J53" s="22"/>
      <c r="L53" s="18"/>
      <c r="M53" s="19"/>
      <c r="N53" s="20"/>
    </row>
    <row r="54" spans="1:14" ht="15.75" hidden="1" customHeight="1">
      <c r="A54" s="26"/>
      <c r="B54" s="81" t="s">
        <v>40</v>
      </c>
      <c r="C54" s="59"/>
      <c r="D54" s="51"/>
      <c r="E54" s="60"/>
      <c r="F54" s="61"/>
      <c r="G54" s="61"/>
      <c r="H54" s="62"/>
      <c r="I54" s="12"/>
      <c r="J54" s="22"/>
      <c r="L54" s="18"/>
      <c r="M54" s="19"/>
      <c r="N54" s="20"/>
    </row>
    <row r="55" spans="1:14" ht="31.5" hidden="1" customHeight="1">
      <c r="A55" s="26">
        <v>24</v>
      </c>
      <c r="B55" s="51" t="s">
        <v>114</v>
      </c>
      <c r="C55" s="59" t="s">
        <v>83</v>
      </c>
      <c r="D55" s="51" t="s">
        <v>115</v>
      </c>
      <c r="E55" s="60">
        <v>111.2</v>
      </c>
      <c r="F55" s="61">
        <f>SUM(E55*6/100)</f>
        <v>6.6720000000000006</v>
      </c>
      <c r="G55" s="12">
        <v>2431.1799999999998</v>
      </c>
      <c r="H55" s="62">
        <f>SUM(F55*G55/1000)</f>
        <v>16.220832959999999</v>
      </c>
      <c r="I55" s="12">
        <f>F55/6*G55</f>
        <v>2703.4721600000003</v>
      </c>
      <c r="J55" s="22"/>
      <c r="L55" s="18"/>
      <c r="M55" s="19"/>
      <c r="N55" s="20"/>
    </row>
    <row r="56" spans="1:14" ht="15.75" hidden="1" customHeight="1">
      <c r="A56" s="26"/>
      <c r="B56" s="70" t="s">
        <v>117</v>
      </c>
      <c r="C56" s="69" t="s">
        <v>118</v>
      </c>
      <c r="D56" s="13" t="s">
        <v>61</v>
      </c>
      <c r="E56" s="71"/>
      <c r="F56" s="72">
        <v>3</v>
      </c>
      <c r="G56" s="12">
        <v>1582.05</v>
      </c>
      <c r="H56" s="62">
        <f>SUM(F56*G56/1000)</f>
        <v>4.7461499999999992</v>
      </c>
      <c r="I56" s="12">
        <v>0</v>
      </c>
      <c r="J56" s="22"/>
      <c r="L56" s="18"/>
      <c r="M56" s="19"/>
      <c r="N56" s="20"/>
    </row>
    <row r="57" spans="1:14" ht="15.75" hidden="1" customHeight="1">
      <c r="A57" s="26"/>
      <c r="B57" s="82" t="s">
        <v>41</v>
      </c>
      <c r="C57" s="69"/>
      <c r="D57" s="70"/>
      <c r="E57" s="71"/>
      <c r="F57" s="72"/>
      <c r="G57" s="12"/>
      <c r="H57" s="73"/>
      <c r="I57" s="12"/>
      <c r="J57" s="22"/>
      <c r="L57" s="18"/>
      <c r="M57" s="19"/>
      <c r="N57" s="20"/>
    </row>
    <row r="58" spans="1:14" ht="15.75" hidden="1" customHeight="1">
      <c r="A58" s="26"/>
      <c r="B58" s="70" t="s">
        <v>42</v>
      </c>
      <c r="C58" s="69" t="s">
        <v>50</v>
      </c>
      <c r="D58" s="70" t="s">
        <v>51</v>
      </c>
      <c r="E58" s="71">
        <v>222.85</v>
      </c>
      <c r="F58" s="72">
        <v>8.9</v>
      </c>
      <c r="G58" s="12">
        <v>1040.8399999999999</v>
      </c>
      <c r="H58" s="73">
        <f>F58*G58/1000</f>
        <v>9.2634759999999989</v>
      </c>
      <c r="I58" s="12">
        <v>0</v>
      </c>
      <c r="J58" s="22"/>
      <c r="L58" s="18"/>
      <c r="M58" s="19"/>
      <c r="N58" s="20"/>
    </row>
    <row r="59" spans="1:14" ht="15.75" customHeight="1">
      <c r="A59" s="26"/>
      <c r="B59" s="82" t="s">
        <v>43</v>
      </c>
      <c r="C59" s="69"/>
      <c r="D59" s="70"/>
      <c r="E59" s="71"/>
      <c r="F59" s="74"/>
      <c r="G59" s="74"/>
      <c r="H59" s="72" t="s">
        <v>102</v>
      </c>
      <c r="I59" s="12"/>
      <c r="J59" s="22"/>
      <c r="L59" s="18"/>
      <c r="M59" s="19"/>
      <c r="N59" s="20"/>
    </row>
    <row r="60" spans="1:14" ht="16.5" hidden="1" customHeight="1">
      <c r="A60" s="26">
        <v>18</v>
      </c>
      <c r="B60" s="13" t="s">
        <v>44</v>
      </c>
      <c r="C60" s="15" t="s">
        <v>94</v>
      </c>
      <c r="D60" s="13" t="s">
        <v>61</v>
      </c>
      <c r="E60" s="17">
        <v>4</v>
      </c>
      <c r="F60" s="61">
        <f>E60</f>
        <v>4</v>
      </c>
      <c r="G60" s="12">
        <v>291.68</v>
      </c>
      <c r="H60" s="75">
        <f t="shared" ref="H60:H68" si="15">SUM(F60*G60/1000)</f>
        <v>1.16672</v>
      </c>
      <c r="I60" s="12">
        <f>G60*2</f>
        <v>583.36</v>
      </c>
      <c r="J60" s="22"/>
      <c r="L60" s="18"/>
      <c r="M60" s="19"/>
      <c r="N60" s="20"/>
    </row>
    <row r="61" spans="1:14" ht="18" hidden="1" customHeight="1">
      <c r="A61" s="26">
        <v>17</v>
      </c>
      <c r="B61" s="13" t="s">
        <v>45</v>
      </c>
      <c r="C61" s="15" t="s">
        <v>94</v>
      </c>
      <c r="D61" s="13" t="s">
        <v>61</v>
      </c>
      <c r="E61" s="17">
        <v>4</v>
      </c>
      <c r="F61" s="61">
        <f>E61</f>
        <v>4</v>
      </c>
      <c r="G61" s="12">
        <v>100.01</v>
      </c>
      <c r="H61" s="75">
        <f t="shared" si="15"/>
        <v>0.40004000000000001</v>
      </c>
      <c r="I61" s="12">
        <f t="shared" ref="I61:I66" si="16">G61*2</f>
        <v>200.02</v>
      </c>
      <c r="J61" s="22"/>
      <c r="L61" s="18"/>
      <c r="M61" s="19"/>
      <c r="N61" s="20"/>
    </row>
    <row r="62" spans="1:14" ht="15" hidden="1" customHeight="1">
      <c r="A62" s="26">
        <v>24</v>
      </c>
      <c r="B62" s="13" t="s">
        <v>46</v>
      </c>
      <c r="C62" s="15" t="s">
        <v>95</v>
      </c>
      <c r="D62" s="13" t="s">
        <v>51</v>
      </c>
      <c r="E62" s="60">
        <v>12702</v>
      </c>
      <c r="F62" s="12">
        <f>SUM(E62/100)</f>
        <v>127.02</v>
      </c>
      <c r="G62" s="12">
        <v>278.24</v>
      </c>
      <c r="H62" s="75">
        <f t="shared" si="15"/>
        <v>35.342044800000004</v>
      </c>
      <c r="I62" s="12">
        <f t="shared" si="16"/>
        <v>556.48</v>
      </c>
      <c r="J62" s="22"/>
      <c r="L62" s="18"/>
      <c r="M62" s="19"/>
      <c r="N62" s="20"/>
    </row>
    <row r="63" spans="1:14" ht="19.5" hidden="1" customHeight="1">
      <c r="A63" s="26">
        <v>25</v>
      </c>
      <c r="B63" s="13" t="s">
        <v>47</v>
      </c>
      <c r="C63" s="15" t="s">
        <v>96</v>
      </c>
      <c r="D63" s="13"/>
      <c r="E63" s="60">
        <v>12702</v>
      </c>
      <c r="F63" s="12">
        <f>SUM(E63/1000)</f>
        <v>12.702</v>
      </c>
      <c r="G63" s="12">
        <v>216.68</v>
      </c>
      <c r="H63" s="75">
        <f t="shared" si="15"/>
        <v>2.7522693600000001</v>
      </c>
      <c r="I63" s="12">
        <f t="shared" si="16"/>
        <v>433.36</v>
      </c>
      <c r="J63" s="22"/>
      <c r="L63" s="18"/>
      <c r="M63" s="19"/>
      <c r="N63" s="20"/>
    </row>
    <row r="64" spans="1:14" ht="16.5" hidden="1" customHeight="1">
      <c r="A64" s="26">
        <v>26</v>
      </c>
      <c r="B64" s="13" t="s">
        <v>48</v>
      </c>
      <c r="C64" s="15" t="s">
        <v>70</v>
      </c>
      <c r="D64" s="13" t="s">
        <v>51</v>
      </c>
      <c r="E64" s="60">
        <v>2200</v>
      </c>
      <c r="F64" s="12">
        <f>SUM(E64/100)</f>
        <v>22</v>
      </c>
      <c r="G64" s="12">
        <v>2720.94</v>
      </c>
      <c r="H64" s="75">
        <f t="shared" si="15"/>
        <v>59.860680000000002</v>
      </c>
      <c r="I64" s="12">
        <f t="shared" si="16"/>
        <v>5441.88</v>
      </c>
      <c r="J64" s="22"/>
      <c r="L64" s="18"/>
      <c r="M64" s="19"/>
      <c r="N64" s="20"/>
    </row>
    <row r="65" spans="1:14" ht="18" hidden="1" customHeight="1">
      <c r="A65" s="26">
        <v>27</v>
      </c>
      <c r="B65" s="76" t="s">
        <v>97</v>
      </c>
      <c r="C65" s="15" t="s">
        <v>30</v>
      </c>
      <c r="D65" s="13"/>
      <c r="E65" s="60">
        <v>9.6</v>
      </c>
      <c r="F65" s="12">
        <f>SUM(E65)</f>
        <v>9.6</v>
      </c>
      <c r="G65" s="12">
        <v>42.61</v>
      </c>
      <c r="H65" s="75">
        <f t="shared" si="15"/>
        <v>0.40905599999999998</v>
      </c>
      <c r="I65" s="12">
        <f t="shared" si="16"/>
        <v>85.22</v>
      </c>
      <c r="J65" s="22"/>
      <c r="L65" s="18"/>
      <c r="M65" s="19"/>
      <c r="N65" s="20"/>
    </row>
    <row r="66" spans="1:14" ht="16.5" hidden="1" customHeight="1">
      <c r="A66" s="26">
        <v>28</v>
      </c>
      <c r="B66" s="76" t="s">
        <v>98</v>
      </c>
      <c r="C66" s="15" t="s">
        <v>30</v>
      </c>
      <c r="D66" s="13"/>
      <c r="E66" s="60">
        <v>9.6</v>
      </c>
      <c r="F66" s="12">
        <f>SUM(E66)</f>
        <v>9.6</v>
      </c>
      <c r="G66" s="12">
        <v>46.04</v>
      </c>
      <c r="H66" s="75">
        <f t="shared" si="15"/>
        <v>0.44198399999999999</v>
      </c>
      <c r="I66" s="12">
        <f t="shared" si="16"/>
        <v>92.08</v>
      </c>
      <c r="J66" s="22"/>
      <c r="L66" s="18"/>
      <c r="M66" s="19"/>
      <c r="N66" s="20"/>
    </row>
    <row r="67" spans="1:14" ht="15.75" customHeight="1">
      <c r="A67" s="26">
        <v>19</v>
      </c>
      <c r="B67" s="13" t="s">
        <v>55</v>
      </c>
      <c r="C67" s="15" t="s">
        <v>56</v>
      </c>
      <c r="D67" s="13" t="s">
        <v>211</v>
      </c>
      <c r="E67" s="17">
        <v>4</v>
      </c>
      <c r="F67" s="12">
        <f>SUM(E67)</f>
        <v>4</v>
      </c>
      <c r="G67" s="12">
        <v>65.42</v>
      </c>
      <c r="H67" s="75">
        <f t="shared" si="15"/>
        <v>0.26168000000000002</v>
      </c>
      <c r="I67" s="12">
        <f>G67*4</f>
        <v>261.68</v>
      </c>
      <c r="J67" s="22"/>
      <c r="L67" s="18"/>
      <c r="M67" s="19"/>
      <c r="N67" s="20"/>
    </row>
    <row r="68" spans="1:14" ht="16.5" customHeight="1">
      <c r="A68" s="26">
        <v>20</v>
      </c>
      <c r="B68" s="13" t="s">
        <v>146</v>
      </c>
      <c r="C68" s="26" t="s">
        <v>147</v>
      </c>
      <c r="D68" s="13"/>
      <c r="E68" s="17">
        <v>3181</v>
      </c>
      <c r="F68" s="61">
        <f>SUM(E68)*12</f>
        <v>38172</v>
      </c>
      <c r="G68" s="12">
        <v>2.2799999999999998</v>
      </c>
      <c r="H68" s="75">
        <f t="shared" si="15"/>
        <v>87.03215999999999</v>
      </c>
      <c r="I68" s="12">
        <f>F68/12*G68</f>
        <v>7252.6799999999994</v>
      </c>
      <c r="J68" s="22"/>
      <c r="L68" s="18"/>
      <c r="M68" s="19"/>
      <c r="N68" s="20"/>
    </row>
    <row r="69" spans="1:14" ht="19.5" customHeight="1">
      <c r="A69" s="26"/>
      <c r="B69" s="55" t="s">
        <v>65</v>
      </c>
      <c r="C69" s="15"/>
      <c r="D69" s="13"/>
      <c r="E69" s="17"/>
      <c r="F69" s="12"/>
      <c r="G69" s="12"/>
      <c r="H69" s="75" t="s">
        <v>102</v>
      </c>
      <c r="I69" s="12"/>
      <c r="J69" s="22"/>
      <c r="L69" s="18"/>
      <c r="M69" s="19"/>
      <c r="N69" s="20"/>
    </row>
    <row r="70" spans="1:14" ht="19.5" hidden="1" customHeight="1">
      <c r="A70" s="26">
        <v>18</v>
      </c>
      <c r="B70" s="13" t="s">
        <v>148</v>
      </c>
      <c r="C70" s="15" t="s">
        <v>28</v>
      </c>
      <c r="D70" s="13" t="s">
        <v>61</v>
      </c>
      <c r="E70" s="17">
        <v>1</v>
      </c>
      <c r="F70" s="61">
        <f t="shared" ref="F70" si="17">E70</f>
        <v>1</v>
      </c>
      <c r="G70" s="12">
        <v>1543.4</v>
      </c>
      <c r="H70" s="75">
        <f>G70*F70/1000</f>
        <v>1.5434000000000001</v>
      </c>
      <c r="I70" s="12">
        <v>0</v>
      </c>
      <c r="J70" s="22"/>
      <c r="L70" s="18"/>
      <c r="M70" s="19"/>
      <c r="N70" s="20"/>
    </row>
    <row r="71" spans="1:14" ht="18.75" hidden="1" customHeight="1">
      <c r="A71" s="26"/>
      <c r="B71" s="50" t="s">
        <v>149</v>
      </c>
      <c r="C71" s="54" t="s">
        <v>94</v>
      </c>
      <c r="D71" s="13" t="s">
        <v>61</v>
      </c>
      <c r="E71" s="17">
        <v>1</v>
      </c>
      <c r="F71" s="61">
        <f>E71</f>
        <v>1</v>
      </c>
      <c r="G71" s="12">
        <v>130.96</v>
      </c>
      <c r="H71" s="75">
        <f>G71*F71/1000</f>
        <v>0.13096000000000002</v>
      </c>
      <c r="I71" s="12">
        <v>0</v>
      </c>
      <c r="J71" s="22"/>
      <c r="L71" s="18"/>
      <c r="M71" s="19"/>
      <c r="N71" s="20"/>
    </row>
    <row r="72" spans="1:14" ht="21" hidden="1" customHeight="1">
      <c r="A72" s="26"/>
      <c r="B72" s="13" t="s">
        <v>66</v>
      </c>
      <c r="C72" s="15" t="s">
        <v>68</v>
      </c>
      <c r="D72" s="13" t="s">
        <v>61</v>
      </c>
      <c r="E72" s="17">
        <v>3</v>
      </c>
      <c r="F72" s="61">
        <f>E72/10</f>
        <v>0.3</v>
      </c>
      <c r="G72" s="12">
        <v>657.87</v>
      </c>
      <c r="H72" s="75">
        <f t="shared" ref="H72:H75" si="18">SUM(F72*G72/1000)</f>
        <v>0.19736099999999998</v>
      </c>
      <c r="I72" s="12">
        <v>0</v>
      </c>
      <c r="J72" s="22"/>
      <c r="L72" s="18"/>
      <c r="M72" s="19"/>
      <c r="N72" s="20"/>
    </row>
    <row r="73" spans="1:14" ht="18" hidden="1" customHeight="1">
      <c r="A73" s="26"/>
      <c r="B73" s="13" t="s">
        <v>67</v>
      </c>
      <c r="C73" s="15" t="s">
        <v>28</v>
      </c>
      <c r="D73" s="13" t="s">
        <v>61</v>
      </c>
      <c r="E73" s="17">
        <v>1</v>
      </c>
      <c r="F73" s="61">
        <f>E73</f>
        <v>1</v>
      </c>
      <c r="G73" s="12">
        <v>1118.72</v>
      </c>
      <c r="H73" s="75">
        <f t="shared" si="18"/>
        <v>1.1187199999999999</v>
      </c>
      <c r="I73" s="12">
        <v>0</v>
      </c>
      <c r="J73" s="22"/>
      <c r="L73" s="18"/>
      <c r="M73" s="19"/>
      <c r="N73" s="20"/>
    </row>
    <row r="74" spans="1:14" ht="16.5" hidden="1" customHeight="1">
      <c r="A74" s="26"/>
      <c r="B74" s="50" t="s">
        <v>150</v>
      </c>
      <c r="C74" s="54" t="s">
        <v>94</v>
      </c>
      <c r="D74" s="13" t="s">
        <v>61</v>
      </c>
      <c r="E74" s="17">
        <v>1</v>
      </c>
      <c r="F74" s="61">
        <f>E74</f>
        <v>1</v>
      </c>
      <c r="G74" s="12">
        <v>1605.83</v>
      </c>
      <c r="H74" s="75">
        <f t="shared" si="18"/>
        <v>1.6058299999999999</v>
      </c>
      <c r="I74" s="12">
        <v>0</v>
      </c>
      <c r="J74" s="22"/>
      <c r="L74" s="18"/>
      <c r="M74" s="19"/>
      <c r="N74" s="20"/>
    </row>
    <row r="75" spans="1:14" ht="29.25" customHeight="1">
      <c r="A75" s="26">
        <v>21</v>
      </c>
      <c r="B75" s="50" t="s">
        <v>151</v>
      </c>
      <c r="C75" s="54" t="s">
        <v>94</v>
      </c>
      <c r="D75" s="13" t="s">
        <v>211</v>
      </c>
      <c r="E75" s="17">
        <v>2</v>
      </c>
      <c r="F75" s="61">
        <f>E75*12</f>
        <v>24</v>
      </c>
      <c r="G75" s="12">
        <v>53.42</v>
      </c>
      <c r="H75" s="75">
        <f t="shared" si="18"/>
        <v>1.2820799999999999</v>
      </c>
      <c r="I75" s="12">
        <f>G75*2</f>
        <v>106.84</v>
      </c>
      <c r="J75" s="22"/>
      <c r="L75" s="18"/>
      <c r="M75" s="19"/>
      <c r="N75" s="20"/>
    </row>
    <row r="76" spans="1:14" ht="15.75" hidden="1" customHeight="1">
      <c r="A76" s="26"/>
      <c r="B76" s="77" t="s">
        <v>69</v>
      </c>
      <c r="C76" s="15"/>
      <c r="D76" s="13"/>
      <c r="E76" s="17"/>
      <c r="F76" s="12"/>
      <c r="G76" s="12" t="s">
        <v>102</v>
      </c>
      <c r="H76" s="75" t="s">
        <v>102</v>
      </c>
      <c r="I76" s="12"/>
      <c r="J76" s="22"/>
      <c r="L76" s="18"/>
      <c r="M76" s="19"/>
      <c r="N76" s="20"/>
    </row>
    <row r="77" spans="1:14" ht="20.25" hidden="1" customHeight="1">
      <c r="A77" s="26"/>
      <c r="B77" s="45" t="s">
        <v>101</v>
      </c>
      <c r="C77" s="15" t="s">
        <v>70</v>
      </c>
      <c r="D77" s="13"/>
      <c r="E77" s="17"/>
      <c r="F77" s="12">
        <v>1</v>
      </c>
      <c r="G77" s="12">
        <v>3370.89</v>
      </c>
      <c r="H77" s="75">
        <f t="shared" ref="H77" si="19">SUM(F77*G77/1000)</f>
        <v>3.3708899999999997</v>
      </c>
      <c r="I77" s="12">
        <v>0</v>
      </c>
      <c r="J77" s="22"/>
      <c r="L77" s="18"/>
      <c r="M77" s="19"/>
      <c r="N77" s="20"/>
    </row>
    <row r="78" spans="1:14" ht="15" hidden="1" customHeight="1">
      <c r="A78" s="26"/>
      <c r="B78" s="55" t="s">
        <v>99</v>
      </c>
      <c r="C78" s="77"/>
      <c r="D78" s="27"/>
      <c r="E78" s="30"/>
      <c r="F78" s="66"/>
      <c r="G78" s="66"/>
      <c r="H78" s="78">
        <f>SUM(H55:H77)</f>
        <v>227.14633412000001</v>
      </c>
      <c r="I78" s="66"/>
      <c r="J78" s="22"/>
      <c r="L78" s="18"/>
      <c r="M78" s="19"/>
      <c r="N78" s="20"/>
    </row>
    <row r="79" spans="1:14" ht="15" hidden="1" customHeight="1">
      <c r="A79" s="105">
        <v>22</v>
      </c>
      <c r="B79" s="53" t="s">
        <v>100</v>
      </c>
      <c r="C79" s="110"/>
      <c r="D79" s="111"/>
      <c r="E79" s="111"/>
      <c r="F79" s="112">
        <v>1</v>
      </c>
      <c r="G79" s="112">
        <v>24665.200000000001</v>
      </c>
      <c r="H79" s="113">
        <f>G79*F79/1000</f>
        <v>24.665200000000002</v>
      </c>
      <c r="I79" s="80">
        <f>G79</f>
        <v>24665.200000000001</v>
      </c>
      <c r="J79" s="22"/>
      <c r="L79" s="18"/>
      <c r="M79" s="19"/>
      <c r="N79" s="20"/>
    </row>
    <row r="80" spans="1:14" ht="14.25" hidden="1" customHeight="1">
      <c r="A80" s="49"/>
      <c r="B80" s="114" t="s">
        <v>152</v>
      </c>
      <c r="C80" s="15"/>
      <c r="D80" s="13"/>
      <c r="E80" s="13"/>
      <c r="F80" s="12">
        <v>69</v>
      </c>
      <c r="G80" s="12">
        <v>700</v>
      </c>
      <c r="H80" s="75">
        <f>G80*F80/1000</f>
        <v>48.3</v>
      </c>
      <c r="I80" s="115">
        <v>0</v>
      </c>
      <c r="J80" s="22"/>
      <c r="L80" s="18"/>
      <c r="M80" s="19"/>
      <c r="N80" s="20"/>
    </row>
    <row r="81" spans="1:14" ht="15.75" customHeight="1">
      <c r="A81" s="168" t="s">
        <v>123</v>
      </c>
      <c r="B81" s="176"/>
      <c r="C81" s="176"/>
      <c r="D81" s="176"/>
      <c r="E81" s="176"/>
      <c r="F81" s="176"/>
      <c r="G81" s="176"/>
      <c r="H81" s="176"/>
      <c r="I81" s="177"/>
      <c r="J81" s="22"/>
      <c r="L81" s="18"/>
      <c r="M81" s="19"/>
      <c r="N81" s="20"/>
    </row>
    <row r="82" spans="1:14" ht="15.75" customHeight="1">
      <c r="A82" s="100">
        <v>22</v>
      </c>
      <c r="B82" s="32" t="s">
        <v>116</v>
      </c>
      <c r="C82" s="37" t="s">
        <v>52</v>
      </c>
      <c r="D82" s="79"/>
      <c r="E82" s="34">
        <v>3181</v>
      </c>
      <c r="F82" s="34">
        <f>SUM(E82*12)</f>
        <v>38172</v>
      </c>
      <c r="G82" s="34">
        <v>3.1</v>
      </c>
      <c r="H82" s="106">
        <f>SUM(F82*G82/1000)</f>
        <v>118.33319999999999</v>
      </c>
      <c r="I82" s="101">
        <f>F82/12*G82</f>
        <v>9861.1</v>
      </c>
      <c r="J82" s="22"/>
      <c r="L82" s="18"/>
      <c r="M82" s="19"/>
      <c r="N82" s="20"/>
    </row>
    <row r="83" spans="1:14" ht="31.5" customHeight="1">
      <c r="A83" s="26">
        <v>23</v>
      </c>
      <c r="B83" s="13" t="s">
        <v>71</v>
      </c>
      <c r="C83" s="15"/>
      <c r="D83" s="79"/>
      <c r="E83" s="60">
        <v>3181</v>
      </c>
      <c r="F83" s="12">
        <f>E83*12</f>
        <v>38172</v>
      </c>
      <c r="G83" s="12">
        <v>3.5</v>
      </c>
      <c r="H83" s="75">
        <f>F83*G83/1000</f>
        <v>133.602</v>
      </c>
      <c r="I83" s="12">
        <f>F83/12*G83</f>
        <v>11133.5</v>
      </c>
      <c r="J83" s="22"/>
      <c r="L83" s="18"/>
      <c r="M83" s="19"/>
      <c r="N83" s="20"/>
    </row>
    <row r="84" spans="1:14" ht="15.75" customHeight="1">
      <c r="A84" s="49"/>
      <c r="B84" s="38" t="s">
        <v>74</v>
      </c>
      <c r="C84" s="15"/>
      <c r="D84" s="45"/>
      <c r="E84" s="12"/>
      <c r="F84" s="12"/>
      <c r="G84" s="12"/>
      <c r="H84" s="75">
        <f>H83</f>
        <v>133.602</v>
      </c>
      <c r="I84" s="66">
        <f>I83+I82+I75+I68+I67+I52+I51+I49+I50+I48+I47+I46+I45+I44+I43+I30+I29+I26+I21+I20+I18+I17+I16</f>
        <v>84977.210948166656</v>
      </c>
      <c r="J84" s="22"/>
      <c r="L84" s="18"/>
      <c r="M84" s="19"/>
      <c r="N84" s="20"/>
    </row>
    <row r="85" spans="1:14" ht="15.75" customHeight="1">
      <c r="A85" s="178" t="s">
        <v>57</v>
      </c>
      <c r="B85" s="179"/>
      <c r="C85" s="179"/>
      <c r="D85" s="179"/>
      <c r="E85" s="179"/>
      <c r="F85" s="179"/>
      <c r="G85" s="179"/>
      <c r="H85" s="179"/>
      <c r="I85" s="180"/>
      <c r="J85" s="22"/>
      <c r="L85" s="18"/>
      <c r="M85" s="19"/>
      <c r="N85" s="20"/>
    </row>
    <row r="86" spans="1:14" ht="17.25" customHeight="1">
      <c r="A86" s="26">
        <v>24</v>
      </c>
      <c r="B86" s="70" t="s">
        <v>156</v>
      </c>
      <c r="C86" s="69" t="s">
        <v>157</v>
      </c>
      <c r="D86" s="70"/>
      <c r="E86" s="71"/>
      <c r="F86" s="74">
        <v>96</v>
      </c>
      <c r="G86" s="56">
        <v>1.4</v>
      </c>
      <c r="H86" s="72">
        <f>F86*G86/1000</f>
        <v>0.13439999999999996</v>
      </c>
      <c r="I86" s="12">
        <f>G86*48</f>
        <v>67.199999999999989</v>
      </c>
      <c r="J86" s="22"/>
      <c r="L86" s="18"/>
      <c r="M86" s="19"/>
      <c r="N86" s="20"/>
    </row>
    <row r="87" spans="1:14" ht="15.75" customHeight="1">
      <c r="A87" s="26">
        <v>25</v>
      </c>
      <c r="B87" s="122" t="s">
        <v>75</v>
      </c>
      <c r="C87" s="123" t="s">
        <v>94</v>
      </c>
      <c r="D87" s="13"/>
      <c r="E87" s="17"/>
      <c r="F87" s="12">
        <v>1</v>
      </c>
      <c r="G87" s="136">
        <v>207.55</v>
      </c>
      <c r="H87" s="75">
        <f>G87*F87/1000</f>
        <v>0.20755000000000001</v>
      </c>
      <c r="I87" s="80">
        <f>G87*1</f>
        <v>207.55</v>
      </c>
      <c r="J87" s="22"/>
      <c r="L87" s="18"/>
      <c r="M87" s="19"/>
      <c r="N87" s="20"/>
    </row>
    <row r="88" spans="1:14" ht="29.25" customHeight="1">
      <c r="A88" s="26">
        <v>26</v>
      </c>
      <c r="B88" s="122" t="s">
        <v>238</v>
      </c>
      <c r="C88" s="123" t="s">
        <v>159</v>
      </c>
      <c r="D88" s="13"/>
      <c r="E88" s="17"/>
      <c r="F88" s="12"/>
      <c r="G88" s="34">
        <v>1145.19</v>
      </c>
      <c r="H88" s="75"/>
      <c r="I88" s="80">
        <f>G88*0.5</f>
        <v>572.59500000000003</v>
      </c>
      <c r="J88" s="22"/>
      <c r="L88" s="18"/>
      <c r="M88" s="19"/>
      <c r="N88" s="20"/>
    </row>
    <row r="89" spans="1:14" ht="18.75" customHeight="1">
      <c r="A89" s="26">
        <v>27</v>
      </c>
      <c r="B89" s="122" t="s">
        <v>173</v>
      </c>
      <c r="C89" s="123" t="s">
        <v>174</v>
      </c>
      <c r="D89" s="13" t="s">
        <v>239</v>
      </c>
      <c r="E89" s="17"/>
      <c r="F89" s="12"/>
      <c r="G89" s="136">
        <v>273</v>
      </c>
      <c r="H89" s="75"/>
      <c r="I89" s="80">
        <f>G89*5</f>
        <v>1365</v>
      </c>
      <c r="J89" s="22"/>
      <c r="L89" s="18"/>
      <c r="M89" s="19"/>
      <c r="N89" s="20"/>
    </row>
    <row r="90" spans="1:14" ht="34.5" customHeight="1">
      <c r="A90" s="26">
        <v>28</v>
      </c>
      <c r="B90" s="122" t="s">
        <v>240</v>
      </c>
      <c r="C90" s="123" t="s">
        <v>120</v>
      </c>
      <c r="D90" s="13" t="s">
        <v>241</v>
      </c>
      <c r="E90" s="17"/>
      <c r="F90" s="12"/>
      <c r="G90" s="34">
        <v>644.72</v>
      </c>
      <c r="H90" s="75"/>
      <c r="I90" s="80">
        <f>G90*1</f>
        <v>644.72</v>
      </c>
      <c r="J90" s="22"/>
      <c r="L90" s="18"/>
      <c r="M90" s="19"/>
      <c r="N90" s="20"/>
    </row>
    <row r="91" spans="1:14" ht="15.75" customHeight="1">
      <c r="A91" s="26">
        <v>29</v>
      </c>
      <c r="B91" s="122" t="s">
        <v>242</v>
      </c>
      <c r="C91" s="123" t="s">
        <v>94</v>
      </c>
      <c r="D91" s="13" t="s">
        <v>243</v>
      </c>
      <c r="E91" s="17"/>
      <c r="F91" s="12"/>
      <c r="G91" s="34">
        <v>225.75</v>
      </c>
      <c r="H91" s="75"/>
      <c r="I91" s="80">
        <f>G91*1</f>
        <v>225.75</v>
      </c>
      <c r="J91" s="22"/>
      <c r="L91" s="18"/>
      <c r="M91" s="19"/>
      <c r="N91" s="20"/>
    </row>
    <row r="92" spans="1:14" ht="33.75" customHeight="1">
      <c r="A92" s="26">
        <v>30</v>
      </c>
      <c r="B92" s="122" t="s">
        <v>250</v>
      </c>
      <c r="C92" s="123" t="s">
        <v>251</v>
      </c>
      <c r="D92" s="13" t="s">
        <v>241</v>
      </c>
      <c r="E92" s="17"/>
      <c r="F92" s="12"/>
      <c r="G92" s="142">
        <v>59.21</v>
      </c>
      <c r="H92" s="75"/>
      <c r="I92" s="80">
        <f>G92*1</f>
        <v>59.21</v>
      </c>
      <c r="J92" s="22"/>
      <c r="L92" s="18"/>
      <c r="M92" s="19"/>
      <c r="N92" s="20"/>
    </row>
    <row r="93" spans="1:14" ht="15.75" customHeight="1">
      <c r="A93" s="26"/>
      <c r="B93" s="27" t="s">
        <v>49</v>
      </c>
      <c r="C93" s="40"/>
      <c r="D93" s="46"/>
      <c r="E93" s="40">
        <v>1</v>
      </c>
      <c r="F93" s="40"/>
      <c r="G93" s="40"/>
      <c r="H93" s="40"/>
      <c r="I93" s="30">
        <f>SUM(I86:I92)</f>
        <v>3142.0250000000005</v>
      </c>
      <c r="J93" s="22"/>
      <c r="L93" s="18"/>
      <c r="M93" s="19"/>
      <c r="N93" s="20"/>
    </row>
    <row r="94" spans="1:14" ht="15.75" customHeight="1">
      <c r="A94" s="26"/>
      <c r="B94" s="45" t="s">
        <v>72</v>
      </c>
      <c r="C94" s="14"/>
      <c r="D94" s="14"/>
      <c r="E94" s="41"/>
      <c r="F94" s="41"/>
      <c r="G94" s="42"/>
      <c r="H94" s="42"/>
      <c r="I94" s="16">
        <v>0</v>
      </c>
      <c r="J94" s="22"/>
      <c r="L94" s="18"/>
      <c r="M94" s="19"/>
      <c r="N94" s="20"/>
    </row>
    <row r="95" spans="1:14" ht="15.75" customHeight="1">
      <c r="A95" s="47"/>
      <c r="B95" s="44" t="s">
        <v>142</v>
      </c>
      <c r="C95" s="33"/>
      <c r="D95" s="33"/>
      <c r="E95" s="33"/>
      <c r="F95" s="33"/>
      <c r="G95" s="33"/>
      <c r="H95" s="33"/>
      <c r="I95" s="43">
        <f>I84+I93</f>
        <v>88119.23594816665</v>
      </c>
      <c r="J95" s="22"/>
      <c r="L95" s="18"/>
      <c r="M95" s="19"/>
      <c r="N95" s="20"/>
    </row>
    <row r="96" spans="1:14" ht="15.75" customHeight="1">
      <c r="A96" s="167" t="s">
        <v>252</v>
      </c>
      <c r="B96" s="167"/>
      <c r="C96" s="167"/>
      <c r="D96" s="167"/>
      <c r="E96" s="167"/>
      <c r="F96" s="167"/>
      <c r="G96" s="167"/>
      <c r="H96" s="167"/>
      <c r="I96" s="167"/>
      <c r="J96" s="22"/>
      <c r="L96" s="18"/>
      <c r="M96" s="19"/>
      <c r="N96" s="20"/>
    </row>
    <row r="97" spans="1:22" ht="15.75" customHeight="1">
      <c r="A97" s="8"/>
      <c r="B97" s="181" t="s">
        <v>253</v>
      </c>
      <c r="C97" s="181"/>
      <c r="D97" s="181"/>
      <c r="E97" s="181"/>
      <c r="F97" s="181"/>
      <c r="G97" s="181"/>
      <c r="H97" s="83"/>
      <c r="I97" s="3"/>
      <c r="J97" s="22"/>
      <c r="L97" s="18"/>
      <c r="M97" s="19"/>
      <c r="N97" s="20"/>
    </row>
    <row r="98" spans="1:22" ht="15.75" customHeight="1">
      <c r="A98" s="85"/>
      <c r="B98" s="182" t="s">
        <v>5</v>
      </c>
      <c r="C98" s="182"/>
      <c r="D98" s="182"/>
      <c r="E98" s="182"/>
      <c r="F98" s="182"/>
      <c r="G98" s="182"/>
      <c r="H98" s="23"/>
      <c r="I98" s="5"/>
      <c r="J98" s="22"/>
      <c r="K98" s="22"/>
      <c r="L98" s="22"/>
      <c r="M98" s="19"/>
      <c r="N98" s="20"/>
    </row>
    <row r="99" spans="1:22" ht="15.75" customHeight="1">
      <c r="A99" s="9"/>
      <c r="B99" s="9"/>
      <c r="C99" s="9"/>
      <c r="D99" s="9"/>
      <c r="E99" s="9"/>
      <c r="F99" s="9"/>
      <c r="G99" s="9"/>
      <c r="H99" s="9"/>
      <c r="I99" s="9"/>
      <c r="J99" s="22"/>
      <c r="K99" s="22"/>
      <c r="L99" s="22"/>
      <c r="M99" s="19"/>
      <c r="N99" s="20"/>
    </row>
    <row r="100" spans="1:22" ht="15.75" customHeight="1">
      <c r="A100" s="183" t="s">
        <v>6</v>
      </c>
      <c r="B100" s="183"/>
      <c r="C100" s="183"/>
      <c r="D100" s="183"/>
      <c r="E100" s="183"/>
      <c r="F100" s="183"/>
      <c r="G100" s="183"/>
      <c r="H100" s="183"/>
      <c r="I100" s="183"/>
      <c r="J100" s="22"/>
      <c r="K100" s="22"/>
      <c r="L100" s="22"/>
    </row>
    <row r="101" spans="1:22" ht="15.75" customHeight="1">
      <c r="A101" s="183" t="s">
        <v>7</v>
      </c>
      <c r="B101" s="183"/>
      <c r="C101" s="183"/>
      <c r="D101" s="183"/>
      <c r="E101" s="183"/>
      <c r="F101" s="183"/>
      <c r="G101" s="183"/>
      <c r="H101" s="183"/>
      <c r="I101" s="183"/>
      <c r="J101" s="22"/>
      <c r="K101" s="22"/>
      <c r="L101" s="22"/>
    </row>
    <row r="102" spans="1:22" ht="15.75" customHeight="1">
      <c r="A102" s="167" t="s">
        <v>8</v>
      </c>
      <c r="B102" s="167"/>
      <c r="C102" s="167"/>
      <c r="D102" s="167"/>
      <c r="E102" s="167"/>
      <c r="F102" s="167"/>
      <c r="G102" s="167"/>
      <c r="H102" s="167"/>
      <c r="I102" s="167"/>
    </row>
    <row r="103" spans="1:22" ht="15.75" customHeight="1">
      <c r="A103" s="10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7"/>
    </row>
    <row r="104" spans="1:22" ht="15.75" customHeight="1">
      <c r="A104" s="185" t="s">
        <v>9</v>
      </c>
      <c r="B104" s="185"/>
      <c r="C104" s="185"/>
      <c r="D104" s="185"/>
      <c r="E104" s="185"/>
      <c r="F104" s="185"/>
      <c r="G104" s="185"/>
      <c r="H104" s="185"/>
      <c r="I104" s="185"/>
      <c r="J104" s="24"/>
      <c r="K104" s="24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2" ht="15.75" customHeight="1">
      <c r="A105" s="4"/>
      <c r="J105" s="3"/>
      <c r="K105" s="3"/>
      <c r="L105" s="3"/>
      <c r="M105" s="3"/>
      <c r="N105" s="3"/>
      <c r="O105" s="3"/>
      <c r="P105" s="3"/>
      <c r="Q105" s="3"/>
      <c r="S105" s="3"/>
      <c r="T105" s="3"/>
      <c r="U105" s="3"/>
    </row>
    <row r="106" spans="1:22" ht="15.75" customHeight="1">
      <c r="A106" s="167" t="s">
        <v>10</v>
      </c>
      <c r="B106" s="167"/>
      <c r="C106" s="186" t="s">
        <v>79</v>
      </c>
      <c r="D106" s="186"/>
      <c r="E106" s="186"/>
      <c r="F106" s="57"/>
      <c r="I106" s="88"/>
      <c r="J106" s="5"/>
      <c r="K106" s="5"/>
      <c r="L106" s="5"/>
      <c r="M106" s="5"/>
      <c r="N106" s="5"/>
      <c r="O106" s="5"/>
      <c r="P106" s="5"/>
      <c r="Q106" s="5"/>
      <c r="R106" s="187"/>
      <c r="S106" s="187"/>
      <c r="T106" s="187"/>
      <c r="U106" s="187"/>
    </row>
    <row r="107" spans="1:22" ht="15.75" customHeight="1">
      <c r="A107" s="85"/>
      <c r="C107" s="182" t="s">
        <v>11</v>
      </c>
      <c r="D107" s="182"/>
      <c r="E107" s="182"/>
      <c r="F107" s="23"/>
      <c r="I107" s="86" t="s">
        <v>12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2" ht="15.75" customHeight="1">
      <c r="A108" s="24"/>
      <c r="C108" s="11"/>
      <c r="D108" s="11"/>
      <c r="G108" s="11"/>
      <c r="H108" s="11"/>
    </row>
    <row r="109" spans="1:22" ht="15.75" customHeight="1">
      <c r="A109" s="167" t="s">
        <v>13</v>
      </c>
      <c r="B109" s="167"/>
      <c r="C109" s="188"/>
      <c r="D109" s="188"/>
      <c r="E109" s="188"/>
      <c r="F109" s="58"/>
      <c r="I109" s="88"/>
    </row>
    <row r="110" spans="1:22" ht="15.75" customHeight="1">
      <c r="A110" s="85"/>
      <c r="C110" s="187" t="s">
        <v>11</v>
      </c>
      <c r="D110" s="187"/>
      <c r="E110" s="187"/>
      <c r="F110" s="85"/>
      <c r="I110" s="86" t="s">
        <v>12</v>
      </c>
    </row>
    <row r="111" spans="1:22" ht="15.75" customHeight="1">
      <c r="A111" s="4" t="s">
        <v>14</v>
      </c>
    </row>
    <row r="112" spans="1:22" ht="15" customHeight="1">
      <c r="A112" s="189" t="s">
        <v>15</v>
      </c>
      <c r="B112" s="189"/>
      <c r="C112" s="189"/>
      <c r="D112" s="189"/>
      <c r="E112" s="189"/>
      <c r="F112" s="189"/>
      <c r="G112" s="189"/>
      <c r="H112" s="189"/>
      <c r="I112" s="189"/>
    </row>
    <row r="113" spans="1:9" ht="45" customHeight="1">
      <c r="A113" s="184" t="s">
        <v>16</v>
      </c>
      <c r="B113" s="184"/>
      <c r="C113" s="184"/>
      <c r="D113" s="184"/>
      <c r="E113" s="184"/>
      <c r="F113" s="184"/>
      <c r="G113" s="184"/>
      <c r="H113" s="184"/>
      <c r="I113" s="184"/>
    </row>
    <row r="114" spans="1:9" ht="30" customHeight="1">
      <c r="A114" s="184" t="s">
        <v>17</v>
      </c>
      <c r="B114" s="184"/>
      <c r="C114" s="184"/>
      <c r="D114" s="184"/>
      <c r="E114" s="184"/>
      <c r="F114" s="184"/>
      <c r="G114" s="184"/>
      <c r="H114" s="184"/>
      <c r="I114" s="184"/>
    </row>
    <row r="115" spans="1:9" ht="30" customHeight="1">
      <c r="A115" s="184" t="s">
        <v>21</v>
      </c>
      <c r="B115" s="184"/>
      <c r="C115" s="184"/>
      <c r="D115" s="184"/>
      <c r="E115" s="184"/>
      <c r="F115" s="184"/>
      <c r="G115" s="184"/>
      <c r="H115" s="184"/>
      <c r="I115" s="184"/>
    </row>
    <row r="116" spans="1:9" ht="15" customHeight="1">
      <c r="A116" s="184" t="s">
        <v>20</v>
      </c>
      <c r="B116" s="184"/>
      <c r="C116" s="184"/>
      <c r="D116" s="184"/>
      <c r="E116" s="184"/>
      <c r="F116" s="184"/>
      <c r="G116" s="184"/>
      <c r="H116" s="184"/>
      <c r="I116" s="184"/>
    </row>
  </sheetData>
  <autoFilter ref="I12:I102"/>
  <mergeCells count="31">
    <mergeCell ref="A116:I116"/>
    <mergeCell ref="A104:I104"/>
    <mergeCell ref="A106:B106"/>
    <mergeCell ref="C106:E106"/>
    <mergeCell ref="R106:U106"/>
    <mergeCell ref="C107:E107"/>
    <mergeCell ref="A109:B109"/>
    <mergeCell ref="C109:E109"/>
    <mergeCell ref="C110:E110"/>
    <mergeCell ref="A112:I112"/>
    <mergeCell ref="A113:I113"/>
    <mergeCell ref="A114:I114"/>
    <mergeCell ref="A115:I115"/>
    <mergeCell ref="A102:I102"/>
    <mergeCell ref="A15:I15"/>
    <mergeCell ref="A27:I27"/>
    <mergeCell ref="A42:I42"/>
    <mergeCell ref="A53:I53"/>
    <mergeCell ref="A81:I81"/>
    <mergeCell ref="A85:I85"/>
    <mergeCell ref="A96:I96"/>
    <mergeCell ref="B97:G97"/>
    <mergeCell ref="B98:G98"/>
    <mergeCell ref="A100:I100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2020-02-11T07:30:31Z</cp:lastPrinted>
  <dcterms:created xsi:type="dcterms:W3CDTF">2016-03-25T08:33:47Z</dcterms:created>
  <dcterms:modified xsi:type="dcterms:W3CDTF">2020-02-11T07:32:47Z</dcterms:modified>
</cp:coreProperties>
</file>