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540" windowWidth="15480" windowHeight="11280" activeTab="11"/>
  </bookViews>
  <sheets>
    <sheet name="01.18" sheetId="17" r:id="rId1"/>
    <sheet name="02.18" sheetId="18" r:id="rId2"/>
    <sheet name="03.18" sheetId="19" r:id="rId3"/>
    <sheet name="04.18" sheetId="20" r:id="rId4"/>
    <sheet name="05.18" sheetId="21" r:id="rId5"/>
    <sheet name="06.18" sheetId="22" r:id="rId6"/>
    <sheet name="07.18" sheetId="23" r:id="rId7"/>
    <sheet name="08.18" sheetId="24" r:id="rId8"/>
    <sheet name="09.18" sheetId="25" r:id="rId9"/>
    <sheet name="10.18" sheetId="26" r:id="rId10"/>
    <sheet name="11.18" sheetId="27" r:id="rId11"/>
    <sheet name="12.18" sheetId="28" r:id="rId12"/>
  </sheets>
  <definedNames>
    <definedName name="_xlnm._FilterDatabase" localSheetId="0" hidden="1">'01.18'!$I$12:$I$60</definedName>
    <definedName name="_xlnm._FilterDatabase" localSheetId="1" hidden="1">'02.18'!$I$12:$I$60</definedName>
    <definedName name="_xlnm._FilterDatabase" localSheetId="2" hidden="1">'03.18'!$I$12:$I$60</definedName>
    <definedName name="_xlnm._FilterDatabase" localSheetId="3" hidden="1">'04.18'!$I$12:$I$60</definedName>
    <definedName name="_xlnm._FilterDatabase" localSheetId="4" hidden="1">'05.18'!$I$12:$I$60</definedName>
    <definedName name="_xlnm._FilterDatabase" localSheetId="5" hidden="1">'06.18'!$I$12:$I$60</definedName>
    <definedName name="_xlnm._FilterDatabase" localSheetId="6" hidden="1">'07.18'!$I$12:$I$60</definedName>
    <definedName name="_xlnm._FilterDatabase" localSheetId="7" hidden="1">'08.18'!$I$12:$I$60</definedName>
    <definedName name="_xlnm._FilterDatabase" localSheetId="8" hidden="1">'09.18'!$I$12:$I$60</definedName>
    <definedName name="_xlnm._FilterDatabase" localSheetId="9" hidden="1">'10.18'!$I$12:$I$59</definedName>
    <definedName name="_xlnm._FilterDatabase" localSheetId="10" hidden="1">'11.18'!$I$12:$I$61</definedName>
    <definedName name="_xlnm._FilterDatabase" localSheetId="11" hidden="1">'12.18'!$I$12:$I$60</definedName>
    <definedName name="_xlnm.Print_Titles" localSheetId="3">'04.18'!$12:$13</definedName>
    <definedName name="_xlnm.Print_Titles" localSheetId="9">'10.18'!$12:$13</definedName>
    <definedName name="_xlnm.Print_Titles" localSheetId="10">'11.18'!$12:$13</definedName>
    <definedName name="_xlnm.Print_Titles" localSheetId="11">'12.18'!$12:$13</definedName>
    <definedName name="_xlnm.Print_Area" localSheetId="0">'01.18'!$A$1:$I$128</definedName>
    <definedName name="_xlnm.Print_Area" localSheetId="1">'02.18'!$A$1:$I$119</definedName>
    <definedName name="_xlnm.Print_Area" localSheetId="2">'03.18'!$A$1:$I$135</definedName>
    <definedName name="_xlnm.Print_Area" localSheetId="3">'04.18'!$A$1:$I$122</definedName>
    <definedName name="_xlnm.Print_Area" localSheetId="4">'05.18'!$A$1:$I$123</definedName>
    <definedName name="_xlnm.Print_Area" localSheetId="5">'06.18'!$A$1:$I$122</definedName>
    <definedName name="_xlnm.Print_Area" localSheetId="6">'07.18'!$A$1:$I$115</definedName>
    <definedName name="_xlnm.Print_Area" localSheetId="7">'08.18'!$A$1:$I$117</definedName>
    <definedName name="_xlnm.Print_Area" localSheetId="8">'09.18'!$A$1:$I$114</definedName>
    <definedName name="_xlnm.Print_Area" localSheetId="9">'10.18'!$A$1:$I$133</definedName>
    <definedName name="_xlnm.Print_Area" localSheetId="10">'11.18'!$A$1:$I$134</definedName>
    <definedName name="_xlnm.Print_Area" localSheetId="11">'12.18'!$A$1:$I$128</definedName>
  </definedNames>
  <calcPr calcId="124519"/>
</workbook>
</file>

<file path=xl/calcChain.xml><?xml version="1.0" encoding="utf-8"?>
<calcChain xmlns="http://schemas.openxmlformats.org/spreadsheetml/2006/main">
  <c r="I101" i="26"/>
  <c r="I84" i="17"/>
  <c r="I104" l="1"/>
  <c r="I87" i="28"/>
  <c r="I105"/>
  <c r="I83"/>
  <c r="I104"/>
  <c r="I103"/>
  <c r="I102"/>
  <c r="I101"/>
  <c r="I100"/>
  <c r="I99"/>
  <c r="I97"/>
  <c r="I93"/>
  <c r="I43"/>
  <c r="I54"/>
  <c r="I98"/>
  <c r="I96"/>
  <c r="I95"/>
  <c r="I94"/>
  <c r="I92"/>
  <c r="I91"/>
  <c r="I90"/>
  <c r="I89"/>
  <c r="E86"/>
  <c r="F86" s="1"/>
  <c r="F85"/>
  <c r="I79"/>
  <c r="F74"/>
  <c r="I74" s="1"/>
  <c r="I55"/>
  <c r="F54"/>
  <c r="F50"/>
  <c r="F44"/>
  <c r="I44" s="1"/>
  <c r="F42"/>
  <c r="I42" s="1"/>
  <c r="F41"/>
  <c r="I41" s="1"/>
  <c r="F40"/>
  <c r="F39"/>
  <c r="F26"/>
  <c r="F25"/>
  <c r="F24"/>
  <c r="F23"/>
  <c r="F22"/>
  <c r="F21"/>
  <c r="F20"/>
  <c r="F19"/>
  <c r="F18"/>
  <c r="F17"/>
  <c r="F16"/>
  <c r="I110" i="27"/>
  <c r="I88"/>
  <c r="I103"/>
  <c r="I111" i="19" l="1"/>
  <c r="I110"/>
  <c r="I109" i="27"/>
  <c r="F87"/>
  <c r="H87" s="1"/>
  <c r="E87"/>
  <c r="F86"/>
  <c r="H86" s="1"/>
  <c r="I44"/>
  <c r="I108"/>
  <c r="I107"/>
  <c r="I106"/>
  <c r="I105"/>
  <c r="I104"/>
  <c r="I102"/>
  <c r="I101"/>
  <c r="I100"/>
  <c r="I99"/>
  <c r="I98"/>
  <c r="I97"/>
  <c r="I96"/>
  <c r="I95"/>
  <c r="I94"/>
  <c r="I93"/>
  <c r="I92"/>
  <c r="I91"/>
  <c r="I90"/>
  <c r="I80"/>
  <c r="H80"/>
  <c r="F75"/>
  <c r="I75" s="1"/>
  <c r="F64"/>
  <c r="I56"/>
  <c r="F45"/>
  <c r="I45" s="1"/>
  <c r="F43"/>
  <c r="I43" s="1"/>
  <c r="F42"/>
  <c r="F41"/>
  <c r="F40"/>
  <c r="F39"/>
  <c r="F27"/>
  <c r="F26"/>
  <c r="F25"/>
  <c r="F24"/>
  <c r="F23"/>
  <c r="F22"/>
  <c r="F21"/>
  <c r="F20"/>
  <c r="F19"/>
  <c r="F18"/>
  <c r="F17"/>
  <c r="F16"/>
  <c r="I107" i="26"/>
  <c r="I109"/>
  <c r="I108"/>
  <c r="I106"/>
  <c r="I99"/>
  <c r="I105"/>
  <c r="I104"/>
  <c r="I93"/>
  <c r="I94"/>
  <c r="I103"/>
  <c r="I102"/>
  <c r="I100"/>
  <c r="I98"/>
  <c r="I97"/>
  <c r="I96"/>
  <c r="I95"/>
  <c r="I92"/>
  <c r="I66"/>
  <c r="I86" i="27" l="1"/>
  <c r="I87"/>
  <c r="I53" i="26"/>
  <c r="I82"/>
  <c r="I55"/>
  <c r="E89"/>
  <c r="F89" s="1"/>
  <c r="F88"/>
  <c r="F79"/>
  <c r="F75"/>
  <c r="I75" s="1"/>
  <c r="F72"/>
  <c r="F71"/>
  <c r="F70"/>
  <c r="F69"/>
  <c r="F68"/>
  <c r="F64"/>
  <c r="F59"/>
  <c r="F54"/>
  <c r="F52"/>
  <c r="I52" s="1"/>
  <c r="F51"/>
  <c r="I51" s="1"/>
  <c r="F50"/>
  <c r="F49"/>
  <c r="F48"/>
  <c r="F47"/>
  <c r="F46"/>
  <c r="F44"/>
  <c r="F42"/>
  <c r="F41"/>
  <c r="F40"/>
  <c r="F39"/>
  <c r="F34"/>
  <c r="F33"/>
  <c r="F32"/>
  <c r="F31"/>
  <c r="F30"/>
  <c r="F27"/>
  <c r="F26"/>
  <c r="F25"/>
  <c r="F24"/>
  <c r="F23"/>
  <c r="F22"/>
  <c r="F21"/>
  <c r="F20"/>
  <c r="F19"/>
  <c r="F18"/>
  <c r="F17"/>
  <c r="F16"/>
  <c r="I90" i="25"/>
  <c r="I89"/>
  <c r="I84"/>
  <c r="I93" i="24"/>
  <c r="I88" i="25"/>
  <c r="I65"/>
  <c r="I65" i="24"/>
  <c r="I92"/>
  <c r="I91"/>
  <c r="I86" i="25" l="1"/>
  <c r="I90" i="24"/>
  <c r="I84"/>
  <c r="I88"/>
  <c r="I87"/>
  <c r="I84" i="19"/>
  <c r="I58" i="18"/>
  <c r="I82" i="23"/>
  <c r="I91"/>
  <c r="I90"/>
  <c r="I89"/>
  <c r="I87"/>
  <c r="I65" i="21"/>
  <c r="I89"/>
  <c r="I95" i="18"/>
  <c r="I98" i="20"/>
  <c r="I99" i="21"/>
  <c r="I84" i="22"/>
  <c r="I98"/>
  <c r="I93"/>
  <c r="I92"/>
  <c r="I89"/>
  <c r="I90"/>
  <c r="I88"/>
  <c r="I87"/>
  <c r="I86"/>
  <c r="I91"/>
  <c r="I65"/>
  <c r="I98" i="21"/>
  <c r="I97"/>
  <c r="I96"/>
  <c r="I95"/>
  <c r="I94"/>
  <c r="I93"/>
  <c r="I84"/>
  <c r="I92"/>
  <c r="I91"/>
  <c r="I90"/>
  <c r="I88"/>
  <c r="I87"/>
  <c r="I74"/>
  <c r="I63"/>
  <c r="I54"/>
  <c r="I53"/>
  <c r="I52"/>
  <c r="I85" i="20"/>
  <c r="I101" i="21" l="1"/>
  <c r="I94" i="20"/>
  <c r="H94"/>
  <c r="I65" i="18"/>
  <c r="I97" i="20"/>
  <c r="I96"/>
  <c r="I95"/>
  <c r="I93"/>
  <c r="I92"/>
  <c r="I91"/>
  <c r="I90"/>
  <c r="I89"/>
  <c r="I88"/>
  <c r="I87"/>
  <c r="I64"/>
  <c r="I61"/>
  <c r="I45"/>
  <c r="I106" i="19"/>
  <c r="I45" l="1"/>
  <c r="I44"/>
  <c r="I108"/>
  <c r="I107"/>
  <c r="I105"/>
  <c r="I104"/>
  <c r="I102"/>
  <c r="I103"/>
  <c r="I101"/>
  <c r="I100"/>
  <c r="I98"/>
  <c r="I97"/>
  <c r="I96"/>
  <c r="H109"/>
  <c r="H108"/>
  <c r="H107"/>
  <c r="H105"/>
  <c r="H104"/>
  <c r="H103"/>
  <c r="H102"/>
  <c r="H101"/>
  <c r="H100"/>
  <c r="H99"/>
  <c r="H98"/>
  <c r="H97"/>
  <c r="H96"/>
  <c r="I95"/>
  <c r="H95"/>
  <c r="I94"/>
  <c r="I93"/>
  <c r="I92"/>
  <c r="I91"/>
  <c r="I90"/>
  <c r="H94"/>
  <c r="H93"/>
  <c r="H92"/>
  <c r="H91"/>
  <c r="H90"/>
  <c r="I89"/>
  <c r="H89"/>
  <c r="I88"/>
  <c r="I87"/>
  <c r="H88"/>
  <c r="H87"/>
  <c r="I86"/>
  <c r="H86"/>
  <c r="I65"/>
  <c r="F63"/>
  <c r="I94" i="18"/>
  <c r="H94"/>
  <c r="I86"/>
  <c r="I45"/>
  <c r="I44"/>
  <c r="I45" i="17"/>
  <c r="I44"/>
  <c r="I92" i="18" l="1"/>
  <c r="I93"/>
  <c r="I91"/>
  <c r="H93"/>
  <c r="H92"/>
  <c r="H91"/>
  <c r="H90"/>
  <c r="I89"/>
  <c r="H89"/>
  <c r="I88"/>
  <c r="I87"/>
  <c r="H88"/>
  <c r="H87"/>
  <c r="H86"/>
  <c r="F63"/>
  <c r="I103" i="17"/>
  <c r="H103"/>
  <c r="I102"/>
  <c r="H102"/>
  <c r="I101"/>
  <c r="H101"/>
  <c r="I100"/>
  <c r="H100"/>
  <c r="I99"/>
  <c r="H99"/>
  <c r="I98"/>
  <c r="H98"/>
  <c r="I97"/>
  <c r="H97"/>
  <c r="I96"/>
  <c r="H96"/>
  <c r="I95"/>
  <c r="H95"/>
  <c r="I94"/>
  <c r="H94"/>
  <c r="I93"/>
  <c r="H93"/>
  <c r="F93"/>
  <c r="I92"/>
  <c r="H92"/>
  <c r="I91"/>
  <c r="H91"/>
  <c r="I90"/>
  <c r="H90"/>
  <c r="I89"/>
  <c r="H89"/>
  <c r="I88"/>
  <c r="H88"/>
  <c r="I87"/>
  <c r="H87"/>
  <c r="I86"/>
  <c r="H86"/>
  <c r="I65"/>
  <c r="F63"/>
  <c r="H63" s="1"/>
  <c r="H96" i="28" l="1"/>
  <c r="H95"/>
  <c r="H94"/>
  <c r="H93"/>
  <c r="H92"/>
  <c r="F91"/>
  <c r="H91" s="1"/>
  <c r="H89"/>
  <c r="I76"/>
  <c r="H90"/>
  <c r="H85"/>
  <c r="H83"/>
  <c r="H81"/>
  <c r="H78"/>
  <c r="H77"/>
  <c r="H76"/>
  <c r="I72"/>
  <c r="H72"/>
  <c r="F71"/>
  <c r="H71" s="1"/>
  <c r="F70"/>
  <c r="I70" s="1"/>
  <c r="F69"/>
  <c r="H69" s="1"/>
  <c r="F68"/>
  <c r="I68" s="1"/>
  <c r="F67"/>
  <c r="H67" s="1"/>
  <c r="I66"/>
  <c r="H66"/>
  <c r="I65"/>
  <c r="H65"/>
  <c r="I63"/>
  <c r="I62"/>
  <c r="H62"/>
  <c r="F60"/>
  <c r="H60" s="1"/>
  <c r="I59"/>
  <c r="H59"/>
  <c r="F58"/>
  <c r="I58" s="1"/>
  <c r="H54"/>
  <c r="H53"/>
  <c r="F52"/>
  <c r="H52" s="1"/>
  <c r="F51"/>
  <c r="H51" s="1"/>
  <c r="H50"/>
  <c r="F49"/>
  <c r="H49" s="1"/>
  <c r="F48"/>
  <c r="H48" s="1"/>
  <c r="F47"/>
  <c r="H47" s="1"/>
  <c r="F46"/>
  <c r="H46" s="1"/>
  <c r="H43"/>
  <c r="H41"/>
  <c r="I40"/>
  <c r="I39"/>
  <c r="H39"/>
  <c r="I38"/>
  <c r="H38"/>
  <c r="H36"/>
  <c r="H35"/>
  <c r="H34"/>
  <c r="F34"/>
  <c r="I34" s="1"/>
  <c r="F33"/>
  <c r="I33" s="1"/>
  <c r="F32"/>
  <c r="H32" s="1"/>
  <c r="F31"/>
  <c r="I31" s="1"/>
  <c r="F30"/>
  <c r="H30" s="1"/>
  <c r="F27"/>
  <c r="I27" s="1"/>
  <c r="H26"/>
  <c r="I25"/>
  <c r="H24"/>
  <c r="H23"/>
  <c r="H22"/>
  <c r="I21"/>
  <c r="H20"/>
  <c r="H19"/>
  <c r="I18"/>
  <c r="H17"/>
  <c r="I16"/>
  <c r="F92" i="27"/>
  <c r="F91"/>
  <c r="H91" s="1"/>
  <c r="H90"/>
  <c r="H84"/>
  <c r="H82"/>
  <c r="H79"/>
  <c r="H78"/>
  <c r="I77"/>
  <c r="H77"/>
  <c r="I73"/>
  <c r="H73"/>
  <c r="F72"/>
  <c r="I72" s="1"/>
  <c r="F71"/>
  <c r="H71" s="1"/>
  <c r="F70"/>
  <c r="I70" s="1"/>
  <c r="F69"/>
  <c r="H69" s="1"/>
  <c r="F68"/>
  <c r="I68" s="1"/>
  <c r="I67"/>
  <c r="H67"/>
  <c r="I66"/>
  <c r="H66"/>
  <c r="H64"/>
  <c r="I63"/>
  <c r="H63"/>
  <c r="F61"/>
  <c r="I61" s="1"/>
  <c r="I60"/>
  <c r="H60"/>
  <c r="F59"/>
  <c r="H59" s="1"/>
  <c r="I55"/>
  <c r="F55"/>
  <c r="H55" s="1"/>
  <c r="H54"/>
  <c r="F53"/>
  <c r="H53" s="1"/>
  <c r="F52"/>
  <c r="H52" s="1"/>
  <c r="F51"/>
  <c r="I51" s="1"/>
  <c r="F50"/>
  <c r="H50" s="1"/>
  <c r="F49"/>
  <c r="H49" s="1"/>
  <c r="F48"/>
  <c r="H48" s="1"/>
  <c r="F47"/>
  <c r="H47" s="1"/>
  <c r="H44"/>
  <c r="H43"/>
  <c r="H42"/>
  <c r="H41"/>
  <c r="I40"/>
  <c r="I39"/>
  <c r="H39"/>
  <c r="I38"/>
  <c r="H38"/>
  <c r="H36"/>
  <c r="H35"/>
  <c r="H34"/>
  <c r="F34"/>
  <c r="I34" s="1"/>
  <c r="F33"/>
  <c r="H33" s="1"/>
  <c r="F32"/>
  <c r="I32" s="1"/>
  <c r="F31"/>
  <c r="H31" s="1"/>
  <c r="F30"/>
  <c r="I30" s="1"/>
  <c r="H27"/>
  <c r="I26"/>
  <c r="H25"/>
  <c r="I24"/>
  <c r="H23"/>
  <c r="H22"/>
  <c r="H21"/>
  <c r="I20"/>
  <c r="H19"/>
  <c r="H18"/>
  <c r="I17"/>
  <c r="H16"/>
  <c r="H68" i="28" l="1"/>
  <c r="H86"/>
  <c r="H87" s="1"/>
  <c r="I86"/>
  <c r="H16"/>
  <c r="I17"/>
  <c r="H18"/>
  <c r="I20"/>
  <c r="H21"/>
  <c r="I24"/>
  <c r="H25"/>
  <c r="I26"/>
  <c r="H27"/>
  <c r="I30"/>
  <c r="H31"/>
  <c r="I32"/>
  <c r="H33"/>
  <c r="H40"/>
  <c r="H42"/>
  <c r="I50"/>
  <c r="H58"/>
  <c r="I60"/>
  <c r="H63"/>
  <c r="I67"/>
  <c r="I69"/>
  <c r="H70"/>
  <c r="I71"/>
  <c r="I85"/>
  <c r="H92" i="27"/>
  <c r="H40"/>
  <c r="H88"/>
  <c r="I16"/>
  <c r="H17"/>
  <c r="I18"/>
  <c r="H20"/>
  <c r="I21"/>
  <c r="H24"/>
  <c r="I25"/>
  <c r="H26"/>
  <c r="I27"/>
  <c r="H30"/>
  <c r="I31"/>
  <c r="H32"/>
  <c r="I33"/>
  <c r="I42"/>
  <c r="H51"/>
  <c r="I59"/>
  <c r="H61"/>
  <c r="I64"/>
  <c r="H68"/>
  <c r="I69"/>
  <c r="H70"/>
  <c r="I71"/>
  <c r="H72"/>
  <c r="I107" i="28" l="1"/>
  <c r="I112" i="27"/>
  <c r="H82" i="28"/>
  <c r="H83" i="27"/>
  <c r="H103" i="26" l="1"/>
  <c r="H102"/>
  <c r="H101"/>
  <c r="H100"/>
  <c r="H99"/>
  <c r="H98"/>
  <c r="H97"/>
  <c r="H96"/>
  <c r="H95"/>
  <c r="H94"/>
  <c r="H92"/>
  <c r="I80"/>
  <c r="I87" i="25" l="1"/>
  <c r="H87"/>
  <c r="H86"/>
  <c r="H89" i="24" l="1"/>
  <c r="H88"/>
  <c r="F87"/>
  <c r="H87" s="1"/>
  <c r="F90" i="23"/>
  <c r="H90" s="1"/>
  <c r="H89"/>
  <c r="I88"/>
  <c r="H88"/>
  <c r="H87"/>
  <c r="I86"/>
  <c r="H86"/>
  <c r="I65"/>
  <c r="H97" i="22"/>
  <c r="F96"/>
  <c r="H96" s="1"/>
  <c r="H95"/>
  <c r="H94"/>
  <c r="H93"/>
  <c r="H92"/>
  <c r="H91"/>
  <c r="F90"/>
  <c r="H90" s="1"/>
  <c r="H89"/>
  <c r="H88"/>
  <c r="H87"/>
  <c r="H86"/>
  <c r="H89" i="21"/>
  <c r="H88"/>
  <c r="F87"/>
  <c r="H87" s="1"/>
  <c r="I41" i="20"/>
  <c r="H97"/>
  <c r="H96"/>
  <c r="H95"/>
  <c r="H93"/>
  <c r="H92"/>
  <c r="H91"/>
  <c r="F90"/>
  <c r="H90" s="1"/>
  <c r="H89"/>
  <c r="H88"/>
  <c r="H87"/>
  <c r="I75"/>
  <c r="I66"/>
  <c r="I54" i="19"/>
  <c r="I99"/>
  <c r="I74"/>
  <c r="I90" i="18" l="1"/>
  <c r="H93" i="26" l="1"/>
  <c r="I89"/>
  <c r="I88"/>
  <c r="H86"/>
  <c r="H84"/>
  <c r="H82"/>
  <c r="H81"/>
  <c r="H80"/>
  <c r="I73"/>
  <c r="H73"/>
  <c r="I72"/>
  <c r="I71"/>
  <c r="I70"/>
  <c r="I69"/>
  <c r="I68"/>
  <c r="I67"/>
  <c r="H67"/>
  <c r="H66"/>
  <c r="I64"/>
  <c r="I62"/>
  <c r="H62"/>
  <c r="I59"/>
  <c r="I58"/>
  <c r="H58"/>
  <c r="I54"/>
  <c r="H54"/>
  <c r="H53"/>
  <c r="H52"/>
  <c r="H51"/>
  <c r="I50"/>
  <c r="H49"/>
  <c r="H48"/>
  <c r="H47"/>
  <c r="H46"/>
  <c r="I43"/>
  <c r="H43"/>
  <c r="I42"/>
  <c r="I41"/>
  <c r="I40"/>
  <c r="I39"/>
  <c r="I38"/>
  <c r="H38"/>
  <c r="H36"/>
  <c r="H35"/>
  <c r="H34"/>
  <c r="I34"/>
  <c r="I33"/>
  <c r="I32"/>
  <c r="I31"/>
  <c r="I30"/>
  <c r="I27"/>
  <c r="I26"/>
  <c r="I25"/>
  <c r="I24"/>
  <c r="H23"/>
  <c r="H22"/>
  <c r="I21"/>
  <c r="I20"/>
  <c r="H19"/>
  <c r="I18"/>
  <c r="I17"/>
  <c r="I16"/>
  <c r="I90" l="1"/>
  <c r="I111" s="1"/>
  <c r="H50"/>
  <c r="H20"/>
  <c r="H26"/>
  <c r="H17"/>
  <c r="H24"/>
  <c r="H68"/>
  <c r="H72"/>
  <c r="H70"/>
  <c r="H59"/>
  <c r="H41"/>
  <c r="H32"/>
  <c r="H30"/>
  <c r="H16"/>
  <c r="H18"/>
  <c r="H21"/>
  <c r="H25"/>
  <c r="H27"/>
  <c r="H31"/>
  <c r="H33"/>
  <c r="H39"/>
  <c r="H40"/>
  <c r="H42"/>
  <c r="H64"/>
  <c r="H69"/>
  <c r="H71"/>
  <c r="H88"/>
  <c r="H89"/>
  <c r="H90" s="1"/>
  <c r="H85" l="1"/>
  <c r="I54" i="25" l="1"/>
  <c r="E83"/>
  <c r="F83" s="1"/>
  <c r="F82"/>
  <c r="I82" s="1"/>
  <c r="H80"/>
  <c r="H78"/>
  <c r="H76"/>
  <c r="H75"/>
  <c r="H74"/>
  <c r="I72"/>
  <c r="H72"/>
  <c r="F71"/>
  <c r="H71" s="1"/>
  <c r="F70"/>
  <c r="I70" s="1"/>
  <c r="F69"/>
  <c r="H69" s="1"/>
  <c r="F68"/>
  <c r="I68" s="1"/>
  <c r="F67"/>
  <c r="H67" s="1"/>
  <c r="I66"/>
  <c r="H66"/>
  <c r="H65"/>
  <c r="I63"/>
  <c r="I62"/>
  <c r="H62"/>
  <c r="F60"/>
  <c r="H60" s="1"/>
  <c r="I59"/>
  <c r="H59"/>
  <c r="F58"/>
  <c r="I58" s="1"/>
  <c r="I55"/>
  <c r="F55"/>
  <c r="H55" s="1"/>
  <c r="H54"/>
  <c r="F53"/>
  <c r="I53" s="1"/>
  <c r="F52"/>
  <c r="I52" s="1"/>
  <c r="F51"/>
  <c r="H51" s="1"/>
  <c r="F50"/>
  <c r="H50" s="1"/>
  <c r="F49"/>
  <c r="H49" s="1"/>
  <c r="F48"/>
  <c r="H48" s="1"/>
  <c r="F47"/>
  <c r="H47" s="1"/>
  <c r="I45"/>
  <c r="H45"/>
  <c r="F44"/>
  <c r="I44" s="1"/>
  <c r="F43"/>
  <c r="H43" s="1"/>
  <c r="F42"/>
  <c r="I42" s="1"/>
  <c r="H41"/>
  <c r="F40"/>
  <c r="I40" s="1"/>
  <c r="I39"/>
  <c r="H39"/>
  <c r="I38"/>
  <c r="H38"/>
  <c r="H36"/>
  <c r="H35"/>
  <c r="H34"/>
  <c r="F34"/>
  <c r="I34" s="1"/>
  <c r="F33"/>
  <c r="I33" s="1"/>
  <c r="F32"/>
  <c r="H32" s="1"/>
  <c r="F31"/>
  <c r="I31" s="1"/>
  <c r="F30"/>
  <c r="H30" s="1"/>
  <c r="F27"/>
  <c r="I27" s="1"/>
  <c r="F26"/>
  <c r="H26" s="1"/>
  <c r="F25"/>
  <c r="I25" s="1"/>
  <c r="F24"/>
  <c r="H24" s="1"/>
  <c r="F23"/>
  <c r="H23" s="1"/>
  <c r="F22"/>
  <c r="H22" s="1"/>
  <c r="F21"/>
  <c r="I21" s="1"/>
  <c r="F20"/>
  <c r="H20" s="1"/>
  <c r="F19"/>
  <c r="H19" s="1"/>
  <c r="F18"/>
  <c r="I18" s="1"/>
  <c r="F17"/>
  <c r="H17" s="1"/>
  <c r="F16"/>
  <c r="I16" s="1"/>
  <c r="I74" i="24"/>
  <c r="I86"/>
  <c r="H86"/>
  <c r="E83"/>
  <c r="F83" s="1"/>
  <c r="F82"/>
  <c r="I82" s="1"/>
  <c r="H80"/>
  <c r="H78"/>
  <c r="H76"/>
  <c r="H75"/>
  <c r="H74"/>
  <c r="I72"/>
  <c r="H72"/>
  <c r="F71"/>
  <c r="H71" s="1"/>
  <c r="F70"/>
  <c r="I70" s="1"/>
  <c r="F69"/>
  <c r="H69" s="1"/>
  <c r="F68"/>
  <c r="I68" s="1"/>
  <c r="F67"/>
  <c r="H67" s="1"/>
  <c r="I66"/>
  <c r="H66"/>
  <c r="H65"/>
  <c r="I63"/>
  <c r="I62"/>
  <c r="H62"/>
  <c r="F60"/>
  <c r="H60" s="1"/>
  <c r="I59"/>
  <c r="H59"/>
  <c r="F58"/>
  <c r="I58" s="1"/>
  <c r="I55"/>
  <c r="F55"/>
  <c r="H55" s="1"/>
  <c r="H54"/>
  <c r="F53"/>
  <c r="H53" s="1"/>
  <c r="F52"/>
  <c r="H52" s="1"/>
  <c r="F51"/>
  <c r="H51" s="1"/>
  <c r="F50"/>
  <c r="H50" s="1"/>
  <c r="F49"/>
  <c r="H49" s="1"/>
  <c r="F48"/>
  <c r="H48" s="1"/>
  <c r="F47"/>
  <c r="H47" s="1"/>
  <c r="I45"/>
  <c r="H45"/>
  <c r="F44"/>
  <c r="I44" s="1"/>
  <c r="F43"/>
  <c r="H43" s="1"/>
  <c r="F42"/>
  <c r="I42" s="1"/>
  <c r="H41"/>
  <c r="F40"/>
  <c r="I40" s="1"/>
  <c r="I39"/>
  <c r="H39"/>
  <c r="I38"/>
  <c r="H38"/>
  <c r="H36"/>
  <c r="H35"/>
  <c r="H34"/>
  <c r="F34"/>
  <c r="I34" s="1"/>
  <c r="F33"/>
  <c r="I33" s="1"/>
  <c r="F32"/>
  <c r="H32" s="1"/>
  <c r="F31"/>
  <c r="I31" s="1"/>
  <c r="F30"/>
  <c r="H30" s="1"/>
  <c r="F27"/>
  <c r="I27" s="1"/>
  <c r="F26"/>
  <c r="H26" s="1"/>
  <c r="F25"/>
  <c r="I25" s="1"/>
  <c r="F24"/>
  <c r="H24" s="1"/>
  <c r="F23"/>
  <c r="H23" s="1"/>
  <c r="F22"/>
  <c r="H22" s="1"/>
  <c r="F21"/>
  <c r="I21" s="1"/>
  <c r="F20"/>
  <c r="H20" s="1"/>
  <c r="F19"/>
  <c r="H19" s="1"/>
  <c r="F18"/>
  <c r="I18" s="1"/>
  <c r="F17"/>
  <c r="H17" s="1"/>
  <c r="F16"/>
  <c r="I16" s="1"/>
  <c r="E83" i="23"/>
  <c r="F83" s="1"/>
  <c r="I84"/>
  <c r="H80"/>
  <c r="H78"/>
  <c r="H76"/>
  <c r="H75"/>
  <c r="H74"/>
  <c r="I72"/>
  <c r="H72"/>
  <c r="F71"/>
  <c r="H71" s="1"/>
  <c r="F70"/>
  <c r="I70" s="1"/>
  <c r="F69"/>
  <c r="H69" s="1"/>
  <c r="F68"/>
  <c r="I68" s="1"/>
  <c r="F67"/>
  <c r="H67" s="1"/>
  <c r="I66"/>
  <c r="H66"/>
  <c r="H65"/>
  <c r="I63"/>
  <c r="I62"/>
  <c r="H62"/>
  <c r="F60"/>
  <c r="H60" s="1"/>
  <c r="I59"/>
  <c r="H59"/>
  <c r="F58"/>
  <c r="I58" s="1"/>
  <c r="I55"/>
  <c r="F55"/>
  <c r="H55" s="1"/>
  <c r="H54"/>
  <c r="F53"/>
  <c r="F52"/>
  <c r="F51"/>
  <c r="H51" s="1"/>
  <c r="F50"/>
  <c r="H50" s="1"/>
  <c r="F49"/>
  <c r="H49" s="1"/>
  <c r="F48"/>
  <c r="H48" s="1"/>
  <c r="F47"/>
  <c r="H47" s="1"/>
  <c r="I45"/>
  <c r="H45"/>
  <c r="F44"/>
  <c r="I44" s="1"/>
  <c r="F43"/>
  <c r="H43" s="1"/>
  <c r="F42"/>
  <c r="I42" s="1"/>
  <c r="H41"/>
  <c r="F40"/>
  <c r="I40" s="1"/>
  <c r="I39"/>
  <c r="H39"/>
  <c r="I38"/>
  <c r="H38"/>
  <c r="H36"/>
  <c r="H35"/>
  <c r="H34"/>
  <c r="F34"/>
  <c r="I34" s="1"/>
  <c r="F33"/>
  <c r="I33" s="1"/>
  <c r="F32"/>
  <c r="H32" s="1"/>
  <c r="F31"/>
  <c r="I31" s="1"/>
  <c r="F30"/>
  <c r="H30" s="1"/>
  <c r="F27"/>
  <c r="I27" s="1"/>
  <c r="F26"/>
  <c r="I26" s="1"/>
  <c r="F25"/>
  <c r="I25" s="1"/>
  <c r="F24"/>
  <c r="I24" s="1"/>
  <c r="F23"/>
  <c r="H23" s="1"/>
  <c r="F22"/>
  <c r="H22" s="1"/>
  <c r="F21"/>
  <c r="I21" s="1"/>
  <c r="F20"/>
  <c r="I20" s="1"/>
  <c r="F19"/>
  <c r="H19" s="1"/>
  <c r="F18"/>
  <c r="I18" s="1"/>
  <c r="F17"/>
  <c r="H17" s="1"/>
  <c r="F16"/>
  <c r="I16" s="1"/>
  <c r="E83" i="22"/>
  <c r="F83" s="1"/>
  <c r="F82"/>
  <c r="I82" s="1"/>
  <c r="H80"/>
  <c r="H78"/>
  <c r="H76"/>
  <c r="H75"/>
  <c r="H74"/>
  <c r="I72"/>
  <c r="H72"/>
  <c r="F71"/>
  <c r="H71" s="1"/>
  <c r="F70"/>
  <c r="I70" s="1"/>
  <c r="F69"/>
  <c r="H69" s="1"/>
  <c r="F68"/>
  <c r="I68" s="1"/>
  <c r="F67"/>
  <c r="H67" s="1"/>
  <c r="I66"/>
  <c r="H66"/>
  <c r="H65"/>
  <c r="H63"/>
  <c r="I63"/>
  <c r="I62"/>
  <c r="H62"/>
  <c r="F60"/>
  <c r="H60" s="1"/>
  <c r="I59"/>
  <c r="H59"/>
  <c r="F58"/>
  <c r="I58" s="1"/>
  <c r="I55"/>
  <c r="F55"/>
  <c r="H55" s="1"/>
  <c r="H54"/>
  <c r="F53"/>
  <c r="H53" s="1"/>
  <c r="F52"/>
  <c r="H52" s="1"/>
  <c r="F51"/>
  <c r="H51" s="1"/>
  <c r="F50"/>
  <c r="H50" s="1"/>
  <c r="F49"/>
  <c r="H49" s="1"/>
  <c r="F48"/>
  <c r="H48" s="1"/>
  <c r="F47"/>
  <c r="H47" s="1"/>
  <c r="I45"/>
  <c r="H45"/>
  <c r="F44"/>
  <c r="I44" s="1"/>
  <c r="F43"/>
  <c r="H43" s="1"/>
  <c r="F42"/>
  <c r="I42" s="1"/>
  <c r="H41"/>
  <c r="F40"/>
  <c r="I40" s="1"/>
  <c r="I39"/>
  <c r="H39"/>
  <c r="I38"/>
  <c r="H38"/>
  <c r="H36"/>
  <c r="H35"/>
  <c r="H34"/>
  <c r="F34"/>
  <c r="I34" s="1"/>
  <c r="F33"/>
  <c r="I33" s="1"/>
  <c r="F32"/>
  <c r="H32" s="1"/>
  <c r="F31"/>
  <c r="I31" s="1"/>
  <c r="F30"/>
  <c r="H30" s="1"/>
  <c r="F27"/>
  <c r="I27" s="1"/>
  <c r="F26"/>
  <c r="H26" s="1"/>
  <c r="F25"/>
  <c r="I25" s="1"/>
  <c r="F24"/>
  <c r="H24" s="1"/>
  <c r="F23"/>
  <c r="H23" s="1"/>
  <c r="F22"/>
  <c r="H22" s="1"/>
  <c r="F21"/>
  <c r="I21" s="1"/>
  <c r="F20"/>
  <c r="H20" s="1"/>
  <c r="F19"/>
  <c r="H19" s="1"/>
  <c r="F18"/>
  <c r="I18" s="1"/>
  <c r="F17"/>
  <c r="H17" s="1"/>
  <c r="F16"/>
  <c r="I16" s="1"/>
  <c r="I86" i="21"/>
  <c r="H86"/>
  <c r="E83"/>
  <c r="F83" s="1"/>
  <c r="F82"/>
  <c r="I82" s="1"/>
  <c r="H80"/>
  <c r="H78"/>
  <c r="H76"/>
  <c r="H75"/>
  <c r="H74"/>
  <c r="I72"/>
  <c r="H72"/>
  <c r="F71"/>
  <c r="H71" s="1"/>
  <c r="F70"/>
  <c r="I70" s="1"/>
  <c r="F69"/>
  <c r="H69" s="1"/>
  <c r="F68"/>
  <c r="I68" s="1"/>
  <c r="F67"/>
  <c r="H67" s="1"/>
  <c r="I66"/>
  <c r="H66"/>
  <c r="H65"/>
  <c r="F63"/>
  <c r="I62"/>
  <c r="H62"/>
  <c r="F60"/>
  <c r="H60" s="1"/>
  <c r="I59"/>
  <c r="H59"/>
  <c r="F58"/>
  <c r="I58" s="1"/>
  <c r="I55"/>
  <c r="F55"/>
  <c r="H55" s="1"/>
  <c r="H54"/>
  <c r="F53"/>
  <c r="H53" s="1"/>
  <c r="F52"/>
  <c r="H52" s="1"/>
  <c r="F51"/>
  <c r="H51" s="1"/>
  <c r="F50"/>
  <c r="H50" s="1"/>
  <c r="F49"/>
  <c r="H49" s="1"/>
  <c r="F48"/>
  <c r="H48" s="1"/>
  <c r="F47"/>
  <c r="H47" s="1"/>
  <c r="I45"/>
  <c r="H45"/>
  <c r="F44"/>
  <c r="I44" s="1"/>
  <c r="F43"/>
  <c r="H43" s="1"/>
  <c r="F42"/>
  <c r="I42" s="1"/>
  <c r="H41"/>
  <c r="F40"/>
  <c r="I40" s="1"/>
  <c r="I39"/>
  <c r="H39"/>
  <c r="I38"/>
  <c r="H38"/>
  <c r="H36"/>
  <c r="H35"/>
  <c r="H34"/>
  <c r="F34"/>
  <c r="I34" s="1"/>
  <c r="F33"/>
  <c r="I33" s="1"/>
  <c r="F32"/>
  <c r="H32" s="1"/>
  <c r="F31"/>
  <c r="I31" s="1"/>
  <c r="F30"/>
  <c r="H30" s="1"/>
  <c r="F27"/>
  <c r="I27" s="1"/>
  <c r="F26"/>
  <c r="H26" s="1"/>
  <c r="F25"/>
  <c r="I25" s="1"/>
  <c r="F24"/>
  <c r="H24" s="1"/>
  <c r="F23"/>
  <c r="H23" s="1"/>
  <c r="F22"/>
  <c r="H22" s="1"/>
  <c r="F21"/>
  <c r="I21" s="1"/>
  <c r="F20"/>
  <c r="H20" s="1"/>
  <c r="F19"/>
  <c r="H19" s="1"/>
  <c r="F18"/>
  <c r="I18" s="1"/>
  <c r="F17"/>
  <c r="H17" s="1"/>
  <c r="F16"/>
  <c r="I16" s="1"/>
  <c r="I81" i="20"/>
  <c r="E84"/>
  <c r="F84" s="1"/>
  <c r="I84" s="1"/>
  <c r="F83"/>
  <c r="I83" s="1"/>
  <c r="H81"/>
  <c r="H79"/>
  <c r="H77"/>
  <c r="H76"/>
  <c r="H75"/>
  <c r="I73"/>
  <c r="H73"/>
  <c r="F72"/>
  <c r="H72" s="1"/>
  <c r="F71"/>
  <c r="I71" s="1"/>
  <c r="F70"/>
  <c r="H70" s="1"/>
  <c r="F69"/>
  <c r="I69" s="1"/>
  <c r="F68"/>
  <c r="H68" s="1"/>
  <c r="I67"/>
  <c r="H67"/>
  <c r="H66"/>
  <c r="F64"/>
  <c r="I63"/>
  <c r="H63"/>
  <c r="F60"/>
  <c r="H60" s="1"/>
  <c r="I59"/>
  <c r="H59"/>
  <c r="F58"/>
  <c r="I58" s="1"/>
  <c r="I55"/>
  <c r="F55"/>
  <c r="H55" s="1"/>
  <c r="H54"/>
  <c r="F53"/>
  <c r="H53" s="1"/>
  <c r="F52"/>
  <c r="H52" s="1"/>
  <c r="F51"/>
  <c r="H51" s="1"/>
  <c r="F50"/>
  <c r="H50" s="1"/>
  <c r="F49"/>
  <c r="H49" s="1"/>
  <c r="F48"/>
  <c r="H48" s="1"/>
  <c r="F47"/>
  <c r="H47" s="1"/>
  <c r="H45"/>
  <c r="F44"/>
  <c r="I44" s="1"/>
  <c r="F43"/>
  <c r="H43" s="1"/>
  <c r="F42"/>
  <c r="I42" s="1"/>
  <c r="H41"/>
  <c r="F40"/>
  <c r="I40" s="1"/>
  <c r="I39"/>
  <c r="H39"/>
  <c r="I38"/>
  <c r="H38"/>
  <c r="H36"/>
  <c r="H35"/>
  <c r="H34"/>
  <c r="F34"/>
  <c r="I34" s="1"/>
  <c r="F33"/>
  <c r="I33" s="1"/>
  <c r="F32"/>
  <c r="H32" s="1"/>
  <c r="F31"/>
  <c r="I31" s="1"/>
  <c r="F30"/>
  <c r="H30" s="1"/>
  <c r="F27"/>
  <c r="I27" s="1"/>
  <c r="F26"/>
  <c r="H26" s="1"/>
  <c r="F25"/>
  <c r="I25" s="1"/>
  <c r="F24"/>
  <c r="H24" s="1"/>
  <c r="F23"/>
  <c r="H23" s="1"/>
  <c r="F22"/>
  <c r="H22" s="1"/>
  <c r="F21"/>
  <c r="I21" s="1"/>
  <c r="F20"/>
  <c r="H20" s="1"/>
  <c r="F19"/>
  <c r="H19" s="1"/>
  <c r="F18"/>
  <c r="I18" s="1"/>
  <c r="F17"/>
  <c r="H17" s="1"/>
  <c r="F16"/>
  <c r="I16" s="1"/>
  <c r="I109" i="19"/>
  <c r="E83"/>
  <c r="F83" s="1"/>
  <c r="H82"/>
  <c r="F82"/>
  <c r="I82" s="1"/>
  <c r="H80"/>
  <c r="H78"/>
  <c r="H76"/>
  <c r="H75"/>
  <c r="H74"/>
  <c r="I72"/>
  <c r="H72"/>
  <c r="F71"/>
  <c r="H71" s="1"/>
  <c r="F70"/>
  <c r="I70" s="1"/>
  <c r="F69"/>
  <c r="H69" s="1"/>
  <c r="F68"/>
  <c r="I68" s="1"/>
  <c r="F67"/>
  <c r="H67" s="1"/>
  <c r="I66"/>
  <c r="H66"/>
  <c r="H65"/>
  <c r="I63"/>
  <c r="I62"/>
  <c r="H62"/>
  <c r="F60"/>
  <c r="H60" s="1"/>
  <c r="I59"/>
  <c r="H59"/>
  <c r="F58"/>
  <c r="I58" s="1"/>
  <c r="I55"/>
  <c r="F55"/>
  <c r="H55" s="1"/>
  <c r="H54"/>
  <c r="F53"/>
  <c r="H53" s="1"/>
  <c r="F52"/>
  <c r="H52" s="1"/>
  <c r="F51"/>
  <c r="H51" s="1"/>
  <c r="F50"/>
  <c r="H50" s="1"/>
  <c r="F49"/>
  <c r="H49" s="1"/>
  <c r="F48"/>
  <c r="H48" s="1"/>
  <c r="F47"/>
  <c r="H47" s="1"/>
  <c r="H45"/>
  <c r="F44"/>
  <c r="F43"/>
  <c r="H43" s="1"/>
  <c r="F42"/>
  <c r="I42" s="1"/>
  <c r="H41"/>
  <c r="F40"/>
  <c r="I40" s="1"/>
  <c r="I39"/>
  <c r="H39"/>
  <c r="I38"/>
  <c r="H38"/>
  <c r="H36"/>
  <c r="H35"/>
  <c r="H34"/>
  <c r="F34"/>
  <c r="I34" s="1"/>
  <c r="F33"/>
  <c r="I33" s="1"/>
  <c r="F32"/>
  <c r="H32" s="1"/>
  <c r="F31"/>
  <c r="I31" s="1"/>
  <c r="F30"/>
  <c r="H30" s="1"/>
  <c r="F27"/>
  <c r="I27" s="1"/>
  <c r="F26"/>
  <c r="H26" s="1"/>
  <c r="F25"/>
  <c r="I25" s="1"/>
  <c r="F24"/>
  <c r="H24" s="1"/>
  <c r="F23"/>
  <c r="H23" s="1"/>
  <c r="F22"/>
  <c r="H22" s="1"/>
  <c r="F21"/>
  <c r="I21" s="1"/>
  <c r="F20"/>
  <c r="H20" s="1"/>
  <c r="F19"/>
  <c r="H19" s="1"/>
  <c r="F18"/>
  <c r="I18" s="1"/>
  <c r="F17"/>
  <c r="H17" s="1"/>
  <c r="F16"/>
  <c r="I16" s="1"/>
  <c r="H52" i="23" l="1"/>
  <c r="I52"/>
  <c r="H53"/>
  <c r="I53"/>
  <c r="H82" i="21"/>
  <c r="H16" i="25"/>
  <c r="H52"/>
  <c r="H53"/>
  <c r="H40"/>
  <c r="H63"/>
  <c r="I50"/>
  <c r="I48"/>
  <c r="I49"/>
  <c r="I47"/>
  <c r="H68"/>
  <c r="H70"/>
  <c r="H58"/>
  <c r="H42"/>
  <c r="H44"/>
  <c r="I83"/>
  <c r="H83"/>
  <c r="H84" s="1"/>
  <c r="I17"/>
  <c r="H18"/>
  <c r="I20"/>
  <c r="H21"/>
  <c r="I24"/>
  <c r="H25"/>
  <c r="I26"/>
  <c r="H27"/>
  <c r="I30"/>
  <c r="H31"/>
  <c r="I32"/>
  <c r="H33"/>
  <c r="I43"/>
  <c r="I51"/>
  <c r="I60"/>
  <c r="I67"/>
  <c r="I69"/>
  <c r="I71"/>
  <c r="H82"/>
  <c r="H68" i="24"/>
  <c r="I83"/>
  <c r="H83"/>
  <c r="H84" s="1"/>
  <c r="H16"/>
  <c r="I17"/>
  <c r="H18"/>
  <c r="I20"/>
  <c r="H21"/>
  <c r="I24"/>
  <c r="H25"/>
  <c r="I26"/>
  <c r="H27"/>
  <c r="I30"/>
  <c r="H31"/>
  <c r="I32"/>
  <c r="H33"/>
  <c r="H40"/>
  <c r="H42"/>
  <c r="I43"/>
  <c r="H44"/>
  <c r="I51"/>
  <c r="H58"/>
  <c r="I60"/>
  <c r="H63"/>
  <c r="I67"/>
  <c r="I69"/>
  <c r="H70"/>
  <c r="I71"/>
  <c r="H82"/>
  <c r="H63" i="23"/>
  <c r="H20"/>
  <c r="H26"/>
  <c r="H24"/>
  <c r="I83"/>
  <c r="H83"/>
  <c r="H84" s="1"/>
  <c r="H16"/>
  <c r="I17"/>
  <c r="H18"/>
  <c r="H21"/>
  <c r="H25"/>
  <c r="H27"/>
  <c r="I30"/>
  <c r="H31"/>
  <c r="I32"/>
  <c r="H33"/>
  <c r="H40"/>
  <c r="H42"/>
  <c r="I43"/>
  <c r="H44"/>
  <c r="I51"/>
  <c r="H58"/>
  <c r="I60"/>
  <c r="I67"/>
  <c r="H68"/>
  <c r="I69"/>
  <c r="H70"/>
  <c r="I71"/>
  <c r="H82"/>
  <c r="H16" i="22"/>
  <c r="I83"/>
  <c r="H83"/>
  <c r="H84" s="1"/>
  <c r="I17"/>
  <c r="H18"/>
  <c r="I20"/>
  <c r="H21"/>
  <c r="I24"/>
  <c r="H25"/>
  <c r="I26"/>
  <c r="H27"/>
  <c r="I30"/>
  <c r="H31"/>
  <c r="I32"/>
  <c r="H33"/>
  <c r="H40"/>
  <c r="H42"/>
  <c r="I43"/>
  <c r="H44"/>
  <c r="I51"/>
  <c r="H58"/>
  <c r="I60"/>
  <c r="I67"/>
  <c r="H68"/>
  <c r="I69"/>
  <c r="H70"/>
  <c r="I71"/>
  <c r="H82"/>
  <c r="H63" i="21"/>
  <c r="H16"/>
  <c r="H27"/>
  <c r="I22"/>
  <c r="I47"/>
  <c r="I49"/>
  <c r="H18"/>
  <c r="H21"/>
  <c r="H33"/>
  <c r="H40"/>
  <c r="I19"/>
  <c r="I23"/>
  <c r="I50"/>
  <c r="I48"/>
  <c r="H68"/>
  <c r="H70"/>
  <c r="H58"/>
  <c r="H79" s="1"/>
  <c r="H44"/>
  <c r="H42"/>
  <c r="H31"/>
  <c r="H25"/>
  <c r="I83"/>
  <c r="H83"/>
  <c r="H84" s="1"/>
  <c r="I17"/>
  <c r="I20"/>
  <c r="I24"/>
  <c r="I26"/>
  <c r="I30"/>
  <c r="I32"/>
  <c r="I43"/>
  <c r="I51"/>
  <c r="I60"/>
  <c r="I67"/>
  <c r="I69"/>
  <c r="I71"/>
  <c r="H40" i="20"/>
  <c r="H64"/>
  <c r="I52"/>
  <c r="I53"/>
  <c r="H69"/>
  <c r="H71"/>
  <c r="H16"/>
  <c r="I17"/>
  <c r="H18"/>
  <c r="I20"/>
  <c r="H21"/>
  <c r="I24"/>
  <c r="H25"/>
  <c r="I26"/>
  <c r="H27"/>
  <c r="I30"/>
  <c r="H31"/>
  <c r="I32"/>
  <c r="H33"/>
  <c r="H42"/>
  <c r="I43"/>
  <c r="H44"/>
  <c r="I51"/>
  <c r="H58"/>
  <c r="H80" s="1"/>
  <c r="I60"/>
  <c r="I68"/>
  <c r="I70"/>
  <c r="I72"/>
  <c r="H83"/>
  <c r="H84"/>
  <c r="H85" s="1"/>
  <c r="H70" i="19"/>
  <c r="H40"/>
  <c r="H16"/>
  <c r="H25"/>
  <c r="H31"/>
  <c r="H42"/>
  <c r="H63"/>
  <c r="H68"/>
  <c r="H18"/>
  <c r="H21"/>
  <c r="H27"/>
  <c r="H33"/>
  <c r="H44"/>
  <c r="H58"/>
  <c r="I83"/>
  <c r="H83"/>
  <c r="H84" s="1"/>
  <c r="I17"/>
  <c r="I113" s="1"/>
  <c r="I20"/>
  <c r="I24"/>
  <c r="I26"/>
  <c r="I30"/>
  <c r="I32"/>
  <c r="I43"/>
  <c r="I51"/>
  <c r="I60"/>
  <c r="I67"/>
  <c r="I69"/>
  <c r="I71"/>
  <c r="H79" i="25" l="1"/>
  <c r="I95" i="24"/>
  <c r="I93" i="23"/>
  <c r="I92" i="25"/>
  <c r="H79" i="24"/>
  <c r="H79" i="23"/>
  <c r="I100" i="22"/>
  <c r="H79"/>
  <c r="I100" i="20"/>
  <c r="H79" i="19"/>
  <c r="I54" i="18" l="1"/>
  <c r="E83" l="1"/>
  <c r="F83" s="1"/>
  <c r="I83" s="1"/>
  <c r="F82"/>
  <c r="I82" s="1"/>
  <c r="H80"/>
  <c r="H78"/>
  <c r="H76"/>
  <c r="H75"/>
  <c r="H74"/>
  <c r="I72"/>
  <c r="H72"/>
  <c r="F71"/>
  <c r="H71" s="1"/>
  <c r="F70"/>
  <c r="I70" s="1"/>
  <c r="F69"/>
  <c r="H69" s="1"/>
  <c r="F68"/>
  <c r="I68" s="1"/>
  <c r="F67"/>
  <c r="H67" s="1"/>
  <c r="I66"/>
  <c r="H66"/>
  <c r="H65"/>
  <c r="I63"/>
  <c r="I62"/>
  <c r="H62"/>
  <c r="F60"/>
  <c r="H60" s="1"/>
  <c r="I59"/>
  <c r="H59"/>
  <c r="F58"/>
  <c r="I55"/>
  <c r="F55"/>
  <c r="H55" s="1"/>
  <c r="H54"/>
  <c r="F53"/>
  <c r="F52"/>
  <c r="F51"/>
  <c r="H51" s="1"/>
  <c r="F50"/>
  <c r="H50" s="1"/>
  <c r="F49"/>
  <c r="H49" s="1"/>
  <c r="F48"/>
  <c r="H48" s="1"/>
  <c r="F47"/>
  <c r="H47" s="1"/>
  <c r="H45"/>
  <c r="F44"/>
  <c r="F43"/>
  <c r="H43" s="1"/>
  <c r="F42"/>
  <c r="I42" s="1"/>
  <c r="H41"/>
  <c r="F40"/>
  <c r="I40" s="1"/>
  <c r="I39"/>
  <c r="H39"/>
  <c r="I38"/>
  <c r="H38"/>
  <c r="H36"/>
  <c r="H35"/>
  <c r="H34"/>
  <c r="F34"/>
  <c r="I34" s="1"/>
  <c r="F33"/>
  <c r="I33" s="1"/>
  <c r="F32"/>
  <c r="H32" s="1"/>
  <c r="F31"/>
  <c r="I31" s="1"/>
  <c r="F30"/>
  <c r="H30" s="1"/>
  <c r="F27"/>
  <c r="I27" s="1"/>
  <c r="F26"/>
  <c r="H26" s="1"/>
  <c r="F25"/>
  <c r="I25" s="1"/>
  <c r="F24"/>
  <c r="H24" s="1"/>
  <c r="F23"/>
  <c r="H23" s="1"/>
  <c r="F22"/>
  <c r="H22" s="1"/>
  <c r="F21"/>
  <c r="I21" s="1"/>
  <c r="F20"/>
  <c r="H20" s="1"/>
  <c r="F19"/>
  <c r="H19" s="1"/>
  <c r="F18"/>
  <c r="I18" s="1"/>
  <c r="F17"/>
  <c r="H17" s="1"/>
  <c r="F16"/>
  <c r="I16" s="1"/>
  <c r="H52" l="1"/>
  <c r="I52"/>
  <c r="H63"/>
  <c r="H53"/>
  <c r="I53"/>
  <c r="H16"/>
  <c r="I17"/>
  <c r="I84" s="1"/>
  <c r="H18"/>
  <c r="I20"/>
  <c r="H21"/>
  <c r="I24"/>
  <c r="H25"/>
  <c r="I26"/>
  <c r="H27"/>
  <c r="I30"/>
  <c r="H31"/>
  <c r="I32"/>
  <c r="H33"/>
  <c r="H40"/>
  <c r="H42"/>
  <c r="I43"/>
  <c r="H44"/>
  <c r="I51"/>
  <c r="H58"/>
  <c r="I60"/>
  <c r="I67"/>
  <c r="H68"/>
  <c r="I69"/>
  <c r="H70"/>
  <c r="I71"/>
  <c r="H82"/>
  <c r="H83"/>
  <c r="H84" s="1"/>
  <c r="I72" i="17"/>
  <c r="E83"/>
  <c r="F83" s="1"/>
  <c r="F82"/>
  <c r="I82" s="1"/>
  <c r="H80"/>
  <c r="H78"/>
  <c r="H76"/>
  <c r="H75"/>
  <c r="H74"/>
  <c r="H72"/>
  <c r="F71"/>
  <c r="H71" s="1"/>
  <c r="F70"/>
  <c r="H70" s="1"/>
  <c r="F69"/>
  <c r="H69" s="1"/>
  <c r="F68"/>
  <c r="H68" s="1"/>
  <c r="F67"/>
  <c r="H67" s="1"/>
  <c r="I66"/>
  <c r="H66"/>
  <c r="H65"/>
  <c r="I63"/>
  <c r="I62"/>
  <c r="H62"/>
  <c r="F60"/>
  <c r="I59"/>
  <c r="H59"/>
  <c r="F58"/>
  <c r="I58" s="1"/>
  <c r="I55"/>
  <c r="F55"/>
  <c r="H55" s="1"/>
  <c r="H54"/>
  <c r="F53"/>
  <c r="H53" s="1"/>
  <c r="F52"/>
  <c r="H52" s="1"/>
  <c r="F51"/>
  <c r="I51" s="1"/>
  <c r="F50"/>
  <c r="H50" s="1"/>
  <c r="F49"/>
  <c r="H49" s="1"/>
  <c r="F48"/>
  <c r="H48" s="1"/>
  <c r="F47"/>
  <c r="H47" s="1"/>
  <c r="H45"/>
  <c r="F44"/>
  <c r="F43"/>
  <c r="I43" s="1"/>
  <c r="F42"/>
  <c r="I42" s="1"/>
  <c r="H41"/>
  <c r="F40"/>
  <c r="I40" s="1"/>
  <c r="I39"/>
  <c r="H39"/>
  <c r="I38"/>
  <c r="H38"/>
  <c r="F27"/>
  <c r="I27" s="1"/>
  <c r="H36"/>
  <c r="H35"/>
  <c r="F26"/>
  <c r="I26" s="1"/>
  <c r="H34"/>
  <c r="F34"/>
  <c r="I34" s="1"/>
  <c r="F33"/>
  <c r="H33" s="1"/>
  <c r="F32"/>
  <c r="H32" s="1"/>
  <c r="F31"/>
  <c r="H31" s="1"/>
  <c r="F30"/>
  <c r="H30" s="1"/>
  <c r="F25"/>
  <c r="I25" s="1"/>
  <c r="F24"/>
  <c r="I24" s="1"/>
  <c r="F23"/>
  <c r="H23" s="1"/>
  <c r="F22"/>
  <c r="H22" s="1"/>
  <c r="F21"/>
  <c r="I21" s="1"/>
  <c r="F20"/>
  <c r="I20" s="1"/>
  <c r="F19"/>
  <c r="H19" s="1"/>
  <c r="F18"/>
  <c r="I18" s="1"/>
  <c r="F17"/>
  <c r="I17" s="1"/>
  <c r="F16"/>
  <c r="I16" s="1"/>
  <c r="H60" l="1"/>
  <c r="I60"/>
  <c r="H79" i="18"/>
  <c r="I97"/>
  <c r="I70" i="17"/>
  <c r="I68"/>
  <c r="I67"/>
  <c r="I71"/>
  <c r="I69"/>
  <c r="I30"/>
  <c r="I33"/>
  <c r="I32"/>
  <c r="I31"/>
  <c r="H44"/>
  <c r="H51"/>
  <c r="H17"/>
  <c r="H24"/>
  <c r="H27"/>
  <c r="H40"/>
  <c r="H20"/>
  <c r="H42"/>
  <c r="H82"/>
  <c r="I83"/>
  <c r="H83"/>
  <c r="H84" s="1"/>
  <c r="H16"/>
  <c r="H18"/>
  <c r="H21"/>
  <c r="H25"/>
  <c r="H26"/>
  <c r="H43"/>
  <c r="H58"/>
  <c r="H79" s="1"/>
  <c r="I106" l="1"/>
</calcChain>
</file>

<file path=xl/sharedStrings.xml><?xml version="1.0" encoding="utf-8"?>
<sst xmlns="http://schemas.openxmlformats.org/spreadsheetml/2006/main" count="2904" uniqueCount="353">
  <si>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</si>
  <si>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</si>
  <si>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</si>
  <si>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</si>
  <si>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</si>
  <si>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</si>
  <si>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</si>
  <si>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</si>
  <si>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</si>
  <si>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</si>
  <si>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</si>
  <si>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</si>
  <si>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</si>
  <si>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</si>
  <si>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</si>
  <si>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</si>
  <si>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</si>
  <si>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</si>
  <si>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</si>
  <si>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</si>
  <si>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</si>
  <si>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</si>
  <si>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</si>
  <si>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</si>
  <si>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</si>
  <si>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м2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</si>
  <si>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</si>
  <si>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</si>
  <si>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</si>
  <si>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</si>
  <si>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1 раз в месяц</t>
  </si>
  <si>
    <t>шт.</t>
  </si>
  <si>
    <t>м/час</t>
  </si>
  <si>
    <t>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</si>
  <si>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</si>
  <si>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</si>
  <si>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</si>
  <si>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</si>
  <si>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</si>
  <si>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</si>
  <si>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4 раза в год</t>
  </si>
  <si>
    <t>Проверка вентканалов</t>
  </si>
  <si>
    <t>2 раза в год</t>
  </si>
  <si>
    <t>Кровля</t>
  </si>
  <si>
    <t>Чердак, подвал, технический этаж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</si>
  <si>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</si>
  <si>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</si>
  <si>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</si>
  <si>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</si>
  <si>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</si>
  <si>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</si>
  <si>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</si>
  <si>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</si>
  <si>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</si>
  <si>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</si>
  <si>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>ежемесячно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</si>
  <si>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</si>
  <si>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</si>
  <si>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</si>
  <si>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</si>
  <si>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</si>
  <si>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</si>
  <si>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</si>
  <si>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</si>
  <si>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>Подборка мусора на контейнерной площадке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</si>
  <si>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</si>
  <si>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</si>
  <si>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</si>
  <si>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</si>
  <si>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</si>
  <si>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</si>
  <si>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3 раза в год</t>
  </si>
  <si>
    <t>Электроснабжение</t>
  </si>
  <si>
    <t>Смена ламп накаливания</t>
  </si>
  <si>
    <t>Смена плавкой вставки в электрощите</t>
  </si>
  <si>
    <t>10 шт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</si>
  <si>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</si>
  <si>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</si>
  <si>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</si>
  <si>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</si>
  <si>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Ремонт групповых щитков на лестничной клетке без ремонта автоматов</t>
  </si>
  <si>
    <t>Итого:</t>
  </si>
  <si>
    <t>1 м</t>
  </si>
  <si>
    <t>Подключение и отключение сварочного аппарата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</si>
  <si>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</si>
  <si>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место</t>
  </si>
  <si>
    <t>II. Уборка земельного участка</t>
  </si>
  <si>
    <t>ООО «Жилсервис»</t>
  </si>
  <si>
    <t>Влажное подметание лестничных клеток 1 этажа</t>
  </si>
  <si>
    <t>100м2</t>
  </si>
  <si>
    <t>155 раз за сезон</t>
  </si>
  <si>
    <t>1000м2</t>
  </si>
  <si>
    <t xml:space="preserve">Пескопосыпка территории: крыльца и тротуары 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</si>
  <si>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</si>
  <si>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</si>
  <si>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Техническое обслуживание наружных газопроводов</t>
  </si>
  <si>
    <t>Мытье окон</t>
  </si>
  <si>
    <t>10м2</t>
  </si>
  <si>
    <t xml:space="preserve">1 раз в год   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</si>
  <si>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</si>
  <si>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</si>
  <si>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</si>
  <si>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</si>
  <si>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подоконников</t>
  </si>
  <si>
    <t>Влажная протирка отопительных приборов</t>
  </si>
  <si>
    <t>2 раза в неделю 52 раза в сезон</t>
  </si>
  <si>
    <t>3 раза в неделю 78 раз за сезон</t>
  </si>
  <si>
    <t>Уборка контейнерной площадки (16 кв.м.)</t>
  </si>
  <si>
    <t>Уборка газонов</t>
  </si>
  <si>
    <t>Сдвигание снега в дни снегопада (крыльца, тротуары)</t>
  </si>
  <si>
    <t>шт</t>
  </si>
  <si>
    <t xml:space="preserve">6 раз за сезон </t>
  </si>
  <si>
    <t>100м3</t>
  </si>
  <si>
    <t>1000м3</t>
  </si>
  <si>
    <t>Вода для промывки СО</t>
  </si>
  <si>
    <t>Сброс воды после промывки СО в канализацию</t>
  </si>
  <si>
    <t>ТО внутридомового газ.оборудования</t>
  </si>
  <si>
    <t>Замена ламп ДРЛ</t>
  </si>
  <si>
    <t>Аварийно-диспетчерское обслуживание</t>
  </si>
  <si>
    <t>Влажное подметание лестничных клеток 2-5 этажа</t>
  </si>
  <si>
    <t>Мытье лестничных  площадок и маршей 1-5 этаж.</t>
  </si>
  <si>
    <t xml:space="preserve">1 раз в месяц </t>
  </si>
  <si>
    <t xml:space="preserve">1 раз в месяц  </t>
  </si>
  <si>
    <t>Очистка урн от мусора</t>
  </si>
  <si>
    <t>Подметание территории с усовершенствованным покрытием асф.: крыльца, контейнерн пл., проезд, тротуар</t>
  </si>
  <si>
    <t>Перекидывания снега и скола</t>
  </si>
  <si>
    <t>25 раз за сезон</t>
  </si>
  <si>
    <t>Вывоз снега с придомовой территории</t>
  </si>
  <si>
    <t>1м3</t>
  </si>
  <si>
    <t>50 раз за сезон</t>
  </si>
  <si>
    <t>Осмотр рулонной кровли</t>
  </si>
  <si>
    <t>Очистка края кровли от слежавшегося снега со сбрасыванием сосулек (козырьки)</t>
  </si>
  <si>
    <t>Очистка внутреннего водостока</t>
  </si>
  <si>
    <t>водосток</t>
  </si>
  <si>
    <t>Очистка водостоков от наледи</t>
  </si>
  <si>
    <t>Очистка  от мусора</t>
  </si>
  <si>
    <t>Дератизация</t>
  </si>
  <si>
    <t>Снятие показаний эл.счетчика коммунального назначения</t>
  </si>
  <si>
    <t>Внеплановый осмотр электросетей, армазуры и электрооборудования на лестничных клетках</t>
  </si>
  <si>
    <t xml:space="preserve">приемки оказанных услуг и выполненных работ по содержанию и текущему ремонту
общего имущества в многоквартирном доме №5 по ул.Строительная пгт.Ярега
</t>
  </si>
  <si>
    <t>3м</t>
  </si>
  <si>
    <t>Устройство хомута диаметром до 50 мм</t>
  </si>
  <si>
    <t>генеральный директор Куканов Ю.Л.</t>
  </si>
  <si>
    <t>IV. Прочие услуги</t>
  </si>
  <si>
    <t>III. Содержание общего имущества МКД</t>
  </si>
  <si>
    <r>
      <t xml:space="preserve">    Собственники помещений в многоквартирном доме, расположенном по адресу: пгт.Ярега, ул.Строительная, д.5, именуемые в дальнейшем "Заказчик", 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06.05.2013г. стороны, и ООО «Жилсервис», именуемое в дальнейшем "Исполнитель", в лице генерального директора Куканова Юрия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</si>
  <si>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t>III. Проведение технических осмотров</t>
  </si>
  <si>
    <t>IV. Содержание общего имущества МКД</t>
  </si>
  <si>
    <t>V. Прочие услуги</t>
  </si>
  <si>
    <t>АКТ №1</t>
  </si>
  <si>
    <t xml:space="preserve"> 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</si>
  <si>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</si>
  <si>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</si>
  <si>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Смена арматуры - вентилей и клапанов обратных муфтовых диаметром до 20 мм</t>
  </si>
  <si>
    <t>1 шт</t>
  </si>
  <si>
    <t>Установка заглушек диаметром трубопроводов до 100 мм</t>
  </si>
  <si>
    <t>заглушка</t>
  </si>
  <si>
    <t>1 сгон</t>
  </si>
  <si>
    <t>Смена арматуры - вентилей и клапанов обратных муфтовых диаметром до 32 мм</t>
  </si>
  <si>
    <t>Манжета 110 мм</t>
  </si>
  <si>
    <t>Смена трубопроводов на полипропиленовые трубы PN25 диаметром 20 мм</t>
  </si>
  <si>
    <t>Смена трубопроводов на полипропиленовые трубы PN25 диаметром 25 мм</t>
  </si>
  <si>
    <t>Дезинфекция подвала</t>
  </si>
  <si>
    <t>Отвод 110*45°</t>
  </si>
  <si>
    <t>5 раз в год</t>
  </si>
  <si>
    <t>Прочистка каналов</t>
  </si>
  <si>
    <t>АКТ №2</t>
  </si>
  <si>
    <t>АКТ №3</t>
  </si>
  <si>
    <t>АКТ №4</t>
  </si>
  <si>
    <t>АКТ №5</t>
  </si>
  <si>
    <t>АКТ №6</t>
  </si>
  <si>
    <t>АКТ №7</t>
  </si>
  <si>
    <t>АКТ №8</t>
  </si>
  <si>
    <t>АКТ №9</t>
  </si>
  <si>
    <t>АКТ №10</t>
  </si>
  <si>
    <r>
      <t xml:space="preserve">1.   Исполнителем   предъявлены   к   приемке   следующие   оказанные   на   основании   Договора   на   содержание   и   ремонт   многоквартирного   дома    № </t>
    </r>
    <r>
      <rPr>
        <u/>
        <sz val="12"/>
        <rFont val="Times New Roman"/>
        <family val="1"/>
        <charset val="204"/>
      </rPr>
      <t xml:space="preserve">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ул.Строительная, д.5</t>
    </r>
  </si>
  <si>
    <t xml:space="preserve">24 раза в год </t>
  </si>
  <si>
    <t>104 раза в год</t>
  </si>
  <si>
    <t>156 раз в год</t>
  </si>
  <si>
    <t>Итого затраты за месяц</t>
  </si>
  <si>
    <t>Смена полиэтиленовых канализационных труб 110×2000 мм</t>
  </si>
  <si>
    <t>Тройник 100-90°</t>
  </si>
  <si>
    <t xml:space="preserve">Переход чугун-пластик Ду 110 </t>
  </si>
  <si>
    <t>Патрубок компенсационный ПП Ду 100</t>
  </si>
  <si>
    <t>10 м2</t>
  </si>
  <si>
    <t>52 раза в сезон</t>
  </si>
  <si>
    <t>78 раз за сезон</t>
  </si>
  <si>
    <t>Ревизия 110</t>
  </si>
  <si>
    <t xml:space="preserve">Герметизация стыков трубопроводов    </t>
  </si>
  <si>
    <t>1 место</t>
  </si>
  <si>
    <t>Тройник 100×50/90°</t>
  </si>
  <si>
    <t>1м</t>
  </si>
  <si>
    <t>АКТ №11</t>
  </si>
  <si>
    <t>АКТ №12</t>
  </si>
  <si>
    <t>Смена светодиодных светильников в.о.</t>
  </si>
  <si>
    <t>Внеплановый осмотр вводных электрических щитков</t>
  </si>
  <si>
    <t>100шт</t>
  </si>
  <si>
    <t>за период с 01.01.2018 г. по 31.01.2018 г.</t>
  </si>
  <si>
    <t>Смена трубопроводов на металл-полимерные трубы диамером 20 мм</t>
  </si>
  <si>
    <t>Очистка канализационной сети внутренней</t>
  </si>
  <si>
    <t>Прогрев XВC</t>
  </si>
  <si>
    <t xml:space="preserve">Смена сгонов у трубопроводов диаметром до 20 мм </t>
  </si>
  <si>
    <t>Засыпка выбоин у крыльца под.№4</t>
  </si>
  <si>
    <t>1 мЗ</t>
  </si>
  <si>
    <t>за период с 01.02.2018 г. по 28.02.2018 г.</t>
  </si>
  <si>
    <t>Отвод 110*90°</t>
  </si>
  <si>
    <t>за период с 01.03.2018 г. по 31.03.2018 г.</t>
  </si>
  <si>
    <t>Смена полиэтиленовых канализационных труб 110×1000 мм</t>
  </si>
  <si>
    <t>Муфта 100</t>
  </si>
  <si>
    <t>Смена отдельных участков наружной проводки (кабель АВВГ 2*2,5 мм.кв.)</t>
  </si>
  <si>
    <t>м</t>
  </si>
  <si>
    <t>Заделка выбоин в полах цементных площадью до 0,5 м2 после работ ВДИС</t>
  </si>
  <si>
    <t>100 шт</t>
  </si>
  <si>
    <t>за период с 01.04.2018 г. по 30.04.2018 г.</t>
  </si>
  <si>
    <t>Смена внутренних трубопроводов из стальных труб диаметром до 100 мм (без стоимости креплений)</t>
  </si>
  <si>
    <t xml:space="preserve">Внеплановый осмотр СО </t>
  </si>
  <si>
    <t xml:space="preserve">Вывертывание и ввертывание радиаторной пробки.   </t>
  </si>
  <si>
    <t>1 пробка</t>
  </si>
  <si>
    <t>Изготовление щитов на планках для подмостей</t>
  </si>
  <si>
    <t>за период с 01.05.2018 г. по 31.05.2018 г.</t>
  </si>
  <si>
    <t>Внеплановый осмотр водопроводов, канализации, отопления в квартирах</t>
  </si>
  <si>
    <t>100 кв.</t>
  </si>
  <si>
    <t>Смена дверных приборов /замки навесные)</t>
  </si>
  <si>
    <t>Ремонт задвижек диаметром до 100 мм без снятия с места</t>
  </si>
  <si>
    <t>Вентиль ПП Dу 25</t>
  </si>
  <si>
    <t>Тройник</t>
  </si>
  <si>
    <t>Муфта разъемная 25*3/4 НР</t>
  </si>
  <si>
    <t>Муфта разъемная 32*25 ВР</t>
  </si>
  <si>
    <t>за период с 01.06.2018 г. по 30.06.2018 г.</t>
  </si>
  <si>
    <t>Смена арматуры - вентилей и клапанов обратных муфтовых диаметром до 20 мм (кв.60)</t>
  </si>
  <si>
    <t>Устройство хомута диаметром до 50 мм(кв. 110,108)</t>
  </si>
  <si>
    <t>Уплотнение сгонов с применением льняной пряди или асбестового шнура (без разборки сгонов) (кв.9)</t>
  </si>
  <si>
    <t>Смена дощатых полов с добавлением новых досок до 25%</t>
  </si>
  <si>
    <t>*22</t>
  </si>
  <si>
    <t>*22-справочно</t>
  </si>
  <si>
    <t>2. Всего за период с 01.06.2018 по 30.06.2018 выполнено работ (оказано услуг) на общую сумму: 98200,74 руб.</t>
  </si>
  <si>
    <t>(девяносто восемь тысяч двести рублей 74 копеки)</t>
  </si>
  <si>
    <t>*36</t>
  </si>
  <si>
    <t>*36-справочно</t>
  </si>
  <si>
    <t>*27</t>
  </si>
  <si>
    <t>*27-справочно</t>
  </si>
  <si>
    <t>2. Всего за период с 01.04.2018 по 30.04.2018 выполнено работ (оказано услуг) на общую сумму: 113689,29руб.</t>
  </si>
  <si>
    <t>(сто тринадцать тысяч шестьсот восемьдесят девять рублей 29 копеек)</t>
  </si>
  <si>
    <t>2. Всего за период с 01.05.2018 по 31.05.2018 выполнено работ (оказано услуг) на общую сумму: 290309,41 руб.</t>
  </si>
  <si>
    <t>(двести девяносто тысяч триста девять рублей 41 копейка)</t>
  </si>
  <si>
    <t>за период с 01.07.2018 г. по 31.07.2018 г.</t>
  </si>
  <si>
    <t>Осмотр кровли рулонной</t>
  </si>
  <si>
    <t>2. Всего за период с 01.07.2018 по 31.07.2018 выполнено работ (оказано услуг) на общую сумму: 93870,84 руб.</t>
  </si>
  <si>
    <t>(девяносто три тысячи восемьсот семьдесят рублей 84 копейки)</t>
  </si>
  <si>
    <t>*19</t>
  </si>
  <si>
    <t>*19-справочно</t>
  </si>
  <si>
    <t>*39</t>
  </si>
  <si>
    <t>*39-справочно</t>
  </si>
  <si>
    <t>2. Всего за период с 01.02.2018 по 28.02.2018 выполнено работ (оказано услуг) на общую сумму: 129 961,13 руб.</t>
  </si>
  <si>
    <t>(сто двадцать девять тысяч девятьсот шестьдесят один рубль 13 копеек)</t>
  </si>
  <si>
    <t>*33</t>
  </si>
  <si>
    <t>*33-справочно</t>
  </si>
  <si>
    <t>ООО «Движение»</t>
  </si>
  <si>
    <t>за период с 01.08.2018 г. по 31.08.2018 г.</t>
  </si>
  <si>
    <r>
      <t xml:space="preserve">    Собственники помещений в многоквартирном доме, расположенном по адресу: пгт.Ярега, ул.Строительная, д.5, именуемые в дальнейшем "Заказчик", 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06.05.2013г. стороны, и ООО «Движение», именуемое в дальнейшем "Исполнитель", в лице генерального директора Куканова Юрия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</si>
  <si>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t>Ремонт внутренних трубопроводов и стояков</t>
  </si>
  <si>
    <t>за период с 01.09.2018 г. по 30.09.2018 г.</t>
  </si>
  <si>
    <t>Устройство хомута диаметром до 75 мм</t>
  </si>
  <si>
    <t>2. Всего за период с 01.08.2018 по 31.08.2018 выполнено работ (оказано услуг) на общую сумму: 117363,88 руб.</t>
  </si>
  <si>
    <t>(сто семнадцать тысяч триста шестьдесят три рубля 88 копеек)</t>
  </si>
  <si>
    <t>*25</t>
  </si>
  <si>
    <t>*25-справочно</t>
  </si>
  <si>
    <t>Уплотнение сгонов с применением льняной пряди или асбестового шнура (без разборки сгонов)</t>
  </si>
  <si>
    <t>2. Всего за период с 01.09.2018 по 30.09.2018 выполнено работ (оказано услуг) на общую сумму: 107152,23 руб.</t>
  </si>
  <si>
    <t>(сто семь тысяч сто пятьдесят два рубля 23 копейки)</t>
  </si>
  <si>
    <t>за период с 01.10.2018 г. по 31.10.2018 г.</t>
  </si>
  <si>
    <t>3 раза в неделю 156 раз в год</t>
  </si>
  <si>
    <t>2 раза в неделю 104 раза в год</t>
  </si>
  <si>
    <t>18 раз в год</t>
  </si>
  <si>
    <t>Влажная протирка шкафов для шитов и слаботочных устройств</t>
  </si>
  <si>
    <t>218 раз</t>
  </si>
  <si>
    <t>по мере необходимости</t>
  </si>
  <si>
    <t>30 раз за сезон</t>
  </si>
  <si>
    <t>35 раз за сезон</t>
  </si>
  <si>
    <t>Очистка вручную от снега и наледи люков канализационных и водопроводных колодцев</t>
  </si>
  <si>
    <t>2 раза в месяц</t>
  </si>
  <si>
    <t>1 раз в месяц (5 раз за сезон)</t>
  </si>
  <si>
    <t>Осмотр маяков</t>
  </si>
  <si>
    <t>6 раз в год</t>
  </si>
  <si>
    <t>Работа автовышки</t>
  </si>
  <si>
    <t>маш-час</t>
  </si>
  <si>
    <t>Водоснабжение, канализация</t>
  </si>
  <si>
    <t>Техическое обслуживание внутренних сетей водопровода и канализации</t>
  </si>
  <si>
    <t>руб/м2 в мес</t>
  </si>
  <si>
    <t>Смена светодиодного светильника внутреннего освещения ( со стоимостью светильника)</t>
  </si>
  <si>
    <t>1шт</t>
  </si>
  <si>
    <t>Смена выключателей</t>
  </si>
  <si>
    <t>Смена светодиодного светильника наружного освещения</t>
  </si>
  <si>
    <t>Снятие показаний с общедомовых приборов учета электрической энергии и холодной воды</t>
  </si>
  <si>
    <t xml:space="preserve"> - прочистка каналов</t>
  </si>
  <si>
    <t>Смена внутренних трубопроводов на полипропиленовые трубы  диаметром до 32 мм (кв. 83)</t>
  </si>
  <si>
    <t>Колено 32-90</t>
  </si>
  <si>
    <t xml:space="preserve">Муфта разъемная 32*25 ВР </t>
  </si>
  <si>
    <t>Тройник 32*20</t>
  </si>
  <si>
    <t>Муфта разъемная 20*1/2 НР</t>
  </si>
  <si>
    <t>Муфта 32</t>
  </si>
  <si>
    <t>Внеплановая проверка вентканалов</t>
  </si>
  <si>
    <t>Ревизия вентиля</t>
  </si>
  <si>
    <t>Установка хомута диаметром до 50 мм</t>
  </si>
  <si>
    <t>*28</t>
  </si>
  <si>
    <t>*28 - справочно</t>
  </si>
  <si>
    <t>Смена полиэтиленовых канализационных труб Dу 50 (подвал)</t>
  </si>
  <si>
    <t>Патрубок компенсационный 50</t>
  </si>
  <si>
    <t>Осмотр электросетей, армазуры и электрооборудования на лестничных клетках</t>
  </si>
  <si>
    <t>Ремонт оконных переплетов с узкими одинарными коробками для одного переплета</t>
  </si>
  <si>
    <t>1 створка</t>
  </si>
  <si>
    <t>за период с 01.11.2018 г. по 30.11.2018 г.</t>
  </si>
  <si>
    <t>Муфта разъемная 20*1/2 ВР</t>
  </si>
  <si>
    <t>Муфта разъемная 25*20 ВР</t>
  </si>
  <si>
    <t>Муфта 20</t>
  </si>
  <si>
    <t>Муфта 25*20</t>
  </si>
  <si>
    <t>Укрепление  дверной коробоки ( 3 под.)</t>
  </si>
  <si>
    <t>Смена внутренних трубопроводо на полипропиленовые трубы PN 20 Dу20 (с 24 кв до 20 кв)</t>
  </si>
  <si>
    <t>Тройник 25*20*25</t>
  </si>
  <si>
    <t>Тройник 20</t>
  </si>
  <si>
    <t>Повесили почтовые ящики</t>
  </si>
  <si>
    <t>Осмотр водопроводов, канализации, отопления</t>
  </si>
  <si>
    <t>Работа ротенбергера</t>
  </si>
  <si>
    <t>час</t>
  </si>
  <si>
    <t>Ремонт штукатурки внутренних стен по камню и бетону цементно-известковым раствором площадью до 1 м2 толщиной слоя до 20 мм</t>
  </si>
  <si>
    <t>Заделка подвальных окон фанерой</t>
  </si>
  <si>
    <t>Пена монтажная</t>
  </si>
  <si>
    <t>Утепление окна, забили ДВП (кв.1)</t>
  </si>
  <si>
    <t>Устройство тамбура (V подъезд)</t>
  </si>
  <si>
    <t>2. Всего за период с 01.03.2018 по 31.03.2018 выполнено работ (оказано услуг) на общую сумму: 211099,30 руб.</t>
  </si>
  <si>
    <t>(двести одиннадцать тысяч девяносто девять рублей 30 копеек)</t>
  </si>
  <si>
    <t>*35</t>
  </si>
  <si>
    <t>*35-справочно</t>
  </si>
  <si>
    <t>2. Всего за период с 01.11.2018 по 30.11.2018 выполнено работ (оказано услуг) на общую сумму: 126067,94 руб.</t>
  </si>
  <si>
    <t>(сто двадцать шесть тысяч шестьдесят семь рублей 94 копейки)</t>
  </si>
  <si>
    <t>Монтаж светодиодного светильника наружного освещения (4 под)</t>
  </si>
  <si>
    <t>Герметизация стыков между плитами (кв 1)</t>
  </si>
  <si>
    <t>м.п.</t>
  </si>
  <si>
    <t>Смена арматуры - вентилей и клапанов обратных муфтовых диаметром до 20 мм ( без материалов)</t>
  </si>
  <si>
    <t>Заделка продухов  фанерой</t>
  </si>
  <si>
    <t>Смена полиэтиленовых канализационных труб диаметром 100*2000</t>
  </si>
  <si>
    <t>Тройник 100</t>
  </si>
  <si>
    <t>Ревизия 100</t>
  </si>
  <si>
    <t>Патрубок компенсационный 100</t>
  </si>
  <si>
    <t>Отвод 100-90</t>
  </si>
  <si>
    <t>77 кв</t>
  </si>
  <si>
    <t>2. Всего за период с 01.12.2018 по 31.12.2018 выполнено работ (оказано услуг) на общую сумму: 149887,71 руб.</t>
  </si>
  <si>
    <t>(сто сорок девять тысяч восемьсот восемьдесят семь рублей 71 копейка)</t>
  </si>
  <si>
    <t>за период с 01.12.2018 г. по 31.12.2018 г.</t>
  </si>
  <si>
    <t>2. Всего за период с 01.01.2018 по 31.01.2018 выполнено работ (оказано услуг) на общую сумму: 134845,46 руб.</t>
  </si>
  <si>
    <t>(сто тридцать четыре тысячи восемьсот сорок пять рублей 46 копеек)</t>
  </si>
  <si>
    <t>2. Всего за период с 01.10.2018 по 31.10.2018 выполнено работ (оказано услуг) на общую сумму: 158045,94 руб.</t>
  </si>
  <si>
    <t>(сто пятьдесят восемь тысяч сорок пять рублей 94 копейки)</t>
  </si>
</sst>
</file>

<file path=xl/styles.xml><?xml version="1.0" encoding="utf-8"?>
<styleSheet xmlns="http://schemas.openxmlformats.org/spreadsheetml/2006/main">
  <numFmts count="1">
    <numFmt numFmtId="164" formatCode="#,##0.000"/>
  </numFmts>
  <fonts count="23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.5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51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220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Border="1"/>
    <xf numFmtId="4" fontId="11" fillId="2" borderId="3" xfId="0" applyNumberFormat="1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/>
    </xf>
    <xf numFmtId="4" fontId="11" fillId="4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4" fontId="13" fillId="2" borderId="3" xfId="0" applyNumberFormat="1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11" fillId="0" borderId="3" xfId="0" applyNumberFormat="1" applyFont="1" applyFill="1" applyBorder="1" applyAlignment="1" applyProtection="1">
      <alignment horizontal="left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18" fillId="0" borderId="3" xfId="0" applyFont="1" applyFill="1" applyBorder="1" applyAlignment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left" vertical="center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3" fillId="0" borderId="3" xfId="0" applyFont="1" applyFill="1" applyBorder="1" applyAlignment="1">
      <alignment vertical="center" wrapText="1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center" vertical="center"/>
    </xf>
    <xf numFmtId="4" fontId="11" fillId="0" borderId="8" xfId="0" applyNumberFormat="1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/>
    </xf>
    <xf numFmtId="4" fontId="17" fillId="0" borderId="8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center" vertical="center"/>
    </xf>
    <xf numFmtId="4" fontId="11" fillId="0" borderId="11" xfId="0" applyNumberFormat="1" applyFont="1" applyFill="1" applyBorder="1" applyAlignment="1">
      <alignment horizontal="center" vertical="center" wrapText="1"/>
    </xf>
    <xf numFmtId="4" fontId="11" fillId="0" borderId="16" xfId="0" applyNumberFormat="1" applyFont="1" applyFill="1" applyBorder="1" applyAlignment="1">
      <alignment horizontal="center" vertical="center"/>
    </xf>
    <xf numFmtId="4" fontId="11" fillId="0" borderId="17" xfId="0" applyNumberFormat="1" applyFont="1" applyFill="1" applyBorder="1" applyAlignment="1">
      <alignment horizontal="center" vertical="center"/>
    </xf>
    <xf numFmtId="4" fontId="11" fillId="0" borderId="11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1" fillId="0" borderId="13" xfId="0" applyNumberFormat="1" applyFont="1" applyFill="1" applyBorder="1" applyAlignment="1" applyProtection="1">
      <alignment horizontal="left" vertical="center" wrapText="1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left" vertical="center" wrapText="1"/>
    </xf>
    <xf numFmtId="4" fontId="11" fillId="0" borderId="7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4" fontId="11" fillId="2" borderId="5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/>
    </xf>
    <xf numFmtId="164" fontId="11" fillId="2" borderId="3" xfId="0" applyNumberFormat="1" applyFont="1" applyFill="1" applyBorder="1" applyAlignment="1">
      <alignment horizontal="center" vertical="center"/>
    </xf>
    <xf numFmtId="164" fontId="11" fillId="2" borderId="5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center" vertical="center"/>
    </xf>
    <xf numFmtId="4" fontId="11" fillId="2" borderId="11" xfId="0" applyNumberFormat="1" applyFont="1" applyFill="1" applyBorder="1" applyAlignment="1">
      <alignment horizontal="center" vertical="center" wrapText="1"/>
    </xf>
    <xf numFmtId="4" fontId="11" fillId="2" borderId="11" xfId="0" applyNumberFormat="1" applyFont="1" applyFill="1" applyBorder="1" applyAlignment="1">
      <alignment horizontal="center" vertical="center"/>
    </xf>
    <xf numFmtId="4" fontId="11" fillId="2" borderId="0" xfId="0" applyNumberFormat="1" applyFont="1" applyFill="1" applyBorder="1" applyAlignment="1">
      <alignment horizontal="center" vertical="center"/>
    </xf>
    <xf numFmtId="4" fontId="11" fillId="2" borderId="16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center" vertical="center"/>
    </xf>
    <xf numFmtId="2" fontId="11" fillId="2" borderId="3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20" fillId="2" borderId="8" xfId="0" applyFont="1" applyFill="1" applyBorder="1" applyAlignment="1">
      <alignment horizontal="left" vertical="center" wrapText="1"/>
    </xf>
    <xf numFmtId="0" fontId="20" fillId="2" borderId="8" xfId="0" applyFont="1" applyFill="1" applyBorder="1" applyAlignment="1">
      <alignment horizontal="center" vertical="center"/>
    </xf>
    <xf numFmtId="4" fontId="20" fillId="2" borderId="8" xfId="0" applyNumberFormat="1" applyFont="1" applyFill="1" applyBorder="1" applyAlignment="1">
      <alignment horizontal="center" vertical="center" wrapText="1"/>
    </xf>
    <xf numFmtId="4" fontId="20" fillId="2" borderId="8" xfId="0" applyNumberFormat="1" applyFont="1" applyFill="1" applyBorder="1" applyAlignment="1">
      <alignment horizontal="center" vertical="center"/>
    </xf>
    <xf numFmtId="4" fontId="20" fillId="3" borderId="8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4" fontId="11" fillId="0" borderId="4" xfId="0" applyNumberFormat="1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left" vertical="center" wrapText="1"/>
    </xf>
    <xf numFmtId="0" fontId="20" fillId="3" borderId="8" xfId="0" applyFont="1" applyFill="1" applyBorder="1" applyAlignment="1">
      <alignment horizontal="center" vertical="center"/>
    </xf>
    <xf numFmtId="4" fontId="20" fillId="3" borderId="8" xfId="0" applyNumberFormat="1" applyFont="1" applyFill="1" applyBorder="1" applyAlignment="1">
      <alignment horizontal="center" vertical="center"/>
    </xf>
    <xf numFmtId="4" fontId="20" fillId="2" borderId="3" xfId="0" applyNumberFormat="1" applyFont="1" applyFill="1" applyBorder="1" applyAlignment="1">
      <alignment horizontal="center" vertical="center"/>
    </xf>
    <xf numFmtId="4" fontId="20" fillId="3" borderId="3" xfId="0" applyNumberFormat="1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left" vertical="center" wrapText="1"/>
    </xf>
    <xf numFmtId="0" fontId="20" fillId="2" borderId="11" xfId="0" applyFont="1" applyFill="1" applyBorder="1" applyAlignment="1">
      <alignment horizontal="center" vertical="center"/>
    </xf>
    <xf numFmtId="4" fontId="20" fillId="2" borderId="11" xfId="0" applyNumberFormat="1" applyFont="1" applyFill="1" applyBorder="1" applyAlignment="1">
      <alignment horizontal="center" vertical="center" wrapText="1"/>
    </xf>
    <xf numFmtId="4" fontId="20" fillId="2" borderId="16" xfId="0" applyNumberFormat="1" applyFont="1" applyFill="1" applyBorder="1" applyAlignment="1">
      <alignment horizontal="center" vertical="center"/>
    </xf>
    <xf numFmtId="4" fontId="20" fillId="2" borderId="0" xfId="0" applyNumberFormat="1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left" vertical="center" wrapText="1"/>
    </xf>
    <xf numFmtId="0" fontId="20" fillId="2" borderId="3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left" vertical="center" wrapText="1"/>
    </xf>
    <xf numFmtId="4" fontId="20" fillId="2" borderId="3" xfId="0" applyNumberFormat="1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left" vertical="center" wrapText="1"/>
    </xf>
    <xf numFmtId="4" fontId="20" fillId="2" borderId="13" xfId="0" applyNumberFormat="1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left" vertical="center"/>
    </xf>
    <xf numFmtId="4" fontId="20" fillId="3" borderId="3" xfId="0" applyNumberFormat="1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left" vertical="center" wrapText="1"/>
    </xf>
    <xf numFmtId="4" fontId="20" fillId="2" borderId="0" xfId="0" applyNumberFormat="1" applyFont="1" applyFill="1" applyBorder="1" applyAlignment="1">
      <alignment horizontal="center" vertical="center" wrapText="1"/>
    </xf>
    <xf numFmtId="4" fontId="20" fillId="4" borderId="3" xfId="0" applyNumberFormat="1" applyFont="1" applyFill="1" applyBorder="1" applyAlignment="1">
      <alignment horizontal="center" vertical="center"/>
    </xf>
    <xf numFmtId="4" fontId="22" fillId="4" borderId="3" xfId="0" applyNumberFormat="1" applyFont="1" applyFill="1" applyBorder="1" applyAlignment="1">
      <alignment horizontal="center" vertical="center"/>
    </xf>
    <xf numFmtId="4" fontId="11" fillId="2" borderId="8" xfId="0" applyNumberFormat="1" applyFont="1" applyFill="1" applyBorder="1" applyAlignment="1">
      <alignment horizontal="center" vertical="center" wrapText="1"/>
    </xf>
    <xf numFmtId="4" fontId="11" fillId="2" borderId="8" xfId="0" applyNumberFormat="1" applyFont="1" applyFill="1" applyBorder="1" applyAlignment="1">
      <alignment horizontal="center" vertical="center"/>
    </xf>
    <xf numFmtId="4" fontId="11" fillId="2" borderId="14" xfId="0" applyNumberFormat="1" applyFont="1" applyFill="1" applyBorder="1" applyAlignment="1">
      <alignment horizontal="center" vertical="center" wrapText="1"/>
    </xf>
    <xf numFmtId="4" fontId="11" fillId="3" borderId="8" xfId="0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left" vertical="center"/>
    </xf>
    <xf numFmtId="4" fontId="17" fillId="2" borderId="8" xfId="0" applyNumberFormat="1" applyFont="1" applyFill="1" applyBorder="1" applyAlignment="1">
      <alignment horizontal="center" vertical="center" wrapText="1"/>
    </xf>
    <xf numFmtId="4" fontId="11" fillId="3" borderId="0" xfId="0" applyNumberFormat="1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 wrapText="1"/>
    </xf>
    <xf numFmtId="4" fontId="13" fillId="2" borderId="3" xfId="0" applyNumberFormat="1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left" vertical="center" wrapText="1"/>
    </xf>
    <xf numFmtId="0" fontId="11" fillId="3" borderId="8" xfId="0" applyFont="1" applyFill="1" applyBorder="1" applyAlignment="1">
      <alignment horizontal="left" vertical="center" wrapText="1"/>
    </xf>
    <xf numFmtId="0" fontId="11" fillId="3" borderId="8" xfId="0" applyFont="1" applyFill="1" applyBorder="1" applyAlignment="1">
      <alignment horizontal="center" vertical="center"/>
    </xf>
    <xf numFmtId="4" fontId="11" fillId="3" borderId="8" xfId="0" applyNumberFormat="1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left" vertical="center" wrapText="1"/>
    </xf>
    <xf numFmtId="0" fontId="11" fillId="3" borderId="11" xfId="0" applyFont="1" applyFill="1" applyBorder="1" applyAlignment="1">
      <alignment horizontal="center" vertical="center"/>
    </xf>
    <xf numFmtId="4" fontId="11" fillId="3" borderId="11" xfId="0" applyNumberFormat="1" applyFont="1" applyFill="1" applyBorder="1" applyAlignment="1">
      <alignment horizontal="center" vertical="center" wrapText="1"/>
    </xf>
    <xf numFmtId="4" fontId="11" fillId="3" borderId="11" xfId="0" applyNumberFormat="1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/>
    </xf>
    <xf numFmtId="4" fontId="11" fillId="2" borderId="15" xfId="0" applyNumberFormat="1" applyFont="1" applyFill="1" applyBorder="1" applyAlignment="1">
      <alignment horizontal="center" vertical="center"/>
    </xf>
    <xf numFmtId="4" fontId="11" fillId="3" borderId="21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20" fillId="0" borderId="3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top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9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11" fillId="0" borderId="6" xfId="0" applyFont="1" applyBorder="1" applyAlignment="1"/>
    <xf numFmtId="0" fontId="0" fillId="0" borderId="6" xfId="0" applyBorder="1" applyAlignment="1"/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1" fillId="0" borderId="6" xfId="0" applyNumberFormat="1" applyFont="1" applyBorder="1" applyAlignment="1"/>
    <xf numFmtId="0" fontId="0" fillId="0" borderId="6" xfId="0" applyNumberFormat="1" applyBorder="1" applyAlignment="1"/>
    <xf numFmtId="0" fontId="12" fillId="0" borderId="18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28"/>
  <sheetViews>
    <sheetView topLeftCell="A90" workbookViewId="0">
      <selection activeCell="K108" sqref="K10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87</v>
      </c>
      <c r="I1" s="29"/>
      <c r="J1" s="1"/>
      <c r="K1" s="1"/>
      <c r="L1" s="1"/>
      <c r="M1" s="1"/>
    </row>
    <row r="2" spans="1:13" ht="15.75">
      <c r="A2" s="31" t="s">
        <v>62</v>
      </c>
      <c r="J2" s="2"/>
      <c r="K2" s="2"/>
      <c r="L2" s="2"/>
      <c r="M2" s="2"/>
    </row>
    <row r="3" spans="1:13" ht="15.75" customHeight="1">
      <c r="A3" s="210" t="s">
        <v>149</v>
      </c>
      <c r="B3" s="210"/>
      <c r="C3" s="210"/>
      <c r="D3" s="210"/>
      <c r="E3" s="210"/>
      <c r="F3" s="210"/>
      <c r="G3" s="210"/>
      <c r="H3" s="210"/>
      <c r="I3" s="210"/>
      <c r="J3" s="3"/>
      <c r="K3" s="3"/>
      <c r="L3" s="3"/>
    </row>
    <row r="4" spans="1:13" ht="31.5" customHeight="1">
      <c r="A4" s="211" t="s">
        <v>139</v>
      </c>
      <c r="B4" s="211"/>
      <c r="C4" s="211"/>
      <c r="D4" s="211"/>
      <c r="E4" s="211"/>
      <c r="F4" s="211"/>
      <c r="G4" s="211"/>
      <c r="H4" s="211"/>
      <c r="I4" s="211"/>
    </row>
    <row r="5" spans="1:13" ht="15.75">
      <c r="A5" s="210" t="s">
        <v>197</v>
      </c>
      <c r="B5" s="212"/>
      <c r="C5" s="212"/>
      <c r="D5" s="212"/>
      <c r="E5" s="212"/>
      <c r="F5" s="212"/>
      <c r="G5" s="212"/>
      <c r="H5" s="212"/>
      <c r="I5" s="212"/>
      <c r="J5" s="2"/>
      <c r="K5" s="2"/>
      <c r="L5" s="2"/>
      <c r="M5" s="2"/>
    </row>
    <row r="6" spans="1:13" ht="15.75">
      <c r="A6" s="2"/>
      <c r="B6" s="59"/>
      <c r="C6" s="59"/>
      <c r="D6" s="59"/>
      <c r="E6" s="59"/>
      <c r="F6" s="59"/>
      <c r="G6" s="59"/>
      <c r="H6" s="59"/>
      <c r="I6" s="33">
        <v>43131</v>
      </c>
      <c r="J6" s="2"/>
      <c r="K6" s="2"/>
      <c r="L6" s="2"/>
      <c r="M6" s="2"/>
    </row>
    <row r="7" spans="1:13" ht="15.75">
      <c r="B7" s="57"/>
      <c r="C7" s="57"/>
      <c r="D7" s="57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213" t="s">
        <v>145</v>
      </c>
      <c r="B8" s="213"/>
      <c r="C8" s="213"/>
      <c r="D8" s="213"/>
      <c r="E8" s="213"/>
      <c r="F8" s="213"/>
      <c r="G8" s="213"/>
      <c r="H8" s="213"/>
      <c r="I8" s="213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214" t="s">
        <v>175</v>
      </c>
      <c r="B10" s="214"/>
      <c r="C10" s="214"/>
      <c r="D10" s="214"/>
      <c r="E10" s="214"/>
      <c r="F10" s="214"/>
      <c r="G10" s="214"/>
      <c r="H10" s="214"/>
      <c r="I10" s="214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09" t="s">
        <v>59</v>
      </c>
      <c r="B14" s="209"/>
      <c r="C14" s="209"/>
      <c r="D14" s="209"/>
      <c r="E14" s="209"/>
      <c r="F14" s="209"/>
      <c r="G14" s="209"/>
      <c r="H14" s="209"/>
      <c r="I14" s="209"/>
      <c r="J14" s="8"/>
      <c r="K14" s="8"/>
      <c r="L14" s="8"/>
      <c r="M14" s="8"/>
    </row>
    <row r="15" spans="1:13" ht="15.75" customHeight="1">
      <c r="A15" s="205" t="s">
        <v>4</v>
      </c>
      <c r="B15" s="205"/>
      <c r="C15" s="205"/>
      <c r="D15" s="205"/>
      <c r="E15" s="205"/>
      <c r="F15" s="205"/>
      <c r="G15" s="205"/>
      <c r="H15" s="205"/>
      <c r="I15" s="205"/>
      <c r="J15" s="8"/>
      <c r="K15" s="8"/>
      <c r="L15" s="8"/>
      <c r="M15" s="8"/>
    </row>
    <row r="16" spans="1:13" ht="16.5" customHeight="1">
      <c r="A16" s="32">
        <v>1</v>
      </c>
      <c r="B16" s="76" t="s">
        <v>88</v>
      </c>
      <c r="C16" s="77" t="s">
        <v>89</v>
      </c>
      <c r="D16" s="76" t="s">
        <v>178</v>
      </c>
      <c r="E16" s="78">
        <v>208.08</v>
      </c>
      <c r="F16" s="79">
        <f>SUM(E16*156/100)</f>
        <v>324.60480000000001</v>
      </c>
      <c r="G16" s="79">
        <v>175.38</v>
      </c>
      <c r="H16" s="80">
        <f t="shared" ref="H16:H25" si="0">SUM(F16*G16/1000)</f>
        <v>56.929189823999998</v>
      </c>
      <c r="I16" s="13">
        <f>F16/12*G16</f>
        <v>4744.0991519999998</v>
      </c>
      <c r="J16" s="24"/>
      <c r="K16" s="8"/>
      <c r="L16" s="8"/>
      <c r="M16" s="8"/>
    </row>
    <row r="17" spans="1:13" ht="16.5" customHeight="1">
      <c r="A17" s="32">
        <v>2</v>
      </c>
      <c r="B17" s="76" t="s">
        <v>119</v>
      </c>
      <c r="C17" s="77" t="s">
        <v>89</v>
      </c>
      <c r="D17" s="76" t="s">
        <v>177</v>
      </c>
      <c r="E17" s="78">
        <v>832.32</v>
      </c>
      <c r="F17" s="79">
        <f>SUM(E17*104/100)</f>
        <v>865.61279999999999</v>
      </c>
      <c r="G17" s="79">
        <v>175.38</v>
      </c>
      <c r="H17" s="80">
        <f t="shared" si="0"/>
        <v>151.81117286399999</v>
      </c>
      <c r="I17" s="13">
        <f>F17/12*G17</f>
        <v>12650.931071999999</v>
      </c>
      <c r="J17" s="25"/>
      <c r="K17" s="8"/>
      <c r="L17" s="8"/>
      <c r="M17" s="8"/>
    </row>
    <row r="18" spans="1:13" ht="16.5" customHeight="1">
      <c r="A18" s="32">
        <v>3</v>
      </c>
      <c r="B18" s="76" t="s">
        <v>120</v>
      </c>
      <c r="C18" s="77" t="s">
        <v>89</v>
      </c>
      <c r="D18" s="76" t="s">
        <v>176</v>
      </c>
      <c r="E18" s="78">
        <v>1040.4000000000001</v>
      </c>
      <c r="F18" s="79">
        <f>SUM(E18*24/100)</f>
        <v>249.69600000000003</v>
      </c>
      <c r="G18" s="79">
        <v>504.5</v>
      </c>
      <c r="H18" s="80">
        <f t="shared" si="0"/>
        <v>125.97163200000001</v>
      </c>
      <c r="I18" s="13">
        <f>F18/12*G18</f>
        <v>10497.636000000002</v>
      </c>
      <c r="J18" s="25"/>
      <c r="K18" s="8"/>
      <c r="L18" s="8"/>
      <c r="M18" s="8"/>
    </row>
    <row r="19" spans="1:13" ht="15.75" hidden="1" customHeight="1">
      <c r="A19" s="32"/>
      <c r="B19" s="76" t="s">
        <v>96</v>
      </c>
      <c r="C19" s="77" t="s">
        <v>97</v>
      </c>
      <c r="D19" s="76" t="s">
        <v>98</v>
      </c>
      <c r="E19" s="78">
        <v>48</v>
      </c>
      <c r="F19" s="79">
        <f>SUM(E19/10)</f>
        <v>4.8</v>
      </c>
      <c r="G19" s="79">
        <v>170.16</v>
      </c>
      <c r="H19" s="80">
        <f t="shared" si="0"/>
        <v>0.81676799999999994</v>
      </c>
      <c r="I19" s="13">
        <v>0</v>
      </c>
      <c r="J19" s="25"/>
      <c r="K19" s="8"/>
      <c r="L19" s="8"/>
      <c r="M19" s="8"/>
    </row>
    <row r="20" spans="1:13" ht="15.75" customHeight="1">
      <c r="A20" s="32">
        <v>4</v>
      </c>
      <c r="B20" s="76" t="s">
        <v>99</v>
      </c>
      <c r="C20" s="77" t="s">
        <v>89</v>
      </c>
      <c r="D20" s="76" t="s">
        <v>121</v>
      </c>
      <c r="E20" s="78">
        <v>30.6</v>
      </c>
      <c r="F20" s="79">
        <f>SUM(E20*12/100)</f>
        <v>3.6720000000000006</v>
      </c>
      <c r="G20" s="79">
        <v>217.88</v>
      </c>
      <c r="H20" s="80">
        <f t="shared" si="0"/>
        <v>0.8000553600000001</v>
      </c>
      <c r="I20" s="13">
        <f>F20/12*G20</f>
        <v>66.67128000000001</v>
      </c>
      <c r="J20" s="25"/>
      <c r="K20" s="8"/>
      <c r="L20" s="8"/>
      <c r="M20" s="8"/>
    </row>
    <row r="21" spans="1:13" ht="15.75" customHeight="1">
      <c r="A21" s="32">
        <v>5</v>
      </c>
      <c r="B21" s="76" t="s">
        <v>100</v>
      </c>
      <c r="C21" s="77" t="s">
        <v>89</v>
      </c>
      <c r="D21" s="76" t="s">
        <v>30</v>
      </c>
      <c r="E21" s="78">
        <v>10.06</v>
      </c>
      <c r="F21" s="79">
        <f>SUM(E21*12/100)</f>
        <v>1.2072000000000001</v>
      </c>
      <c r="G21" s="79">
        <v>216.12</v>
      </c>
      <c r="H21" s="80">
        <f t="shared" si="0"/>
        <v>0.26090006400000004</v>
      </c>
      <c r="I21" s="13">
        <f>F21/12*G21</f>
        <v>21.741672000000001</v>
      </c>
      <c r="J21" s="25"/>
      <c r="K21" s="8"/>
      <c r="L21" s="8"/>
      <c r="M21" s="8"/>
    </row>
    <row r="22" spans="1:13" ht="15.75" hidden="1" customHeight="1">
      <c r="A22" s="32"/>
      <c r="B22" s="76" t="s">
        <v>101</v>
      </c>
      <c r="C22" s="77" t="s">
        <v>52</v>
      </c>
      <c r="D22" s="76" t="s">
        <v>98</v>
      </c>
      <c r="E22" s="78">
        <v>769.2</v>
      </c>
      <c r="F22" s="79">
        <f>SUM(E22/100)</f>
        <v>7.6920000000000002</v>
      </c>
      <c r="G22" s="79">
        <v>269.26</v>
      </c>
      <c r="H22" s="80">
        <f t="shared" si="0"/>
        <v>2.07114792</v>
      </c>
      <c r="I22" s="13">
        <v>0</v>
      </c>
      <c r="J22" s="25"/>
      <c r="K22" s="8"/>
      <c r="L22" s="8"/>
      <c r="M22" s="8"/>
    </row>
    <row r="23" spans="1:13" ht="15.75" hidden="1" customHeight="1">
      <c r="A23" s="32"/>
      <c r="B23" s="76" t="s">
        <v>102</v>
      </c>
      <c r="C23" s="77" t="s">
        <v>52</v>
      </c>
      <c r="D23" s="76" t="s">
        <v>98</v>
      </c>
      <c r="E23" s="81">
        <v>35.28</v>
      </c>
      <c r="F23" s="79">
        <f>SUM(E23/100)</f>
        <v>0.3528</v>
      </c>
      <c r="G23" s="79">
        <v>44.29</v>
      </c>
      <c r="H23" s="80">
        <f t="shared" si="0"/>
        <v>1.5625512000000001E-2</v>
      </c>
      <c r="I23" s="13">
        <v>0</v>
      </c>
      <c r="J23" s="25"/>
      <c r="K23" s="8"/>
      <c r="L23" s="8"/>
      <c r="M23" s="8"/>
    </row>
    <row r="24" spans="1:13" ht="15.75" customHeight="1">
      <c r="A24" s="32">
        <v>6</v>
      </c>
      <c r="B24" s="76" t="s">
        <v>103</v>
      </c>
      <c r="C24" s="77" t="s">
        <v>52</v>
      </c>
      <c r="D24" s="76" t="s">
        <v>30</v>
      </c>
      <c r="E24" s="78">
        <v>10.8</v>
      </c>
      <c r="F24" s="79">
        <f>E24*12/100</f>
        <v>1.2960000000000003</v>
      </c>
      <c r="G24" s="79">
        <v>389.72</v>
      </c>
      <c r="H24" s="80">
        <f t="shared" si="0"/>
        <v>0.50507712000000016</v>
      </c>
      <c r="I24" s="13">
        <f>F24/12*G24</f>
        <v>42.089760000000012</v>
      </c>
      <c r="J24" s="25"/>
      <c r="K24" s="8"/>
      <c r="L24" s="8"/>
      <c r="M24" s="8"/>
    </row>
    <row r="25" spans="1:13" ht="15.75" customHeight="1">
      <c r="A25" s="32">
        <v>7</v>
      </c>
      <c r="B25" s="76" t="s">
        <v>104</v>
      </c>
      <c r="C25" s="77" t="s">
        <v>52</v>
      </c>
      <c r="D25" s="76" t="s">
        <v>122</v>
      </c>
      <c r="E25" s="78">
        <v>21.6</v>
      </c>
      <c r="F25" s="79">
        <f>SUM(E25*12/100)</f>
        <v>2.5920000000000005</v>
      </c>
      <c r="G25" s="79">
        <v>520.79999999999995</v>
      </c>
      <c r="H25" s="80">
        <f t="shared" si="0"/>
        <v>1.3499136</v>
      </c>
      <c r="I25" s="13">
        <f>F25/12*G25</f>
        <v>112.49280000000002</v>
      </c>
      <c r="J25" s="25"/>
      <c r="K25" s="8"/>
      <c r="L25" s="8"/>
      <c r="M25" s="8"/>
    </row>
    <row r="26" spans="1:13" ht="15.75" customHeight="1">
      <c r="A26" s="32">
        <v>8</v>
      </c>
      <c r="B26" s="76" t="s">
        <v>64</v>
      </c>
      <c r="C26" s="77" t="s">
        <v>33</v>
      </c>
      <c r="D26" s="76"/>
      <c r="E26" s="78">
        <v>0.1</v>
      </c>
      <c r="F26" s="79">
        <f>SUM(E26*365)</f>
        <v>36.5</v>
      </c>
      <c r="G26" s="79">
        <v>147.03</v>
      </c>
      <c r="H26" s="80">
        <f>SUM(F26*G26/1000)</f>
        <v>5.3665950000000002</v>
      </c>
      <c r="I26" s="13">
        <f>F26/12*G26</f>
        <v>447.21625</v>
      </c>
      <c r="J26" s="26"/>
    </row>
    <row r="27" spans="1:13" ht="15.75" customHeight="1">
      <c r="A27" s="32">
        <v>9</v>
      </c>
      <c r="B27" s="84" t="s">
        <v>23</v>
      </c>
      <c r="C27" s="77" t="s">
        <v>24</v>
      </c>
      <c r="D27" s="76"/>
      <c r="E27" s="78">
        <v>6980.3</v>
      </c>
      <c r="F27" s="79">
        <f>SUM(E27*12)</f>
        <v>83763.600000000006</v>
      </c>
      <c r="G27" s="79">
        <v>4.4000000000000004</v>
      </c>
      <c r="H27" s="80">
        <f>SUM(F27*G27/1000)</f>
        <v>368.55984000000007</v>
      </c>
      <c r="I27" s="13">
        <f>F27/12*G27</f>
        <v>30713.320000000003</v>
      </c>
      <c r="J27" s="26"/>
    </row>
    <row r="28" spans="1:13" ht="15" customHeight="1">
      <c r="A28" s="205" t="s">
        <v>86</v>
      </c>
      <c r="B28" s="205"/>
      <c r="C28" s="205"/>
      <c r="D28" s="205"/>
      <c r="E28" s="205"/>
      <c r="F28" s="205"/>
      <c r="G28" s="205"/>
      <c r="H28" s="205"/>
      <c r="I28" s="205"/>
      <c r="J28" s="25"/>
      <c r="K28" s="8"/>
      <c r="L28" s="8"/>
      <c r="M28" s="8"/>
    </row>
    <row r="29" spans="1:13" ht="15.75" hidden="1" customHeight="1">
      <c r="A29" s="32"/>
      <c r="B29" s="100" t="s">
        <v>28</v>
      </c>
      <c r="C29" s="77"/>
      <c r="D29" s="76"/>
      <c r="E29" s="78"/>
      <c r="F29" s="79"/>
      <c r="G29" s="79"/>
      <c r="H29" s="80"/>
      <c r="I29" s="13"/>
      <c r="J29" s="25"/>
      <c r="K29" s="8"/>
      <c r="L29" s="8"/>
      <c r="M29" s="8"/>
    </row>
    <row r="30" spans="1:13" ht="31.5" hidden="1" customHeight="1">
      <c r="A30" s="32">
        <v>10</v>
      </c>
      <c r="B30" s="76" t="s">
        <v>108</v>
      </c>
      <c r="C30" s="77" t="s">
        <v>91</v>
      </c>
      <c r="D30" s="76" t="s">
        <v>105</v>
      </c>
      <c r="E30" s="79">
        <v>1168.05</v>
      </c>
      <c r="F30" s="79">
        <f>SUM(E30*52/1000)</f>
        <v>60.738599999999998</v>
      </c>
      <c r="G30" s="79">
        <v>155.88999999999999</v>
      </c>
      <c r="H30" s="80">
        <f t="shared" ref="H30:H36" si="1">SUM(F30*G30/1000)</f>
        <v>9.4685403539999982</v>
      </c>
      <c r="I30" s="13">
        <f>F30/6*G30</f>
        <v>1578.0900589999997</v>
      </c>
      <c r="J30" s="25"/>
      <c r="K30" s="8"/>
      <c r="L30" s="8"/>
      <c r="M30" s="8"/>
    </row>
    <row r="31" spans="1:13" ht="31.5" hidden="1" customHeight="1">
      <c r="A31" s="32">
        <v>11</v>
      </c>
      <c r="B31" s="76" t="s">
        <v>124</v>
      </c>
      <c r="C31" s="77" t="s">
        <v>91</v>
      </c>
      <c r="D31" s="76" t="s">
        <v>106</v>
      </c>
      <c r="E31" s="79">
        <v>1039.2</v>
      </c>
      <c r="F31" s="79">
        <f>SUM(E31*78/1000)</f>
        <v>81.057600000000008</v>
      </c>
      <c r="G31" s="79">
        <v>258.63</v>
      </c>
      <c r="H31" s="80">
        <f t="shared" si="1"/>
        <v>20.963927088000002</v>
      </c>
      <c r="I31" s="13">
        <f t="shared" ref="I31:I34" si="2">F31/6*G31</f>
        <v>3493.9878480000002</v>
      </c>
      <c r="J31" s="25"/>
      <c r="K31" s="8"/>
      <c r="L31" s="8"/>
      <c r="M31" s="8"/>
    </row>
    <row r="32" spans="1:13" ht="15.75" hidden="1" customHeight="1">
      <c r="A32" s="32">
        <v>16</v>
      </c>
      <c r="B32" s="76" t="s">
        <v>27</v>
      </c>
      <c r="C32" s="77" t="s">
        <v>91</v>
      </c>
      <c r="D32" s="76" t="s">
        <v>53</v>
      </c>
      <c r="E32" s="79">
        <v>584.03</v>
      </c>
      <c r="F32" s="79">
        <f>SUM(E32/1000)</f>
        <v>0.58402999999999994</v>
      </c>
      <c r="G32" s="79">
        <v>3020.33</v>
      </c>
      <c r="H32" s="80">
        <f t="shared" si="1"/>
        <v>1.7639633298999997</v>
      </c>
      <c r="I32" s="13">
        <f>F32*G32</f>
        <v>1763.9633298999997</v>
      </c>
      <c r="J32" s="25"/>
      <c r="K32" s="8"/>
      <c r="L32" s="8"/>
      <c r="M32" s="8"/>
    </row>
    <row r="33" spans="1:14" ht="15.75" hidden="1" customHeight="1">
      <c r="A33" s="32">
        <v>12</v>
      </c>
      <c r="B33" s="76" t="s">
        <v>123</v>
      </c>
      <c r="C33" s="77" t="s">
        <v>39</v>
      </c>
      <c r="D33" s="76" t="s">
        <v>63</v>
      </c>
      <c r="E33" s="79">
        <v>6</v>
      </c>
      <c r="F33" s="79">
        <f>E33*155/100</f>
        <v>9.3000000000000007</v>
      </c>
      <c r="G33" s="79">
        <v>1302.02</v>
      </c>
      <c r="H33" s="80">
        <f>G33*F33/1000</f>
        <v>12.108786</v>
      </c>
      <c r="I33" s="13">
        <f t="shared" si="2"/>
        <v>2018.1310000000001</v>
      </c>
      <c r="J33" s="25"/>
      <c r="K33" s="8"/>
      <c r="L33" s="8"/>
      <c r="M33" s="8"/>
    </row>
    <row r="34" spans="1:14" ht="15.75" hidden="1" customHeight="1">
      <c r="A34" s="32">
        <v>13</v>
      </c>
      <c r="B34" s="76" t="s">
        <v>107</v>
      </c>
      <c r="C34" s="77" t="s">
        <v>31</v>
      </c>
      <c r="D34" s="76" t="s">
        <v>63</v>
      </c>
      <c r="E34" s="83">
        <v>0.33333333333333331</v>
      </c>
      <c r="F34" s="79">
        <f>155/3</f>
        <v>51.666666666666664</v>
      </c>
      <c r="G34" s="79">
        <v>56.69</v>
      </c>
      <c r="H34" s="80">
        <f>SUM(G34*155/3/1000)</f>
        <v>2.9289833333333331</v>
      </c>
      <c r="I34" s="13">
        <f t="shared" si="2"/>
        <v>488.16388888888883</v>
      </c>
      <c r="J34" s="25"/>
      <c r="K34" s="8"/>
    </row>
    <row r="35" spans="1:14" ht="15.75" hidden="1" customHeight="1">
      <c r="A35" s="32"/>
      <c r="B35" s="76" t="s">
        <v>65</v>
      </c>
      <c r="C35" s="77" t="s">
        <v>33</v>
      </c>
      <c r="D35" s="76" t="s">
        <v>67</v>
      </c>
      <c r="E35" s="78"/>
      <c r="F35" s="79">
        <v>4</v>
      </c>
      <c r="G35" s="79">
        <v>180.15</v>
      </c>
      <c r="H35" s="80">
        <f t="shared" si="1"/>
        <v>0.72060000000000002</v>
      </c>
      <c r="I35" s="13">
        <v>0</v>
      </c>
      <c r="J35" s="26"/>
    </row>
    <row r="36" spans="1:14" ht="15.75" hidden="1" customHeight="1">
      <c r="A36" s="32"/>
      <c r="B36" s="76" t="s">
        <v>66</v>
      </c>
      <c r="C36" s="77" t="s">
        <v>32</v>
      </c>
      <c r="D36" s="76" t="s">
        <v>67</v>
      </c>
      <c r="E36" s="78"/>
      <c r="F36" s="79">
        <v>3</v>
      </c>
      <c r="G36" s="79">
        <v>1136.33</v>
      </c>
      <c r="H36" s="80">
        <f t="shared" si="1"/>
        <v>3.4089899999999997</v>
      </c>
      <c r="I36" s="13">
        <v>0</v>
      </c>
      <c r="J36" s="26"/>
    </row>
    <row r="37" spans="1:14" ht="15.75" customHeight="1">
      <c r="A37" s="32"/>
      <c r="B37" s="100" t="s">
        <v>5</v>
      </c>
      <c r="C37" s="77"/>
      <c r="D37" s="76"/>
      <c r="E37" s="78"/>
      <c r="F37" s="79"/>
      <c r="G37" s="79"/>
      <c r="H37" s="80" t="s">
        <v>150</v>
      </c>
      <c r="I37" s="13"/>
      <c r="J37" s="26"/>
    </row>
    <row r="38" spans="1:14" ht="15.75" customHeight="1">
      <c r="A38" s="32">
        <v>10</v>
      </c>
      <c r="B38" s="76" t="s">
        <v>26</v>
      </c>
      <c r="C38" s="77" t="s">
        <v>32</v>
      </c>
      <c r="D38" s="76"/>
      <c r="E38" s="78"/>
      <c r="F38" s="79">
        <v>10</v>
      </c>
      <c r="G38" s="79">
        <v>1527.22</v>
      </c>
      <c r="H38" s="80">
        <f t="shared" ref="H38:H45" si="3">SUM(F38*G38/1000)</f>
        <v>15.272200000000002</v>
      </c>
      <c r="I38" s="13">
        <f>F38/6*G38</f>
        <v>2545.3666666666668</v>
      </c>
      <c r="J38" s="26"/>
    </row>
    <row r="39" spans="1:14" ht="15.75" customHeight="1">
      <c r="A39" s="32">
        <v>11</v>
      </c>
      <c r="B39" s="76" t="s">
        <v>125</v>
      </c>
      <c r="C39" s="77" t="s">
        <v>33</v>
      </c>
      <c r="D39" s="76"/>
      <c r="E39" s="78"/>
      <c r="F39" s="79">
        <v>10</v>
      </c>
      <c r="G39" s="79">
        <v>77.94</v>
      </c>
      <c r="H39" s="80">
        <f>G39*F39/1000</f>
        <v>0.77939999999999998</v>
      </c>
      <c r="I39" s="13">
        <f>F39/6*G39</f>
        <v>129.9</v>
      </c>
      <c r="J39" s="26"/>
      <c r="L39" s="19"/>
      <c r="M39" s="20"/>
      <c r="N39" s="21"/>
    </row>
    <row r="40" spans="1:14" ht="15.75" customHeight="1">
      <c r="A40" s="32">
        <v>12</v>
      </c>
      <c r="B40" s="76" t="s">
        <v>109</v>
      </c>
      <c r="C40" s="77" t="s">
        <v>29</v>
      </c>
      <c r="D40" s="76" t="s">
        <v>126</v>
      </c>
      <c r="E40" s="78">
        <v>1039.2</v>
      </c>
      <c r="F40" s="79">
        <f>E40*25/1000</f>
        <v>25.98</v>
      </c>
      <c r="G40" s="79">
        <v>2102.71</v>
      </c>
      <c r="H40" s="80">
        <f>G40*F40/1000</f>
        <v>54.628405800000003</v>
      </c>
      <c r="I40" s="13">
        <f>F40/6*G40</f>
        <v>9104.7343000000001</v>
      </c>
      <c r="J40" s="26"/>
      <c r="L40" s="19"/>
      <c r="M40" s="20"/>
      <c r="N40" s="21"/>
    </row>
    <row r="41" spans="1:14" ht="15.75" hidden="1" customHeight="1">
      <c r="A41" s="32"/>
      <c r="B41" s="76" t="s">
        <v>127</v>
      </c>
      <c r="C41" s="77" t="s">
        <v>128</v>
      </c>
      <c r="D41" s="76" t="s">
        <v>67</v>
      </c>
      <c r="E41" s="78"/>
      <c r="F41" s="79">
        <v>50</v>
      </c>
      <c r="G41" s="79">
        <v>213.2</v>
      </c>
      <c r="H41" s="80">
        <f>G41*F41/1000</f>
        <v>10.66</v>
      </c>
      <c r="I41" s="13">
        <v>0</v>
      </c>
      <c r="J41" s="26"/>
      <c r="L41" s="19"/>
      <c r="M41" s="20"/>
      <c r="N41" s="21"/>
    </row>
    <row r="42" spans="1:14" ht="15.75" customHeight="1">
      <c r="A42" s="32">
        <v>13</v>
      </c>
      <c r="B42" s="76" t="s">
        <v>68</v>
      </c>
      <c r="C42" s="77" t="s">
        <v>29</v>
      </c>
      <c r="D42" s="76" t="s">
        <v>90</v>
      </c>
      <c r="E42" s="79">
        <v>153</v>
      </c>
      <c r="F42" s="79">
        <f>SUM(E42*155/1000)</f>
        <v>23.715</v>
      </c>
      <c r="G42" s="79">
        <v>350.75</v>
      </c>
      <c r="H42" s="80">
        <f t="shared" si="3"/>
        <v>8.3180362499999987</v>
      </c>
      <c r="I42" s="13">
        <f>F42/6*G42</f>
        <v>1386.339375</v>
      </c>
      <c r="J42" s="26"/>
      <c r="L42" s="19"/>
      <c r="M42" s="20"/>
      <c r="N42" s="21"/>
    </row>
    <row r="43" spans="1:14" ht="47.25" customHeight="1">
      <c r="A43" s="32">
        <v>14</v>
      </c>
      <c r="B43" s="76" t="s">
        <v>84</v>
      </c>
      <c r="C43" s="77" t="s">
        <v>91</v>
      </c>
      <c r="D43" s="76" t="s">
        <v>129</v>
      </c>
      <c r="E43" s="79">
        <v>24</v>
      </c>
      <c r="F43" s="79">
        <f>SUM(E43*50/1000)</f>
        <v>1.2</v>
      </c>
      <c r="G43" s="79">
        <v>5803.28</v>
      </c>
      <c r="H43" s="80">
        <f t="shared" si="3"/>
        <v>6.9639359999999995</v>
      </c>
      <c r="I43" s="13">
        <f>F43/6*G43</f>
        <v>1160.6559999999999</v>
      </c>
      <c r="J43" s="26"/>
      <c r="L43" s="19"/>
      <c r="M43" s="20"/>
      <c r="N43" s="21"/>
    </row>
    <row r="44" spans="1:14" ht="15.75" customHeight="1">
      <c r="A44" s="32">
        <v>15</v>
      </c>
      <c r="B44" s="76" t="s">
        <v>92</v>
      </c>
      <c r="C44" s="77" t="s">
        <v>91</v>
      </c>
      <c r="D44" s="76" t="s">
        <v>69</v>
      </c>
      <c r="E44" s="79">
        <v>153</v>
      </c>
      <c r="F44" s="79">
        <f>SUM(E44*45/1000)</f>
        <v>6.8849999999999998</v>
      </c>
      <c r="G44" s="79">
        <v>428.7</v>
      </c>
      <c r="H44" s="80">
        <f t="shared" si="3"/>
        <v>2.9515994999999999</v>
      </c>
      <c r="I44" s="13">
        <f>F44/7.5*G44</f>
        <v>393.54659999999996</v>
      </c>
      <c r="J44" s="26"/>
      <c r="L44" s="19"/>
      <c r="M44" s="20"/>
      <c r="N44" s="21"/>
    </row>
    <row r="45" spans="1:14" ht="15.75" customHeight="1">
      <c r="A45" s="32">
        <v>16</v>
      </c>
      <c r="B45" s="76" t="s">
        <v>70</v>
      </c>
      <c r="C45" s="77" t="s">
        <v>33</v>
      </c>
      <c r="D45" s="76"/>
      <c r="E45" s="78"/>
      <c r="F45" s="79">
        <v>0.9</v>
      </c>
      <c r="G45" s="79">
        <v>798</v>
      </c>
      <c r="H45" s="80">
        <f t="shared" si="3"/>
        <v>0.71820000000000006</v>
      </c>
      <c r="I45" s="13">
        <f>F45/7.5*G45</f>
        <v>95.76</v>
      </c>
      <c r="J45" s="26"/>
      <c r="L45" s="19"/>
      <c r="M45" s="20"/>
      <c r="N45" s="21"/>
    </row>
    <row r="46" spans="1:14" ht="15" customHeight="1">
      <c r="A46" s="206" t="s">
        <v>146</v>
      </c>
      <c r="B46" s="207"/>
      <c r="C46" s="207"/>
      <c r="D46" s="207"/>
      <c r="E46" s="207"/>
      <c r="F46" s="207"/>
      <c r="G46" s="207"/>
      <c r="H46" s="207"/>
      <c r="I46" s="208"/>
      <c r="J46" s="26"/>
      <c r="L46" s="19"/>
      <c r="M46" s="20"/>
      <c r="N46" s="21"/>
    </row>
    <row r="47" spans="1:14" ht="15.75" hidden="1" customHeight="1">
      <c r="A47" s="32"/>
      <c r="B47" s="76" t="s">
        <v>130</v>
      </c>
      <c r="C47" s="77" t="s">
        <v>91</v>
      </c>
      <c r="D47" s="76" t="s">
        <v>42</v>
      </c>
      <c r="E47" s="78">
        <v>1895</v>
      </c>
      <c r="F47" s="79">
        <f>SUM(E47*2/1000)</f>
        <v>3.79</v>
      </c>
      <c r="G47" s="13">
        <v>849.49</v>
      </c>
      <c r="H47" s="80">
        <f t="shared" ref="H47:H55" si="4">SUM(F47*G47/1000)</f>
        <v>3.2195671000000003</v>
      </c>
      <c r="I47" s="13">
        <v>0</v>
      </c>
      <c r="J47" s="26"/>
      <c r="L47" s="19"/>
      <c r="M47" s="20"/>
      <c r="N47" s="21"/>
    </row>
    <row r="48" spans="1:14" ht="15.75" hidden="1" customHeight="1">
      <c r="A48" s="32"/>
      <c r="B48" s="76" t="s">
        <v>34</v>
      </c>
      <c r="C48" s="77" t="s">
        <v>91</v>
      </c>
      <c r="D48" s="76" t="s">
        <v>42</v>
      </c>
      <c r="E48" s="78">
        <v>118.2</v>
      </c>
      <c r="F48" s="79">
        <f>E48*2/1000</f>
        <v>0.2364</v>
      </c>
      <c r="G48" s="13">
        <v>579.48</v>
      </c>
      <c r="H48" s="80">
        <f t="shared" si="4"/>
        <v>0.13698907199999999</v>
      </c>
      <c r="I48" s="13">
        <v>0</v>
      </c>
      <c r="J48" s="26"/>
      <c r="L48" s="19"/>
      <c r="M48" s="20"/>
      <c r="N48" s="21"/>
    </row>
    <row r="49" spans="1:22" ht="15.75" hidden="1" customHeight="1">
      <c r="A49" s="32"/>
      <c r="B49" s="76" t="s">
        <v>35</v>
      </c>
      <c r="C49" s="77" t="s">
        <v>91</v>
      </c>
      <c r="D49" s="76" t="s">
        <v>42</v>
      </c>
      <c r="E49" s="78">
        <v>4675</v>
      </c>
      <c r="F49" s="79">
        <f>SUM(E49*2/1000)</f>
        <v>9.35</v>
      </c>
      <c r="G49" s="13">
        <v>579.48</v>
      </c>
      <c r="H49" s="80">
        <f t="shared" si="4"/>
        <v>5.4181379999999999</v>
      </c>
      <c r="I49" s="13">
        <v>0</v>
      </c>
      <c r="J49" s="26"/>
      <c r="L49" s="19"/>
      <c r="M49" s="20"/>
      <c r="N49" s="21"/>
    </row>
    <row r="50" spans="1:22" ht="15.75" hidden="1" customHeight="1">
      <c r="A50" s="32"/>
      <c r="B50" s="76" t="s">
        <v>36</v>
      </c>
      <c r="C50" s="77" t="s">
        <v>91</v>
      </c>
      <c r="D50" s="76" t="s">
        <v>42</v>
      </c>
      <c r="E50" s="78">
        <v>4675</v>
      </c>
      <c r="F50" s="79">
        <f>SUM(E50*2/1000)</f>
        <v>9.35</v>
      </c>
      <c r="G50" s="13">
        <v>606.77</v>
      </c>
      <c r="H50" s="80">
        <f t="shared" si="4"/>
        <v>5.6732994999999988</v>
      </c>
      <c r="I50" s="13">
        <v>0</v>
      </c>
      <c r="J50" s="26"/>
      <c r="L50" s="19"/>
      <c r="M50" s="20"/>
      <c r="N50" s="21"/>
    </row>
    <row r="51" spans="1:22" ht="15.75" customHeight="1">
      <c r="A51" s="32">
        <v>17</v>
      </c>
      <c r="B51" s="76" t="s">
        <v>56</v>
      </c>
      <c r="C51" s="77" t="s">
        <v>91</v>
      </c>
      <c r="D51" s="76" t="s">
        <v>164</v>
      </c>
      <c r="E51" s="78">
        <v>3988</v>
      </c>
      <c r="F51" s="79">
        <f>SUM(E51*5/1000)</f>
        <v>19.940000000000001</v>
      </c>
      <c r="G51" s="13">
        <v>1142.7</v>
      </c>
      <c r="H51" s="80">
        <f t="shared" si="4"/>
        <v>22.785438000000003</v>
      </c>
      <c r="I51" s="13">
        <f>F51/5*G51</f>
        <v>4557.0876000000007</v>
      </c>
      <c r="J51" s="26"/>
      <c r="L51" s="19"/>
      <c r="M51" s="20"/>
      <c r="N51" s="21"/>
    </row>
    <row r="52" spans="1:22" ht="31.5" hidden="1" customHeight="1">
      <c r="A52" s="32"/>
      <c r="B52" s="76" t="s">
        <v>93</v>
      </c>
      <c r="C52" s="77" t="s">
        <v>91</v>
      </c>
      <c r="D52" s="76" t="s">
        <v>42</v>
      </c>
      <c r="E52" s="78">
        <v>3988</v>
      </c>
      <c r="F52" s="79">
        <f>SUM(E52*2/1000)</f>
        <v>7.976</v>
      </c>
      <c r="G52" s="13">
        <v>1213.55</v>
      </c>
      <c r="H52" s="80">
        <f t="shared" si="4"/>
        <v>9.6792748</v>
      </c>
      <c r="I52" s="13">
        <v>0</v>
      </c>
      <c r="J52" s="26"/>
      <c r="L52" s="19"/>
      <c r="M52" s="20"/>
      <c r="N52" s="21"/>
    </row>
    <row r="53" spans="1:22" ht="31.5" hidden="1" customHeight="1">
      <c r="A53" s="32"/>
      <c r="B53" s="76" t="s">
        <v>94</v>
      </c>
      <c r="C53" s="77" t="s">
        <v>37</v>
      </c>
      <c r="D53" s="76" t="s">
        <v>42</v>
      </c>
      <c r="E53" s="78">
        <v>30</v>
      </c>
      <c r="F53" s="79">
        <f>SUM(E53*2/100)</f>
        <v>0.6</v>
      </c>
      <c r="G53" s="13">
        <v>2730.49</v>
      </c>
      <c r="H53" s="80">
        <f>SUM(F53*G53/1000)</f>
        <v>1.6382939999999999</v>
      </c>
      <c r="I53" s="13">
        <v>0</v>
      </c>
      <c r="J53" s="26"/>
      <c r="L53" s="19"/>
      <c r="M53" s="20"/>
      <c r="N53" s="21"/>
    </row>
    <row r="54" spans="1:22" ht="15.75" hidden="1" customHeight="1">
      <c r="A54" s="32"/>
      <c r="B54" s="76" t="s">
        <v>38</v>
      </c>
      <c r="C54" s="77" t="s">
        <v>39</v>
      </c>
      <c r="D54" s="76" t="s">
        <v>42</v>
      </c>
      <c r="E54" s="78">
        <v>1</v>
      </c>
      <c r="F54" s="79">
        <v>0.02</v>
      </c>
      <c r="G54" s="13">
        <v>5652.13</v>
      </c>
      <c r="H54" s="80">
        <f t="shared" si="4"/>
        <v>0.11304260000000001</v>
      </c>
      <c r="I54" s="13">
        <v>0</v>
      </c>
      <c r="J54" s="26"/>
      <c r="L54" s="19"/>
      <c r="M54" s="20"/>
      <c r="N54" s="21"/>
    </row>
    <row r="55" spans="1:22" ht="15.75" hidden="1" customHeight="1">
      <c r="A55" s="32">
        <v>18</v>
      </c>
      <c r="B55" s="76" t="s">
        <v>41</v>
      </c>
      <c r="C55" s="77" t="s">
        <v>110</v>
      </c>
      <c r="D55" s="76" t="s">
        <v>71</v>
      </c>
      <c r="E55" s="78">
        <v>236</v>
      </c>
      <c r="F55" s="79">
        <f>SUM(E55)*3</f>
        <v>708</v>
      </c>
      <c r="G55" s="13">
        <v>65.67</v>
      </c>
      <c r="H55" s="80">
        <f t="shared" si="4"/>
        <v>46.49436</v>
      </c>
      <c r="I55" s="13">
        <f>E55*G55</f>
        <v>15498.12</v>
      </c>
      <c r="J55" s="26"/>
      <c r="L55" s="19"/>
      <c r="M55" s="20"/>
      <c r="N55" s="21"/>
    </row>
    <row r="56" spans="1:22" ht="15.75" customHeight="1">
      <c r="A56" s="206" t="s">
        <v>147</v>
      </c>
      <c r="B56" s="207"/>
      <c r="C56" s="207"/>
      <c r="D56" s="207"/>
      <c r="E56" s="207"/>
      <c r="F56" s="207"/>
      <c r="G56" s="207"/>
      <c r="H56" s="207"/>
      <c r="I56" s="208"/>
      <c r="J56" s="26"/>
      <c r="L56" s="19"/>
      <c r="M56" s="20"/>
      <c r="N56" s="21"/>
    </row>
    <row r="57" spans="1:22" ht="15.75" customHeight="1">
      <c r="A57" s="32"/>
      <c r="B57" s="100" t="s">
        <v>43</v>
      </c>
      <c r="C57" s="77"/>
      <c r="D57" s="76"/>
      <c r="E57" s="78"/>
      <c r="F57" s="79"/>
      <c r="G57" s="79"/>
      <c r="H57" s="80"/>
      <c r="I57" s="13"/>
      <c r="J57" s="26"/>
      <c r="L57" s="19"/>
      <c r="M57" s="20"/>
      <c r="N57" s="21"/>
    </row>
    <row r="58" spans="1:22" ht="31.5" hidden="1" customHeight="1">
      <c r="A58" s="32">
        <v>18</v>
      </c>
      <c r="B58" s="76" t="s">
        <v>131</v>
      </c>
      <c r="C58" s="77" t="s">
        <v>89</v>
      </c>
      <c r="D58" s="76" t="s">
        <v>111</v>
      </c>
      <c r="E58" s="78">
        <v>30</v>
      </c>
      <c r="F58" s="79">
        <f>SUM(E58*6/100)</f>
        <v>1.8</v>
      </c>
      <c r="G58" s="13">
        <v>1547.28</v>
      </c>
      <c r="H58" s="80">
        <f>SUM(F58*G58/1000)</f>
        <v>2.785104</v>
      </c>
      <c r="I58" s="13">
        <f>F58/6*G58</f>
        <v>464.18399999999997</v>
      </c>
      <c r="J58" s="26"/>
      <c r="L58" s="19"/>
    </row>
    <row r="59" spans="1:22" ht="15.75" hidden="1" customHeight="1">
      <c r="A59" s="32">
        <v>19</v>
      </c>
      <c r="B59" s="85" t="s">
        <v>132</v>
      </c>
      <c r="C59" s="86" t="s">
        <v>133</v>
      </c>
      <c r="D59" s="85" t="s">
        <v>42</v>
      </c>
      <c r="E59" s="87">
        <v>6</v>
      </c>
      <c r="F59" s="88">
        <v>12</v>
      </c>
      <c r="G59" s="13">
        <v>180.78</v>
      </c>
      <c r="H59" s="89">
        <f>G59*F59/1000</f>
        <v>2.1693600000000002</v>
      </c>
      <c r="I59" s="13">
        <f>F59/2*G59</f>
        <v>1084.68</v>
      </c>
    </row>
    <row r="60" spans="1:22" ht="15.75" customHeight="1">
      <c r="A60" s="32">
        <v>18</v>
      </c>
      <c r="B60" s="85" t="s">
        <v>134</v>
      </c>
      <c r="C60" s="86" t="s">
        <v>52</v>
      </c>
      <c r="D60" s="85" t="s">
        <v>40</v>
      </c>
      <c r="E60" s="87">
        <v>6</v>
      </c>
      <c r="F60" s="88">
        <f>E60*4/100</f>
        <v>0.24</v>
      </c>
      <c r="G60" s="13">
        <v>1547.28</v>
      </c>
      <c r="H60" s="89">
        <f>G60*F60/1000</f>
        <v>0.37134719999999999</v>
      </c>
      <c r="I60" s="13">
        <f>F60/4*G60</f>
        <v>92.836799999999997</v>
      </c>
    </row>
    <row r="61" spans="1:22" ht="15.75" customHeight="1">
      <c r="A61" s="32"/>
      <c r="B61" s="101" t="s">
        <v>44</v>
      </c>
      <c r="C61" s="86"/>
      <c r="D61" s="85"/>
      <c r="E61" s="87"/>
      <c r="F61" s="88"/>
      <c r="G61" s="13"/>
      <c r="H61" s="89"/>
      <c r="I61" s="13"/>
    </row>
    <row r="62" spans="1:22" ht="15.75" hidden="1" customHeight="1">
      <c r="A62" s="32">
        <v>22</v>
      </c>
      <c r="B62" s="85" t="s">
        <v>135</v>
      </c>
      <c r="C62" s="86" t="s">
        <v>52</v>
      </c>
      <c r="D62" s="85" t="s">
        <v>53</v>
      </c>
      <c r="E62" s="87">
        <v>997</v>
      </c>
      <c r="F62" s="88">
        <v>9.9700000000000006</v>
      </c>
      <c r="G62" s="13">
        <v>793.61</v>
      </c>
      <c r="H62" s="89">
        <f>F62*G62/1000</f>
        <v>7.9122917000000008</v>
      </c>
      <c r="I62" s="13">
        <f>G62*F62</f>
        <v>7912.2917000000007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9"/>
    </row>
    <row r="63" spans="1:22" ht="15.75" customHeight="1">
      <c r="A63" s="32">
        <v>19</v>
      </c>
      <c r="B63" s="115" t="s">
        <v>136</v>
      </c>
      <c r="C63" s="116" t="s">
        <v>25</v>
      </c>
      <c r="D63" s="115" t="s">
        <v>30</v>
      </c>
      <c r="E63" s="117">
        <v>200</v>
      </c>
      <c r="F63" s="118">
        <f>E63*12</f>
        <v>2400</v>
      </c>
      <c r="G63" s="119">
        <v>1.2</v>
      </c>
      <c r="H63" s="120">
        <f>F63*G63/1000</f>
        <v>2.88</v>
      </c>
      <c r="I63" s="13">
        <f>F63/12*G63</f>
        <v>240</v>
      </c>
      <c r="J63" s="28"/>
      <c r="K63" s="28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15.75" customHeight="1">
      <c r="A64" s="32"/>
      <c r="B64" s="101" t="s">
        <v>45</v>
      </c>
      <c r="C64" s="86"/>
      <c r="D64" s="85"/>
      <c r="E64" s="87"/>
      <c r="F64" s="90"/>
      <c r="G64" s="90"/>
      <c r="H64" s="88" t="s">
        <v>150</v>
      </c>
      <c r="I64" s="13"/>
      <c r="J64" s="3"/>
      <c r="K64" s="3"/>
      <c r="L64" s="3"/>
      <c r="M64" s="3"/>
      <c r="N64" s="3"/>
      <c r="O64" s="3"/>
      <c r="P64" s="3"/>
      <c r="Q64" s="3"/>
      <c r="S64" s="3"/>
      <c r="T64" s="3"/>
      <c r="U64" s="3"/>
    </row>
    <row r="65" spans="1:21" ht="15.75" customHeight="1">
      <c r="A65" s="32">
        <v>20</v>
      </c>
      <c r="B65" s="14" t="s">
        <v>46</v>
      </c>
      <c r="C65" s="16" t="s">
        <v>110</v>
      </c>
      <c r="D65" s="76" t="s">
        <v>67</v>
      </c>
      <c r="E65" s="18">
        <v>15</v>
      </c>
      <c r="F65" s="79">
        <v>15</v>
      </c>
      <c r="G65" s="13">
        <v>222.4</v>
      </c>
      <c r="H65" s="91">
        <f t="shared" ref="H65:H78" si="5">SUM(F65*G65/1000)</f>
        <v>3.3359999999999999</v>
      </c>
      <c r="I65" s="13">
        <f>G65*5</f>
        <v>1112</v>
      </c>
      <c r="J65" s="5"/>
      <c r="K65" s="5"/>
      <c r="L65" s="5"/>
      <c r="M65" s="5"/>
      <c r="N65" s="5"/>
      <c r="O65" s="5"/>
      <c r="P65" s="5"/>
      <c r="Q65" s="5"/>
      <c r="R65" s="188"/>
      <c r="S65" s="188"/>
      <c r="T65" s="188"/>
      <c r="U65" s="188"/>
    </row>
    <row r="66" spans="1:21" ht="15.75" hidden="1" customHeight="1">
      <c r="A66" s="32">
        <v>25</v>
      </c>
      <c r="B66" s="14" t="s">
        <v>47</v>
      </c>
      <c r="C66" s="16" t="s">
        <v>110</v>
      </c>
      <c r="D66" s="76" t="s">
        <v>67</v>
      </c>
      <c r="E66" s="18">
        <v>10</v>
      </c>
      <c r="F66" s="79">
        <v>10</v>
      </c>
      <c r="G66" s="13">
        <v>76.25</v>
      </c>
      <c r="H66" s="91">
        <f t="shared" si="5"/>
        <v>0.76249999999999996</v>
      </c>
      <c r="I66" s="13">
        <f>G66</f>
        <v>76.25</v>
      </c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1" ht="15.75" hidden="1" customHeight="1">
      <c r="A67" s="32"/>
      <c r="B67" s="14" t="s">
        <v>48</v>
      </c>
      <c r="C67" s="16" t="s">
        <v>112</v>
      </c>
      <c r="D67" s="14" t="s">
        <v>53</v>
      </c>
      <c r="E67" s="78">
        <v>28608</v>
      </c>
      <c r="F67" s="13">
        <f>SUM(E67/100)</f>
        <v>286.08</v>
      </c>
      <c r="G67" s="13">
        <v>199.77</v>
      </c>
      <c r="H67" s="91">
        <f t="shared" si="5"/>
        <v>57.150201600000003</v>
      </c>
      <c r="I67" s="13">
        <f>F67*G67</f>
        <v>57150.2016</v>
      </c>
    </row>
    <row r="68" spans="1:21" ht="15.75" hidden="1" customHeight="1">
      <c r="A68" s="32"/>
      <c r="B68" s="14" t="s">
        <v>49</v>
      </c>
      <c r="C68" s="16" t="s">
        <v>113</v>
      </c>
      <c r="D68" s="14"/>
      <c r="E68" s="78">
        <v>28608</v>
      </c>
      <c r="F68" s="13">
        <f>SUM(E68/1000)</f>
        <v>28.608000000000001</v>
      </c>
      <c r="G68" s="13">
        <v>155.57</v>
      </c>
      <c r="H68" s="91">
        <f t="shared" si="5"/>
        <v>4.4505465599999994</v>
      </c>
      <c r="I68" s="13">
        <f t="shared" ref="I68:I72" si="6">F68*G68</f>
        <v>4450.5465599999998</v>
      </c>
    </row>
    <row r="69" spans="1:21" ht="15.75" hidden="1" customHeight="1">
      <c r="A69" s="32"/>
      <c r="B69" s="14" t="s">
        <v>50</v>
      </c>
      <c r="C69" s="16" t="s">
        <v>77</v>
      </c>
      <c r="D69" s="14" t="s">
        <v>53</v>
      </c>
      <c r="E69" s="78">
        <v>4550</v>
      </c>
      <c r="F69" s="13">
        <f>SUM(E69/100)</f>
        <v>45.5</v>
      </c>
      <c r="G69" s="13">
        <v>2074.63</v>
      </c>
      <c r="H69" s="91">
        <f t="shared" si="5"/>
        <v>94.395665000000008</v>
      </c>
      <c r="I69" s="13">
        <f t="shared" si="6"/>
        <v>94395.665000000008</v>
      </c>
    </row>
    <row r="70" spans="1:21" ht="15.75" hidden="1" customHeight="1">
      <c r="A70" s="32"/>
      <c r="B70" s="92" t="s">
        <v>114</v>
      </c>
      <c r="C70" s="16" t="s">
        <v>33</v>
      </c>
      <c r="D70" s="14"/>
      <c r="E70" s="78">
        <v>58.5</v>
      </c>
      <c r="F70" s="13">
        <f>SUM(E70)</f>
        <v>58.5</v>
      </c>
      <c r="G70" s="13">
        <v>45.32</v>
      </c>
      <c r="H70" s="91">
        <f t="shared" si="5"/>
        <v>2.6512199999999999</v>
      </c>
      <c r="I70" s="13">
        <f t="shared" si="6"/>
        <v>2651.22</v>
      </c>
    </row>
    <row r="71" spans="1:21" ht="15.75" hidden="1" customHeight="1">
      <c r="A71" s="32"/>
      <c r="B71" s="92" t="s">
        <v>115</v>
      </c>
      <c r="C71" s="16" t="s">
        <v>33</v>
      </c>
      <c r="D71" s="14"/>
      <c r="E71" s="78">
        <v>58.5</v>
      </c>
      <c r="F71" s="13">
        <f>SUM(E71)</f>
        <v>58.5</v>
      </c>
      <c r="G71" s="13">
        <v>42.28</v>
      </c>
      <c r="H71" s="91">
        <f t="shared" si="5"/>
        <v>2.4733800000000001</v>
      </c>
      <c r="I71" s="13">
        <f t="shared" si="6"/>
        <v>2473.38</v>
      </c>
    </row>
    <row r="72" spans="1:21" ht="15.75" hidden="1" customHeight="1">
      <c r="A72" s="32"/>
      <c r="B72" s="14" t="s">
        <v>57</v>
      </c>
      <c r="C72" s="16" t="s">
        <v>58</v>
      </c>
      <c r="D72" s="14" t="s">
        <v>53</v>
      </c>
      <c r="E72" s="18">
        <v>5</v>
      </c>
      <c r="F72" s="79">
        <v>5</v>
      </c>
      <c r="G72" s="13">
        <v>49.88</v>
      </c>
      <c r="H72" s="91">
        <f t="shared" si="5"/>
        <v>0.24940000000000001</v>
      </c>
      <c r="I72" s="13">
        <f t="shared" si="6"/>
        <v>249.4</v>
      </c>
    </row>
    <row r="73" spans="1:21" ht="15.75" hidden="1" customHeight="1">
      <c r="A73" s="32"/>
      <c r="B73" s="58" t="s">
        <v>72</v>
      </c>
      <c r="C73" s="16"/>
      <c r="D73" s="14"/>
      <c r="E73" s="18"/>
      <c r="F73" s="13"/>
      <c r="G73" s="13"/>
      <c r="H73" s="91" t="s">
        <v>150</v>
      </c>
      <c r="I73" s="13"/>
    </row>
    <row r="74" spans="1:21" ht="15.75" hidden="1" customHeight="1">
      <c r="A74" s="32"/>
      <c r="B74" s="14" t="s">
        <v>73</v>
      </c>
      <c r="C74" s="16" t="s">
        <v>75</v>
      </c>
      <c r="D74" s="14"/>
      <c r="E74" s="18">
        <v>10</v>
      </c>
      <c r="F74" s="13">
        <v>1</v>
      </c>
      <c r="G74" s="13">
        <v>501.62</v>
      </c>
      <c r="H74" s="91">
        <f t="shared" si="5"/>
        <v>0.50161999999999995</v>
      </c>
      <c r="I74" s="13">
        <v>0</v>
      </c>
    </row>
    <row r="75" spans="1:21" ht="15.75" hidden="1" customHeight="1">
      <c r="A75" s="32"/>
      <c r="B75" s="14" t="s">
        <v>74</v>
      </c>
      <c r="C75" s="16" t="s">
        <v>31</v>
      </c>
      <c r="D75" s="14"/>
      <c r="E75" s="18">
        <v>3</v>
      </c>
      <c r="F75" s="71">
        <v>3</v>
      </c>
      <c r="G75" s="13">
        <v>852.99</v>
      </c>
      <c r="H75" s="91">
        <f>F75*G75/1000</f>
        <v>2.5589700000000004</v>
      </c>
      <c r="I75" s="13">
        <v>0</v>
      </c>
    </row>
    <row r="76" spans="1:21" ht="15.75" hidden="1" customHeight="1">
      <c r="A76" s="32"/>
      <c r="B76" s="14" t="s">
        <v>117</v>
      </c>
      <c r="C76" s="16" t="s">
        <v>31</v>
      </c>
      <c r="D76" s="14"/>
      <c r="E76" s="18">
        <v>1</v>
      </c>
      <c r="F76" s="13">
        <v>1</v>
      </c>
      <c r="G76" s="13">
        <v>358.51</v>
      </c>
      <c r="H76" s="91">
        <f>G76*F76/1000</f>
        <v>0.35851</v>
      </c>
      <c r="I76" s="13">
        <v>0</v>
      </c>
    </row>
    <row r="77" spans="1:21" ht="15.75" hidden="1" customHeight="1">
      <c r="A77" s="32"/>
      <c r="B77" s="94" t="s">
        <v>76</v>
      </c>
      <c r="C77" s="16"/>
      <c r="D77" s="14"/>
      <c r="E77" s="18"/>
      <c r="F77" s="13"/>
      <c r="G77" s="13" t="s">
        <v>150</v>
      </c>
      <c r="H77" s="91" t="s">
        <v>150</v>
      </c>
      <c r="I77" s="13"/>
    </row>
    <row r="78" spans="1:21" ht="15.75" hidden="1" customHeight="1">
      <c r="A78" s="32"/>
      <c r="B78" s="47" t="s">
        <v>165</v>
      </c>
      <c r="C78" s="16" t="s">
        <v>77</v>
      </c>
      <c r="D78" s="14"/>
      <c r="E78" s="18"/>
      <c r="F78" s="13">
        <v>1.2</v>
      </c>
      <c r="G78" s="13">
        <v>2759.44</v>
      </c>
      <c r="H78" s="91">
        <f t="shared" si="5"/>
        <v>3.311328</v>
      </c>
      <c r="I78" s="13">
        <v>0</v>
      </c>
    </row>
    <row r="79" spans="1:21" ht="15.75" hidden="1" customHeight="1">
      <c r="A79" s="32"/>
      <c r="B79" s="70" t="s">
        <v>95</v>
      </c>
      <c r="C79" s="70"/>
      <c r="D79" s="70"/>
      <c r="E79" s="70"/>
      <c r="F79" s="70"/>
      <c r="G79" s="82"/>
      <c r="H79" s="95">
        <f>SUM(H58:H78)</f>
        <v>188.31744405999999</v>
      </c>
      <c r="I79" s="82"/>
    </row>
    <row r="80" spans="1:21" ht="15.75" hidden="1" customHeight="1">
      <c r="A80" s="32"/>
      <c r="B80" s="102" t="s">
        <v>116</v>
      </c>
      <c r="C80" s="23"/>
      <c r="D80" s="22"/>
      <c r="E80" s="72"/>
      <c r="F80" s="103">
        <v>1</v>
      </c>
      <c r="G80" s="13">
        <v>23072.1</v>
      </c>
      <c r="H80" s="91">
        <f>G80*F80/1000</f>
        <v>23.072099999999999</v>
      </c>
      <c r="I80" s="13">
        <v>0</v>
      </c>
    </row>
    <row r="81" spans="1:9" ht="15.75" customHeight="1">
      <c r="A81" s="189" t="s">
        <v>148</v>
      </c>
      <c r="B81" s="190"/>
      <c r="C81" s="190"/>
      <c r="D81" s="190"/>
      <c r="E81" s="190"/>
      <c r="F81" s="190"/>
      <c r="G81" s="190"/>
      <c r="H81" s="190"/>
      <c r="I81" s="191"/>
    </row>
    <row r="82" spans="1:9" ht="15.75" customHeight="1">
      <c r="A82" s="32">
        <v>21</v>
      </c>
      <c r="B82" s="76" t="s">
        <v>118</v>
      </c>
      <c r="C82" s="16" t="s">
        <v>54</v>
      </c>
      <c r="D82" s="51" t="s">
        <v>55</v>
      </c>
      <c r="E82" s="13">
        <v>6980.3</v>
      </c>
      <c r="F82" s="13">
        <f>SUM(E82*12)</f>
        <v>83763.600000000006</v>
      </c>
      <c r="G82" s="13">
        <v>2.1</v>
      </c>
      <c r="H82" s="91">
        <f>SUM(F82*G82/1000)</f>
        <v>175.90356000000003</v>
      </c>
      <c r="I82" s="13">
        <f>F82/12*G82</f>
        <v>14658.630000000001</v>
      </c>
    </row>
    <row r="83" spans="1:9" ht="31.5" customHeight="1">
      <c r="A83" s="32">
        <v>22</v>
      </c>
      <c r="B83" s="14" t="s">
        <v>78</v>
      </c>
      <c r="C83" s="16"/>
      <c r="D83" s="51" t="s">
        <v>55</v>
      </c>
      <c r="E83" s="78">
        <f>E82</f>
        <v>6980.3</v>
      </c>
      <c r="F83" s="13">
        <f>E83*12</f>
        <v>83763.600000000006</v>
      </c>
      <c r="G83" s="13">
        <v>1.63</v>
      </c>
      <c r="H83" s="91">
        <f>F83*G83/1000</f>
        <v>136.53466800000001</v>
      </c>
      <c r="I83" s="13">
        <f>F83/12*G83</f>
        <v>11377.888999999999</v>
      </c>
    </row>
    <row r="84" spans="1:9" ht="15.75" customHeight="1">
      <c r="A84" s="32"/>
      <c r="B84" s="40" t="s">
        <v>81</v>
      </c>
      <c r="C84" s="94"/>
      <c r="D84" s="93"/>
      <c r="E84" s="82"/>
      <c r="F84" s="82"/>
      <c r="G84" s="82"/>
      <c r="H84" s="95">
        <f>H83</f>
        <v>136.53466800000001</v>
      </c>
      <c r="I84" s="82">
        <f>I83+I82+I65+I63+I60+I51+I45+I44+I43+I42+I40+I39+I38+I27+I26+I25+I24+I21+I20+I18+I17+I16</f>
        <v>106150.94432766667</v>
      </c>
    </row>
    <row r="85" spans="1:9" ht="15.75" customHeight="1">
      <c r="A85" s="200" t="s">
        <v>60</v>
      </c>
      <c r="B85" s="201"/>
      <c r="C85" s="201"/>
      <c r="D85" s="201"/>
      <c r="E85" s="201"/>
      <c r="F85" s="201"/>
      <c r="G85" s="201"/>
      <c r="H85" s="201"/>
      <c r="I85" s="202"/>
    </row>
    <row r="86" spans="1:9" ht="31.5" customHeight="1">
      <c r="A86" s="32">
        <v>23</v>
      </c>
      <c r="B86" s="50" t="s">
        <v>158</v>
      </c>
      <c r="C86" s="62" t="s">
        <v>154</v>
      </c>
      <c r="D86" s="14"/>
      <c r="E86" s="18"/>
      <c r="F86" s="13">
        <v>3</v>
      </c>
      <c r="G86" s="13">
        <v>835.68</v>
      </c>
      <c r="H86" s="91">
        <f t="shared" ref="H86:H103" si="7">G86*F86/1000</f>
        <v>2.5070399999999999</v>
      </c>
      <c r="I86" s="13">
        <f>G86*(1+2)</f>
        <v>2507.04</v>
      </c>
    </row>
    <row r="87" spans="1:9" ht="31.5" customHeight="1">
      <c r="A87" s="32">
        <v>24</v>
      </c>
      <c r="B87" s="50" t="s">
        <v>153</v>
      </c>
      <c r="C87" s="62" t="s">
        <v>154</v>
      </c>
      <c r="D87" s="14"/>
      <c r="E87" s="18"/>
      <c r="F87" s="13">
        <v>4</v>
      </c>
      <c r="G87" s="13">
        <v>613.44000000000005</v>
      </c>
      <c r="H87" s="91">
        <f t="shared" si="7"/>
        <v>2.4537600000000004</v>
      </c>
      <c r="I87" s="13">
        <f>G87*(2+1+1)</f>
        <v>2453.7600000000002</v>
      </c>
    </row>
    <row r="88" spans="1:9" ht="31.5" customHeight="1">
      <c r="A88" s="32">
        <v>25</v>
      </c>
      <c r="B88" s="50" t="s">
        <v>198</v>
      </c>
      <c r="C88" s="16" t="s">
        <v>82</v>
      </c>
      <c r="D88" s="47"/>
      <c r="E88" s="13"/>
      <c r="F88" s="13">
        <v>0.5</v>
      </c>
      <c r="G88" s="13">
        <v>2057</v>
      </c>
      <c r="H88" s="91">
        <f t="shared" si="7"/>
        <v>1.0285</v>
      </c>
      <c r="I88" s="13">
        <f>G88*0.5</f>
        <v>1028.5</v>
      </c>
    </row>
    <row r="89" spans="1:9" ht="15.75" customHeight="1">
      <c r="A89" s="32">
        <v>26</v>
      </c>
      <c r="B89" s="50" t="s">
        <v>141</v>
      </c>
      <c r="C89" s="62" t="s">
        <v>85</v>
      </c>
      <c r="D89" s="14"/>
      <c r="E89" s="18"/>
      <c r="F89" s="13">
        <v>1</v>
      </c>
      <c r="G89" s="13">
        <v>203.68</v>
      </c>
      <c r="H89" s="91">
        <f t="shared" si="7"/>
        <v>0.20368</v>
      </c>
      <c r="I89" s="13">
        <f>G89</f>
        <v>203.68</v>
      </c>
    </row>
    <row r="90" spans="1:9" ht="15.75" customHeight="1">
      <c r="A90" s="32">
        <v>27</v>
      </c>
      <c r="B90" s="50" t="s">
        <v>83</v>
      </c>
      <c r="C90" s="62" t="s">
        <v>110</v>
      </c>
      <c r="D90" s="14"/>
      <c r="E90" s="18"/>
      <c r="F90" s="13">
        <v>2</v>
      </c>
      <c r="G90" s="13">
        <v>197.48</v>
      </c>
      <c r="H90" s="91">
        <f t="shared" si="7"/>
        <v>0.39495999999999998</v>
      </c>
      <c r="I90" s="13">
        <f>G90*2</f>
        <v>394.96</v>
      </c>
    </row>
    <row r="91" spans="1:9" ht="15.75" customHeight="1">
      <c r="A91" s="32">
        <v>28</v>
      </c>
      <c r="B91" s="50" t="s">
        <v>199</v>
      </c>
      <c r="C91" s="62" t="s">
        <v>191</v>
      </c>
      <c r="D91" s="14"/>
      <c r="E91" s="18"/>
      <c r="F91" s="13">
        <v>37</v>
      </c>
      <c r="G91" s="13">
        <v>134.12</v>
      </c>
      <c r="H91" s="91">
        <f t="shared" si="7"/>
        <v>4.9624400000000009</v>
      </c>
      <c r="I91" s="96">
        <f>G91*(7+10)</f>
        <v>2280.04</v>
      </c>
    </row>
    <row r="92" spans="1:9" ht="31.5" customHeight="1">
      <c r="A92" s="32">
        <v>29</v>
      </c>
      <c r="B92" s="61" t="s">
        <v>161</v>
      </c>
      <c r="C92" s="32" t="s">
        <v>82</v>
      </c>
      <c r="D92" s="14"/>
      <c r="E92" s="18"/>
      <c r="F92" s="13">
        <v>6</v>
      </c>
      <c r="G92" s="13">
        <v>1272</v>
      </c>
      <c r="H92" s="91">
        <f t="shared" si="7"/>
        <v>7.6319999999999997</v>
      </c>
      <c r="I92" s="13">
        <f>G92*6</f>
        <v>7632</v>
      </c>
    </row>
    <row r="93" spans="1:9" ht="15.75" customHeight="1">
      <c r="A93" s="32">
        <v>30</v>
      </c>
      <c r="B93" s="98" t="s">
        <v>200</v>
      </c>
      <c r="C93" s="99" t="s">
        <v>140</v>
      </c>
      <c r="D93" s="14"/>
      <c r="E93" s="18"/>
      <c r="F93" s="13">
        <f>6/3</f>
        <v>2</v>
      </c>
      <c r="G93" s="13">
        <v>1165.73</v>
      </c>
      <c r="H93" s="91">
        <f t="shared" si="7"/>
        <v>2.3314599999999999</v>
      </c>
      <c r="I93" s="96">
        <f>G93*2</f>
        <v>2331.46</v>
      </c>
    </row>
    <row r="94" spans="1:9" ht="15.75" customHeight="1">
      <c r="A94" s="32">
        <v>31</v>
      </c>
      <c r="B94" s="50" t="s">
        <v>201</v>
      </c>
      <c r="C94" s="62" t="s">
        <v>157</v>
      </c>
      <c r="D94" s="14"/>
      <c r="E94" s="18"/>
      <c r="F94" s="13">
        <v>1</v>
      </c>
      <c r="G94" s="13">
        <v>214.8</v>
      </c>
      <c r="H94" s="91">
        <f t="shared" si="7"/>
        <v>0.21480000000000002</v>
      </c>
      <c r="I94" s="96">
        <f>G94</f>
        <v>214.8</v>
      </c>
    </row>
    <row r="95" spans="1:9" ht="31.5" customHeight="1">
      <c r="A95" s="32">
        <v>32</v>
      </c>
      <c r="B95" s="50" t="s">
        <v>180</v>
      </c>
      <c r="C95" s="62" t="s">
        <v>154</v>
      </c>
      <c r="D95" s="47"/>
      <c r="E95" s="13"/>
      <c r="F95" s="13">
        <v>7</v>
      </c>
      <c r="G95" s="13">
        <v>1078.9000000000001</v>
      </c>
      <c r="H95" s="91">
        <f t="shared" si="7"/>
        <v>7.5523000000000007</v>
      </c>
      <c r="I95" s="13">
        <f>G95*6</f>
        <v>6473.4000000000005</v>
      </c>
    </row>
    <row r="96" spans="1:9" ht="15.75" customHeight="1">
      <c r="A96" s="32">
        <v>33</v>
      </c>
      <c r="B96" s="50" t="s">
        <v>182</v>
      </c>
      <c r="C96" s="62" t="s">
        <v>110</v>
      </c>
      <c r="D96" s="14"/>
      <c r="E96" s="18"/>
      <c r="F96" s="13">
        <v>3</v>
      </c>
      <c r="G96" s="13">
        <v>140</v>
      </c>
      <c r="H96" s="91">
        <f t="shared" si="7"/>
        <v>0.42</v>
      </c>
      <c r="I96" s="13">
        <f>G96*2</f>
        <v>280</v>
      </c>
    </row>
    <row r="97" spans="1:9" ht="15.75" customHeight="1">
      <c r="A97" s="32">
        <v>34</v>
      </c>
      <c r="B97" s="50" t="s">
        <v>159</v>
      </c>
      <c r="C97" s="62" t="s">
        <v>110</v>
      </c>
      <c r="D97" s="47"/>
      <c r="E97" s="13"/>
      <c r="F97" s="13">
        <v>2</v>
      </c>
      <c r="G97" s="13">
        <v>40</v>
      </c>
      <c r="H97" s="91">
        <f t="shared" si="7"/>
        <v>0.08</v>
      </c>
      <c r="I97" s="13">
        <f>G97*2</f>
        <v>80</v>
      </c>
    </row>
    <row r="98" spans="1:9" ht="15.75" customHeight="1">
      <c r="A98" s="32">
        <v>35</v>
      </c>
      <c r="B98" s="50" t="s">
        <v>181</v>
      </c>
      <c r="C98" s="62" t="s">
        <v>110</v>
      </c>
      <c r="D98" s="47"/>
      <c r="E98" s="13"/>
      <c r="F98" s="13">
        <v>1</v>
      </c>
      <c r="G98" s="13">
        <v>112</v>
      </c>
      <c r="H98" s="91">
        <f t="shared" si="7"/>
        <v>0.112</v>
      </c>
      <c r="I98" s="13">
        <f>G98</f>
        <v>112</v>
      </c>
    </row>
    <row r="99" spans="1:9" ht="15.75" customHeight="1">
      <c r="A99" s="32">
        <v>36</v>
      </c>
      <c r="B99" s="50" t="s">
        <v>163</v>
      </c>
      <c r="C99" s="62" t="s">
        <v>110</v>
      </c>
      <c r="D99" s="47"/>
      <c r="E99" s="13"/>
      <c r="F99" s="13">
        <v>1</v>
      </c>
      <c r="G99" s="13">
        <v>61</v>
      </c>
      <c r="H99" s="91">
        <f t="shared" si="7"/>
        <v>6.0999999999999999E-2</v>
      </c>
      <c r="I99" s="13">
        <f>G99</f>
        <v>61</v>
      </c>
    </row>
    <row r="100" spans="1:9" ht="15.75" customHeight="1">
      <c r="A100" s="32">
        <v>37</v>
      </c>
      <c r="B100" s="50" t="s">
        <v>183</v>
      </c>
      <c r="C100" s="62" t="s">
        <v>110</v>
      </c>
      <c r="D100" s="47"/>
      <c r="E100" s="13"/>
      <c r="F100" s="13">
        <v>1</v>
      </c>
      <c r="G100" s="13">
        <v>108</v>
      </c>
      <c r="H100" s="91">
        <f t="shared" si="7"/>
        <v>0.108</v>
      </c>
      <c r="I100" s="13">
        <f>G100</f>
        <v>108</v>
      </c>
    </row>
    <row r="101" spans="1:9" ht="15.75" customHeight="1">
      <c r="A101" s="32">
        <v>38</v>
      </c>
      <c r="B101" s="50" t="s">
        <v>195</v>
      </c>
      <c r="C101" s="62" t="s">
        <v>196</v>
      </c>
      <c r="D101" s="14"/>
      <c r="E101" s="18"/>
      <c r="F101" s="13">
        <v>0.01</v>
      </c>
      <c r="G101" s="13">
        <v>7709.44</v>
      </c>
      <c r="H101" s="91">
        <f t="shared" si="7"/>
        <v>7.7094399999999993E-2</v>
      </c>
      <c r="I101" s="96">
        <f>G101*0.01</f>
        <v>77.094399999999993</v>
      </c>
    </row>
    <row r="102" spans="1:9" ht="15.75" customHeight="1">
      <c r="A102" s="32" t="s">
        <v>251</v>
      </c>
      <c r="B102" s="50" t="s">
        <v>137</v>
      </c>
      <c r="C102" s="62" t="s">
        <v>110</v>
      </c>
      <c r="D102" s="14"/>
      <c r="E102" s="18"/>
      <c r="F102" s="13">
        <v>240</v>
      </c>
      <c r="G102" s="13">
        <v>55.55</v>
      </c>
      <c r="H102" s="91">
        <f t="shared" si="7"/>
        <v>13.332000000000001</v>
      </c>
      <c r="I102" s="13">
        <f>G102*120</f>
        <v>6666</v>
      </c>
    </row>
    <row r="103" spans="1:9" ht="15.75" customHeight="1">
      <c r="A103" s="32">
        <v>40</v>
      </c>
      <c r="B103" s="63" t="s">
        <v>202</v>
      </c>
      <c r="C103" s="62" t="s">
        <v>203</v>
      </c>
      <c r="D103" s="47"/>
      <c r="E103" s="13"/>
      <c r="F103" s="13">
        <v>1</v>
      </c>
      <c r="G103" s="13">
        <v>2456.7800000000002</v>
      </c>
      <c r="H103" s="91">
        <f t="shared" si="7"/>
        <v>2.4567800000000002</v>
      </c>
      <c r="I103" s="13">
        <f>G103</f>
        <v>2456.7800000000002</v>
      </c>
    </row>
    <row r="104" spans="1:9" ht="15.75" customHeight="1">
      <c r="A104" s="32"/>
      <c r="B104" s="45" t="s">
        <v>51</v>
      </c>
      <c r="C104" s="41"/>
      <c r="D104" s="48"/>
      <c r="E104" s="41">
        <v>1</v>
      </c>
      <c r="F104" s="41"/>
      <c r="G104" s="41"/>
      <c r="H104" s="41"/>
      <c r="I104" s="34">
        <f>SUM(I86:I103)-I102</f>
        <v>28694.5144</v>
      </c>
    </row>
    <row r="105" spans="1:9">
      <c r="A105" s="32"/>
      <c r="B105" s="47" t="s">
        <v>79</v>
      </c>
      <c r="C105" s="15"/>
      <c r="D105" s="15"/>
      <c r="E105" s="42"/>
      <c r="F105" s="42"/>
      <c r="G105" s="43"/>
      <c r="H105" s="43"/>
      <c r="I105" s="17">
        <v>0</v>
      </c>
    </row>
    <row r="106" spans="1:9">
      <c r="A106" s="49"/>
      <c r="B106" s="46" t="s">
        <v>179</v>
      </c>
      <c r="C106" s="35"/>
      <c r="D106" s="35"/>
      <c r="E106" s="35"/>
      <c r="F106" s="35"/>
      <c r="G106" s="35"/>
      <c r="H106" s="35"/>
      <c r="I106" s="44">
        <f>I84+I104</f>
        <v>134845.45872766667</v>
      </c>
    </row>
    <row r="107" spans="1:9">
      <c r="A107" s="203" t="s">
        <v>252</v>
      </c>
      <c r="B107" s="204"/>
      <c r="C107" s="204"/>
      <c r="D107" s="204"/>
      <c r="E107" s="204"/>
      <c r="F107" s="204"/>
      <c r="G107" s="204"/>
      <c r="H107" s="204"/>
      <c r="I107" s="204"/>
    </row>
    <row r="108" spans="1:9" ht="15.75">
      <c r="A108" s="192" t="s">
        <v>349</v>
      </c>
      <c r="B108" s="192"/>
      <c r="C108" s="192"/>
      <c r="D108" s="192"/>
      <c r="E108" s="192"/>
      <c r="F108" s="192"/>
      <c r="G108" s="192"/>
      <c r="H108" s="192"/>
      <c r="I108" s="192"/>
    </row>
    <row r="109" spans="1:9" ht="15.75" customHeight="1">
      <c r="A109" s="60"/>
      <c r="B109" s="193" t="s">
        <v>350</v>
      </c>
      <c r="C109" s="193"/>
      <c r="D109" s="193"/>
      <c r="E109" s="193"/>
      <c r="F109" s="193"/>
      <c r="G109" s="193"/>
      <c r="H109" s="75"/>
      <c r="I109" s="3"/>
    </row>
    <row r="110" spans="1:9">
      <c r="A110" s="56"/>
      <c r="B110" s="194" t="s">
        <v>6</v>
      </c>
      <c r="C110" s="194"/>
      <c r="D110" s="194"/>
      <c r="E110" s="194"/>
      <c r="F110" s="194"/>
      <c r="G110" s="194"/>
      <c r="H110" s="27"/>
      <c r="I110" s="5"/>
    </row>
    <row r="111" spans="1:9">
      <c r="A111" s="10"/>
      <c r="B111" s="10"/>
      <c r="C111" s="10"/>
      <c r="D111" s="10"/>
      <c r="E111" s="10"/>
      <c r="F111" s="10"/>
      <c r="G111" s="10"/>
      <c r="H111" s="10"/>
      <c r="I111" s="10"/>
    </row>
    <row r="112" spans="1:9" ht="15.75">
      <c r="A112" s="195" t="s">
        <v>7</v>
      </c>
      <c r="B112" s="195"/>
      <c r="C112" s="195"/>
      <c r="D112" s="195"/>
      <c r="E112" s="195"/>
      <c r="F112" s="195"/>
      <c r="G112" s="195"/>
      <c r="H112" s="195"/>
      <c r="I112" s="195"/>
    </row>
    <row r="113" spans="1:9" ht="15.75">
      <c r="A113" s="195" t="s">
        <v>8</v>
      </c>
      <c r="B113" s="195"/>
      <c r="C113" s="195"/>
      <c r="D113" s="195"/>
      <c r="E113" s="195"/>
      <c r="F113" s="195"/>
      <c r="G113" s="195"/>
      <c r="H113" s="195"/>
      <c r="I113" s="195"/>
    </row>
    <row r="114" spans="1:9" ht="15.75">
      <c r="A114" s="196" t="s">
        <v>61</v>
      </c>
      <c r="B114" s="196"/>
      <c r="C114" s="196"/>
      <c r="D114" s="196"/>
      <c r="E114" s="196"/>
      <c r="F114" s="196"/>
      <c r="G114" s="196"/>
      <c r="H114" s="196"/>
      <c r="I114" s="196"/>
    </row>
    <row r="115" spans="1:9" ht="15.75">
      <c r="A115" s="11"/>
    </row>
    <row r="116" spans="1:9" ht="15.75">
      <c r="A116" s="197" t="s">
        <v>9</v>
      </c>
      <c r="B116" s="197"/>
      <c r="C116" s="197"/>
      <c r="D116" s="197"/>
      <c r="E116" s="197"/>
      <c r="F116" s="197"/>
      <c r="G116" s="197"/>
      <c r="H116" s="197"/>
      <c r="I116" s="197"/>
    </row>
    <row r="117" spans="1:9" ht="15.75" customHeight="1">
      <c r="A117" s="4"/>
    </row>
    <row r="118" spans="1:9" ht="15.75" customHeight="1">
      <c r="B118" s="57" t="s">
        <v>10</v>
      </c>
      <c r="C118" s="198" t="s">
        <v>142</v>
      </c>
      <c r="D118" s="198"/>
      <c r="E118" s="198"/>
      <c r="F118" s="73"/>
      <c r="I118" s="55"/>
    </row>
    <row r="119" spans="1:9" ht="15.75" customHeight="1">
      <c r="A119" s="56"/>
      <c r="C119" s="194" t="s">
        <v>11</v>
      </c>
      <c r="D119" s="194"/>
      <c r="E119" s="194"/>
      <c r="F119" s="27"/>
      <c r="I119" s="54" t="s">
        <v>12</v>
      </c>
    </row>
    <row r="120" spans="1:9" ht="15.75" customHeight="1">
      <c r="A120" s="28"/>
      <c r="C120" s="12"/>
      <c r="D120" s="12"/>
      <c r="G120" s="12"/>
      <c r="H120" s="12"/>
    </row>
    <row r="121" spans="1:9" ht="15.75">
      <c r="B121" s="57" t="s">
        <v>13</v>
      </c>
      <c r="C121" s="199"/>
      <c r="D121" s="199"/>
      <c r="E121" s="199"/>
      <c r="F121" s="74"/>
      <c r="I121" s="55"/>
    </row>
    <row r="122" spans="1:9">
      <c r="A122" s="56"/>
      <c r="C122" s="188" t="s">
        <v>11</v>
      </c>
      <c r="D122" s="188"/>
      <c r="E122" s="188"/>
      <c r="F122" s="56"/>
      <c r="I122" s="54" t="s">
        <v>12</v>
      </c>
    </row>
    <row r="123" spans="1:9" ht="15.75">
      <c r="A123" s="4" t="s">
        <v>14</v>
      </c>
    </row>
    <row r="124" spans="1:9">
      <c r="A124" s="186" t="s">
        <v>15</v>
      </c>
      <c r="B124" s="186"/>
      <c r="C124" s="186"/>
      <c r="D124" s="186"/>
      <c r="E124" s="186"/>
      <c r="F124" s="186"/>
      <c r="G124" s="186"/>
      <c r="H124" s="186"/>
      <c r="I124" s="186"/>
    </row>
    <row r="125" spans="1:9" ht="45" customHeight="1">
      <c r="A125" s="187" t="s">
        <v>16</v>
      </c>
      <c r="B125" s="187"/>
      <c r="C125" s="187"/>
      <c r="D125" s="187"/>
      <c r="E125" s="187"/>
      <c r="F125" s="187"/>
      <c r="G125" s="187"/>
      <c r="H125" s="187"/>
      <c r="I125" s="187"/>
    </row>
    <row r="126" spans="1:9" ht="30" customHeight="1">
      <c r="A126" s="187" t="s">
        <v>17</v>
      </c>
      <c r="B126" s="187"/>
      <c r="C126" s="187"/>
      <c r="D126" s="187"/>
      <c r="E126" s="187"/>
      <c r="F126" s="187"/>
      <c r="G126" s="187"/>
      <c r="H126" s="187"/>
      <c r="I126" s="187"/>
    </row>
    <row r="127" spans="1:9" ht="30" customHeight="1">
      <c r="A127" s="187" t="s">
        <v>21</v>
      </c>
      <c r="B127" s="187"/>
      <c r="C127" s="187"/>
      <c r="D127" s="187"/>
      <c r="E127" s="187"/>
      <c r="F127" s="187"/>
      <c r="G127" s="187"/>
      <c r="H127" s="187"/>
      <c r="I127" s="187"/>
    </row>
    <row r="128" spans="1:9" ht="15" customHeight="1">
      <c r="A128" s="187" t="s">
        <v>20</v>
      </c>
      <c r="B128" s="187"/>
      <c r="C128" s="187"/>
      <c r="D128" s="187"/>
      <c r="E128" s="187"/>
      <c r="F128" s="187"/>
      <c r="G128" s="187"/>
      <c r="H128" s="187"/>
      <c r="I128" s="187"/>
    </row>
  </sheetData>
  <autoFilter ref="I12:I60"/>
  <mergeCells count="30">
    <mergeCell ref="A14:I14"/>
    <mergeCell ref="A3:I3"/>
    <mergeCell ref="A4:I4"/>
    <mergeCell ref="A5:I5"/>
    <mergeCell ref="A8:I8"/>
    <mergeCell ref="A10:I10"/>
    <mergeCell ref="A15:I15"/>
    <mergeCell ref="A28:I28"/>
    <mergeCell ref="A46:I46"/>
    <mergeCell ref="A56:I56"/>
    <mergeCell ref="R65:U65"/>
    <mergeCell ref="C122:E122"/>
    <mergeCell ref="A81:I81"/>
    <mergeCell ref="A108:I108"/>
    <mergeCell ref="B109:G109"/>
    <mergeCell ref="B110:G110"/>
    <mergeCell ref="A112:I112"/>
    <mergeCell ref="A113:I113"/>
    <mergeCell ref="A114:I114"/>
    <mergeCell ref="A116:I116"/>
    <mergeCell ref="C118:E118"/>
    <mergeCell ref="C119:E119"/>
    <mergeCell ref="C121:E121"/>
    <mergeCell ref="A85:I85"/>
    <mergeCell ref="A107:I107"/>
    <mergeCell ref="A124:I124"/>
    <mergeCell ref="A125:I125"/>
    <mergeCell ref="A126:I126"/>
    <mergeCell ref="A127:I127"/>
    <mergeCell ref="A128:I128"/>
  </mergeCells>
  <pageMargins left="0.70866141732283472" right="0.23622047244094491" top="0.27559055118110237" bottom="0.27559055118110237" header="0.31496062992125984" footer="0.31496062992125984"/>
  <pageSetup paperSize="9" scale="58" orientation="portrait" r:id="rId1"/>
  <rowBreaks count="1" manualBreakCount="1">
    <brk id="110" max="8" man="1"/>
  </rowBreaks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33"/>
  <sheetViews>
    <sheetView topLeftCell="A111" workbookViewId="0">
      <selection activeCell="B114" sqref="B114:G114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1.85546875" hidden="1" customWidth="1"/>
    <col min="6" max="6" width="11.71093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257</v>
      </c>
      <c r="I1" s="29"/>
      <c r="J1" s="1"/>
      <c r="K1" s="1"/>
      <c r="L1" s="1"/>
      <c r="M1" s="1"/>
    </row>
    <row r="2" spans="1:13" ht="15.75">
      <c r="A2" s="31" t="s">
        <v>62</v>
      </c>
      <c r="J2" s="2"/>
      <c r="K2" s="2"/>
      <c r="L2" s="2"/>
      <c r="M2" s="2"/>
    </row>
    <row r="3" spans="1:13" ht="15.75" customHeight="1">
      <c r="A3" s="210" t="s">
        <v>174</v>
      </c>
      <c r="B3" s="210"/>
      <c r="C3" s="210"/>
      <c r="D3" s="210"/>
      <c r="E3" s="210"/>
      <c r="F3" s="210"/>
      <c r="G3" s="210"/>
      <c r="H3" s="210"/>
      <c r="I3" s="210"/>
      <c r="J3" s="3"/>
      <c r="K3" s="3"/>
      <c r="L3" s="3"/>
    </row>
    <row r="4" spans="1:13" ht="31.5" customHeight="1">
      <c r="A4" s="211" t="s">
        <v>139</v>
      </c>
      <c r="B4" s="211"/>
      <c r="C4" s="211"/>
      <c r="D4" s="211"/>
      <c r="E4" s="211"/>
      <c r="F4" s="211"/>
      <c r="G4" s="211"/>
      <c r="H4" s="211"/>
      <c r="I4" s="211"/>
    </row>
    <row r="5" spans="1:13" ht="15.75">
      <c r="A5" s="210" t="s">
        <v>270</v>
      </c>
      <c r="B5" s="212"/>
      <c r="C5" s="212"/>
      <c r="D5" s="212"/>
      <c r="E5" s="212"/>
      <c r="F5" s="212"/>
      <c r="G5" s="212"/>
      <c r="H5" s="212"/>
      <c r="I5" s="212"/>
      <c r="J5" s="2"/>
      <c r="K5" s="2"/>
      <c r="L5" s="2"/>
      <c r="M5" s="2"/>
    </row>
    <row r="6" spans="1:13" ht="15.75">
      <c r="A6" s="2"/>
      <c r="B6" s="65"/>
      <c r="C6" s="65"/>
      <c r="D6" s="65"/>
      <c r="E6" s="65"/>
      <c r="F6" s="65"/>
      <c r="G6" s="65"/>
      <c r="H6" s="65"/>
      <c r="I6" s="33">
        <v>43404</v>
      </c>
      <c r="J6" s="2"/>
      <c r="K6" s="2"/>
      <c r="L6" s="2"/>
      <c r="M6" s="2"/>
    </row>
    <row r="7" spans="1:13" ht="15.75">
      <c r="B7" s="66"/>
      <c r="C7" s="66"/>
      <c r="D7" s="66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213" t="s">
        <v>259</v>
      </c>
      <c r="B8" s="213"/>
      <c r="C8" s="213"/>
      <c r="D8" s="213"/>
      <c r="E8" s="213"/>
      <c r="F8" s="213"/>
      <c r="G8" s="213"/>
      <c r="H8" s="213"/>
      <c r="I8" s="213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214" t="s">
        <v>175</v>
      </c>
      <c r="B10" s="214"/>
      <c r="C10" s="214"/>
      <c r="D10" s="214"/>
      <c r="E10" s="214"/>
      <c r="F10" s="214"/>
      <c r="G10" s="214"/>
      <c r="H10" s="214"/>
      <c r="I10" s="214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09" t="s">
        <v>59</v>
      </c>
      <c r="B14" s="209"/>
      <c r="C14" s="209"/>
      <c r="D14" s="209"/>
      <c r="E14" s="209"/>
      <c r="F14" s="209"/>
      <c r="G14" s="209"/>
      <c r="H14" s="209"/>
      <c r="I14" s="209"/>
      <c r="J14" s="8"/>
      <c r="K14" s="8"/>
      <c r="L14" s="8"/>
      <c r="M14" s="8"/>
    </row>
    <row r="15" spans="1:13" ht="15" customHeight="1">
      <c r="A15" s="205" t="s">
        <v>4</v>
      </c>
      <c r="B15" s="205"/>
      <c r="C15" s="205"/>
      <c r="D15" s="205"/>
      <c r="E15" s="205"/>
      <c r="F15" s="205"/>
      <c r="G15" s="205"/>
      <c r="H15" s="205"/>
      <c r="I15" s="205"/>
      <c r="J15" s="8"/>
      <c r="K15" s="8"/>
      <c r="L15" s="8"/>
      <c r="M15" s="8"/>
    </row>
    <row r="16" spans="1:13" ht="15.75" customHeight="1">
      <c r="A16" s="32">
        <v>1</v>
      </c>
      <c r="B16" s="121" t="s">
        <v>88</v>
      </c>
      <c r="C16" s="122" t="s">
        <v>89</v>
      </c>
      <c r="D16" s="121" t="s">
        <v>271</v>
      </c>
      <c r="E16" s="158">
        <v>208.08</v>
      </c>
      <c r="F16" s="159">
        <f>SUM(E16*156/100)</f>
        <v>324.60480000000001</v>
      </c>
      <c r="G16" s="159">
        <v>239.2</v>
      </c>
      <c r="H16" s="80">
        <f t="shared" ref="H16:H25" si="0">SUM(F16*G16/1000)</f>
        <v>77.645468160000007</v>
      </c>
      <c r="I16" s="13">
        <f>F16/12*G16</f>
        <v>6470.45568</v>
      </c>
      <c r="J16" s="24"/>
      <c r="K16" s="8"/>
      <c r="L16" s="8"/>
      <c r="M16" s="8"/>
    </row>
    <row r="17" spans="1:13" ht="15.75" customHeight="1">
      <c r="A17" s="32">
        <v>2</v>
      </c>
      <c r="B17" s="121" t="s">
        <v>119</v>
      </c>
      <c r="C17" s="122" t="s">
        <v>89</v>
      </c>
      <c r="D17" s="121" t="s">
        <v>272</v>
      </c>
      <c r="E17" s="158">
        <v>832.32</v>
      </c>
      <c r="F17" s="159">
        <f>SUM(E17*104/100)</f>
        <v>865.61279999999999</v>
      </c>
      <c r="G17" s="159">
        <v>239.2</v>
      </c>
      <c r="H17" s="80">
        <f t="shared" si="0"/>
        <v>207.05458175999999</v>
      </c>
      <c r="I17" s="13">
        <f>F17/12*G17</f>
        <v>17254.548479999998</v>
      </c>
      <c r="J17" s="25"/>
      <c r="K17" s="8"/>
      <c r="L17" s="8"/>
      <c r="M17" s="8"/>
    </row>
    <row r="18" spans="1:13" ht="15.75" customHeight="1">
      <c r="A18" s="32">
        <v>3</v>
      </c>
      <c r="B18" s="121" t="s">
        <v>120</v>
      </c>
      <c r="C18" s="122" t="s">
        <v>89</v>
      </c>
      <c r="D18" s="121" t="s">
        <v>273</v>
      </c>
      <c r="E18" s="158">
        <v>1040.4000000000001</v>
      </c>
      <c r="F18" s="159">
        <f>SUM(E18*18/100)</f>
        <v>187.27200000000002</v>
      </c>
      <c r="G18" s="159">
        <v>688.14</v>
      </c>
      <c r="H18" s="80">
        <f t="shared" si="0"/>
        <v>128.86935407999999</v>
      </c>
      <c r="I18" s="13">
        <f>F18/12*G18</f>
        <v>10739.112840000002</v>
      </c>
      <c r="J18" s="25"/>
      <c r="K18" s="8"/>
      <c r="L18" s="8"/>
      <c r="M18" s="8"/>
    </row>
    <row r="19" spans="1:13" ht="15" hidden="1" customHeight="1">
      <c r="A19" s="32"/>
      <c r="B19" s="121" t="s">
        <v>96</v>
      </c>
      <c r="C19" s="122" t="s">
        <v>97</v>
      </c>
      <c r="D19" s="121" t="s">
        <v>98</v>
      </c>
      <c r="E19" s="158">
        <v>28.2</v>
      </c>
      <c r="F19" s="159">
        <f>SUM(E19/10)</f>
        <v>2.82</v>
      </c>
      <c r="G19" s="159">
        <v>232.1</v>
      </c>
      <c r="H19" s="80">
        <f t="shared" si="0"/>
        <v>0.65452199999999994</v>
      </c>
      <c r="I19" s="13">
        <v>0</v>
      </c>
      <c r="J19" s="25"/>
      <c r="K19" s="8"/>
      <c r="L19" s="8"/>
      <c r="M19" s="8"/>
    </row>
    <row r="20" spans="1:13" ht="15.75" hidden="1" customHeight="1">
      <c r="A20" s="32">
        <v>4</v>
      </c>
      <c r="B20" s="121" t="s">
        <v>99</v>
      </c>
      <c r="C20" s="122" t="s">
        <v>89</v>
      </c>
      <c r="D20" s="121" t="s">
        <v>42</v>
      </c>
      <c r="E20" s="158">
        <v>30.6</v>
      </c>
      <c r="F20" s="159">
        <f>SUM(E20*2/100)</f>
        <v>0.61199999999999999</v>
      </c>
      <c r="G20" s="159">
        <v>297.19</v>
      </c>
      <c r="H20" s="80">
        <f t="shared" si="0"/>
        <v>0.18188028000000001</v>
      </c>
      <c r="I20" s="13">
        <f>F20/12*G20</f>
        <v>15.156689999999999</v>
      </c>
      <c r="J20" s="25"/>
      <c r="K20" s="8"/>
      <c r="L20" s="8"/>
      <c r="M20" s="8"/>
    </row>
    <row r="21" spans="1:13" ht="15.75" hidden="1" customHeight="1">
      <c r="A21" s="32">
        <v>5</v>
      </c>
      <c r="B21" s="121" t="s">
        <v>100</v>
      </c>
      <c r="C21" s="122" t="s">
        <v>89</v>
      </c>
      <c r="D21" s="121" t="s">
        <v>42</v>
      </c>
      <c r="E21" s="158">
        <v>10.06</v>
      </c>
      <c r="F21" s="159">
        <f>SUM(E21*2/100)</f>
        <v>0.20120000000000002</v>
      </c>
      <c r="G21" s="159">
        <v>294.77999999999997</v>
      </c>
      <c r="H21" s="80">
        <f t="shared" si="0"/>
        <v>5.9309736000000002E-2</v>
      </c>
      <c r="I21" s="13">
        <f>F21/12*G21</f>
        <v>4.9424780000000004</v>
      </c>
      <c r="J21" s="25"/>
      <c r="K21" s="8"/>
      <c r="L21" s="8"/>
      <c r="M21" s="8"/>
    </row>
    <row r="22" spans="1:13" ht="21" hidden="1" customHeight="1">
      <c r="A22" s="32"/>
      <c r="B22" s="121" t="s">
        <v>101</v>
      </c>
      <c r="C22" s="122" t="s">
        <v>52</v>
      </c>
      <c r="D22" s="121" t="s">
        <v>98</v>
      </c>
      <c r="E22" s="158">
        <v>769.2</v>
      </c>
      <c r="F22" s="159">
        <f>SUM(E22/100)</f>
        <v>7.6920000000000002</v>
      </c>
      <c r="G22" s="159">
        <v>367.27</v>
      </c>
      <c r="H22" s="80">
        <f t="shared" si="0"/>
        <v>2.8250408400000002</v>
      </c>
      <c r="I22" s="13">
        <v>0</v>
      </c>
      <c r="J22" s="25"/>
      <c r="K22" s="8"/>
      <c r="L22" s="8"/>
      <c r="M22" s="8"/>
    </row>
    <row r="23" spans="1:13" ht="21" hidden="1" customHeight="1">
      <c r="A23" s="32"/>
      <c r="B23" s="121" t="s">
        <v>102</v>
      </c>
      <c r="C23" s="122" t="s">
        <v>52</v>
      </c>
      <c r="D23" s="121" t="s">
        <v>98</v>
      </c>
      <c r="E23" s="160">
        <v>90</v>
      </c>
      <c r="F23" s="159">
        <f>SUM(E23/100)</f>
        <v>0.9</v>
      </c>
      <c r="G23" s="159">
        <v>60.41</v>
      </c>
      <c r="H23" s="80">
        <f t="shared" si="0"/>
        <v>5.4369000000000001E-2</v>
      </c>
      <c r="I23" s="13">
        <v>0</v>
      </c>
      <c r="J23" s="25"/>
      <c r="K23" s="8"/>
      <c r="L23" s="8"/>
      <c r="M23" s="8"/>
    </row>
    <row r="24" spans="1:13" ht="15.75" hidden="1" customHeight="1">
      <c r="A24" s="32">
        <v>6</v>
      </c>
      <c r="B24" s="121" t="s">
        <v>274</v>
      </c>
      <c r="C24" s="122" t="s">
        <v>52</v>
      </c>
      <c r="D24" s="121" t="s">
        <v>53</v>
      </c>
      <c r="E24" s="158">
        <v>30</v>
      </c>
      <c r="F24" s="159">
        <f>E24*1/100</f>
        <v>0.3</v>
      </c>
      <c r="G24" s="159">
        <v>294.77999999999997</v>
      </c>
      <c r="H24" s="80">
        <f t="shared" si="0"/>
        <v>8.8433999999999985E-2</v>
      </c>
      <c r="I24" s="13">
        <f>F24/12*G24</f>
        <v>7.3694999999999986</v>
      </c>
      <c r="J24" s="25"/>
      <c r="K24" s="8"/>
      <c r="L24" s="8"/>
      <c r="M24" s="8"/>
    </row>
    <row r="25" spans="1:13" ht="20.25" hidden="1" customHeight="1">
      <c r="A25" s="32">
        <v>7</v>
      </c>
      <c r="B25" s="121" t="s">
        <v>104</v>
      </c>
      <c r="C25" s="122" t="s">
        <v>52</v>
      </c>
      <c r="D25" s="121" t="s">
        <v>53</v>
      </c>
      <c r="E25" s="158">
        <v>21.6</v>
      </c>
      <c r="F25" s="159">
        <f>SUM(E25*1/100)</f>
        <v>0.21600000000000003</v>
      </c>
      <c r="G25" s="159">
        <v>710.37</v>
      </c>
      <c r="H25" s="80">
        <f t="shared" si="0"/>
        <v>0.15343992000000004</v>
      </c>
      <c r="I25" s="13">
        <f>F25/12*G25</f>
        <v>12.786660000000001</v>
      </c>
      <c r="J25" s="25"/>
      <c r="K25" s="8"/>
      <c r="L25" s="8"/>
      <c r="M25" s="8"/>
    </row>
    <row r="26" spans="1:13" ht="15.75" customHeight="1">
      <c r="A26" s="32">
        <v>4</v>
      </c>
      <c r="B26" s="121" t="s">
        <v>64</v>
      </c>
      <c r="C26" s="122" t="s">
        <v>33</v>
      </c>
      <c r="D26" s="121" t="s">
        <v>275</v>
      </c>
      <c r="E26" s="161">
        <v>0.1</v>
      </c>
      <c r="F26" s="159">
        <f>SUM(E26*218)</f>
        <v>21.8</v>
      </c>
      <c r="G26" s="159">
        <v>275.45</v>
      </c>
      <c r="H26" s="80">
        <f>SUM(F26*G26/1000)</f>
        <v>6.00481</v>
      </c>
      <c r="I26" s="13">
        <f>F26/12*G26</f>
        <v>500.40083333333331</v>
      </c>
      <c r="J26" s="26"/>
    </row>
    <row r="27" spans="1:13" ht="15.75" customHeight="1">
      <c r="A27" s="32">
        <v>5</v>
      </c>
      <c r="B27" s="162" t="s">
        <v>23</v>
      </c>
      <c r="C27" s="122" t="s">
        <v>24</v>
      </c>
      <c r="D27" s="162" t="s">
        <v>150</v>
      </c>
      <c r="E27" s="158">
        <v>6980.3</v>
      </c>
      <c r="F27" s="159">
        <f>SUM(E27*12)</f>
        <v>83763.600000000006</v>
      </c>
      <c r="G27" s="159">
        <v>4.3099999999999996</v>
      </c>
      <c r="H27" s="80">
        <f>SUM(F27*G27/1000)</f>
        <v>361.02111600000001</v>
      </c>
      <c r="I27" s="13">
        <f>F27/12*G27</f>
        <v>30085.092999999997</v>
      </c>
      <c r="J27" s="26"/>
    </row>
    <row r="28" spans="1:13" ht="15" customHeight="1">
      <c r="A28" s="205" t="s">
        <v>86</v>
      </c>
      <c r="B28" s="205"/>
      <c r="C28" s="205"/>
      <c r="D28" s="205"/>
      <c r="E28" s="205"/>
      <c r="F28" s="205"/>
      <c r="G28" s="205"/>
      <c r="H28" s="205"/>
      <c r="I28" s="205"/>
      <c r="J28" s="25"/>
      <c r="K28" s="8"/>
      <c r="L28" s="8"/>
      <c r="M28" s="8"/>
    </row>
    <row r="29" spans="1:13" ht="15.75" customHeight="1">
      <c r="A29" s="32"/>
      <c r="B29" s="100" t="s">
        <v>28</v>
      </c>
      <c r="C29" s="77"/>
      <c r="D29" s="76"/>
      <c r="E29" s="78"/>
      <c r="F29" s="79"/>
      <c r="G29" s="79"/>
      <c r="H29" s="80"/>
      <c r="I29" s="13"/>
      <c r="J29" s="25"/>
      <c r="K29" s="8"/>
      <c r="L29" s="8"/>
      <c r="M29" s="8"/>
    </row>
    <row r="30" spans="1:13" ht="15.75" customHeight="1">
      <c r="A30" s="32">
        <v>6</v>
      </c>
      <c r="B30" s="121" t="s">
        <v>108</v>
      </c>
      <c r="C30" s="122" t="s">
        <v>91</v>
      </c>
      <c r="D30" s="121" t="s">
        <v>105</v>
      </c>
      <c r="E30" s="159">
        <v>584.03</v>
      </c>
      <c r="F30" s="159">
        <f>SUM(E30*52/1000)</f>
        <v>30.369559999999996</v>
      </c>
      <c r="G30" s="159">
        <v>212.62</v>
      </c>
      <c r="H30" s="80">
        <f t="shared" ref="H30:H36" si="1">SUM(F30*G30/1000)</f>
        <v>6.4571758471999994</v>
      </c>
      <c r="I30" s="13">
        <f>F30/6*G30</f>
        <v>1076.1959745333331</v>
      </c>
      <c r="J30" s="25"/>
      <c r="K30" s="8"/>
      <c r="L30" s="8"/>
      <c r="M30" s="8"/>
    </row>
    <row r="31" spans="1:13" ht="31.5" customHeight="1">
      <c r="A31" s="32">
        <v>7</v>
      </c>
      <c r="B31" s="121" t="s">
        <v>124</v>
      </c>
      <c r="C31" s="122" t="s">
        <v>91</v>
      </c>
      <c r="D31" s="121" t="s">
        <v>106</v>
      </c>
      <c r="E31" s="159">
        <v>153</v>
      </c>
      <c r="F31" s="159">
        <f>SUM(E31*78/1000)</f>
        <v>11.933999999999999</v>
      </c>
      <c r="G31" s="159">
        <v>352.77</v>
      </c>
      <c r="H31" s="80">
        <f t="shared" si="1"/>
        <v>4.2099571799999991</v>
      </c>
      <c r="I31" s="13">
        <f t="shared" ref="I31:I34" si="2">F31/6*G31</f>
        <v>701.6595299999999</v>
      </c>
      <c r="J31" s="25"/>
      <c r="K31" s="8"/>
      <c r="L31" s="8"/>
      <c r="M31" s="8"/>
    </row>
    <row r="32" spans="1:13" ht="15" hidden="1" customHeight="1">
      <c r="A32" s="32">
        <v>16</v>
      </c>
      <c r="B32" s="121" t="s">
        <v>27</v>
      </c>
      <c r="C32" s="122" t="s">
        <v>91</v>
      </c>
      <c r="D32" s="121" t="s">
        <v>53</v>
      </c>
      <c r="E32" s="159">
        <v>584.03</v>
      </c>
      <c r="F32" s="159">
        <f>SUM(E32/1000)</f>
        <v>0.58402999999999994</v>
      </c>
      <c r="G32" s="159">
        <v>4119.68</v>
      </c>
      <c r="H32" s="80">
        <f t="shared" si="1"/>
        <v>2.4060167103999999</v>
      </c>
      <c r="I32" s="13">
        <f>F32*G32</f>
        <v>2406.0167103999997</v>
      </c>
      <c r="J32" s="25"/>
      <c r="K32" s="8"/>
      <c r="L32" s="8"/>
      <c r="M32" s="8"/>
    </row>
    <row r="33" spans="1:14" ht="15.75" customHeight="1">
      <c r="A33" s="32">
        <v>8</v>
      </c>
      <c r="B33" s="121" t="s">
        <v>123</v>
      </c>
      <c r="C33" s="122" t="s">
        <v>39</v>
      </c>
      <c r="D33" s="121" t="s">
        <v>63</v>
      </c>
      <c r="E33" s="159">
        <v>6</v>
      </c>
      <c r="F33" s="159">
        <f>E33*155/100</f>
        <v>9.3000000000000007</v>
      </c>
      <c r="G33" s="159">
        <v>1775.94</v>
      </c>
      <c r="H33" s="80">
        <f>G33*F33/1000</f>
        <v>16.516242000000002</v>
      </c>
      <c r="I33" s="13">
        <f t="shared" si="2"/>
        <v>2752.7070000000003</v>
      </c>
      <c r="J33" s="25"/>
      <c r="K33" s="8"/>
      <c r="L33" s="8"/>
      <c r="M33" s="8"/>
    </row>
    <row r="34" spans="1:14" ht="15.75" customHeight="1">
      <c r="A34" s="32">
        <v>9</v>
      </c>
      <c r="B34" s="121" t="s">
        <v>107</v>
      </c>
      <c r="C34" s="122" t="s">
        <v>31</v>
      </c>
      <c r="D34" s="121" t="s">
        <v>63</v>
      </c>
      <c r="E34" s="163">
        <v>0.33333333333333331</v>
      </c>
      <c r="F34" s="159">
        <f>155/3</f>
        <v>51.666666666666664</v>
      </c>
      <c r="G34" s="159">
        <v>77.33</v>
      </c>
      <c r="H34" s="80">
        <f>SUM(G34*155/3/1000)</f>
        <v>3.9953833333333333</v>
      </c>
      <c r="I34" s="13">
        <f t="shared" si="2"/>
        <v>665.89722222222213</v>
      </c>
      <c r="J34" s="25"/>
      <c r="K34" s="8"/>
    </row>
    <row r="35" spans="1:14" ht="27.75" hidden="1" customHeight="1">
      <c r="A35" s="32"/>
      <c r="B35" s="126" t="s">
        <v>65</v>
      </c>
      <c r="C35" s="127" t="s">
        <v>33</v>
      </c>
      <c r="D35" s="126" t="s">
        <v>276</v>
      </c>
      <c r="E35" s="128"/>
      <c r="F35" s="129">
        <v>2</v>
      </c>
      <c r="G35" s="129">
        <v>260.95</v>
      </c>
      <c r="H35" s="80">
        <f t="shared" si="1"/>
        <v>0.52190000000000003</v>
      </c>
      <c r="I35" s="13">
        <v>0</v>
      </c>
      <c r="J35" s="26"/>
    </row>
    <row r="36" spans="1:14" ht="20.25" hidden="1" customHeight="1">
      <c r="A36" s="32"/>
      <c r="B36" s="126" t="s">
        <v>66</v>
      </c>
      <c r="C36" s="127" t="s">
        <v>32</v>
      </c>
      <c r="D36" s="126" t="s">
        <v>276</v>
      </c>
      <c r="E36" s="128"/>
      <c r="F36" s="129">
        <v>1</v>
      </c>
      <c r="G36" s="129">
        <v>1549.92</v>
      </c>
      <c r="H36" s="80">
        <f t="shared" si="1"/>
        <v>1.54992</v>
      </c>
      <c r="I36" s="13">
        <v>0</v>
      </c>
      <c r="J36" s="26"/>
    </row>
    <row r="37" spans="1:14" ht="23.25" hidden="1" customHeight="1">
      <c r="A37" s="32"/>
      <c r="B37" s="100" t="s">
        <v>5</v>
      </c>
      <c r="C37" s="77"/>
      <c r="D37" s="76"/>
      <c r="E37" s="78"/>
      <c r="F37" s="79"/>
      <c r="G37" s="79"/>
      <c r="H37" s="80" t="s">
        <v>150</v>
      </c>
      <c r="I37" s="13"/>
      <c r="J37" s="26"/>
    </row>
    <row r="38" spans="1:14" ht="26.25" hidden="1" customHeight="1">
      <c r="A38" s="32">
        <v>10</v>
      </c>
      <c r="B38" s="134" t="s">
        <v>26</v>
      </c>
      <c r="C38" s="127" t="s">
        <v>32</v>
      </c>
      <c r="D38" s="126"/>
      <c r="E38" s="128"/>
      <c r="F38" s="129">
        <v>5</v>
      </c>
      <c r="G38" s="129">
        <v>2083</v>
      </c>
      <c r="H38" s="80">
        <f t="shared" ref="H38:H43" si="3">SUM(F38*G38/1000)</f>
        <v>10.414999999999999</v>
      </c>
      <c r="I38" s="13">
        <f t="shared" ref="I38:I43" si="4">F38/6*G38</f>
        <v>1735.8333333333335</v>
      </c>
      <c r="J38" s="26"/>
    </row>
    <row r="39" spans="1:14" ht="28.5" hidden="1" customHeight="1">
      <c r="A39" s="32">
        <v>12</v>
      </c>
      <c r="B39" s="134" t="s">
        <v>109</v>
      </c>
      <c r="C39" s="135" t="s">
        <v>29</v>
      </c>
      <c r="D39" s="126" t="s">
        <v>277</v>
      </c>
      <c r="E39" s="128">
        <v>153</v>
      </c>
      <c r="F39" s="136">
        <f>E39*30/1000</f>
        <v>4.59</v>
      </c>
      <c r="G39" s="129">
        <v>2868.09</v>
      </c>
      <c r="H39" s="80">
        <f>G39*F39/1000</f>
        <v>13.1645331</v>
      </c>
      <c r="I39" s="13">
        <f t="shared" si="4"/>
        <v>2194.0888500000001</v>
      </c>
      <c r="J39" s="26"/>
      <c r="L39" s="19"/>
      <c r="M39" s="20"/>
      <c r="N39" s="21"/>
    </row>
    <row r="40" spans="1:14" ht="24" hidden="1" customHeight="1">
      <c r="A40" s="32">
        <v>13</v>
      </c>
      <c r="B40" s="126" t="s">
        <v>68</v>
      </c>
      <c r="C40" s="127" t="s">
        <v>29</v>
      </c>
      <c r="D40" s="126" t="s">
        <v>90</v>
      </c>
      <c r="E40" s="129">
        <v>153</v>
      </c>
      <c r="F40" s="136">
        <f>SUM(E40*155/1000)</f>
        <v>23.715</v>
      </c>
      <c r="G40" s="129">
        <v>478.42</v>
      </c>
      <c r="H40" s="80">
        <f t="shared" si="3"/>
        <v>11.345730300000001</v>
      </c>
      <c r="I40" s="13">
        <f t="shared" si="4"/>
        <v>1890.95505</v>
      </c>
      <c r="J40" s="26"/>
      <c r="L40" s="19"/>
      <c r="M40" s="20"/>
      <c r="N40" s="21"/>
    </row>
    <row r="41" spans="1:14" ht="33" hidden="1" customHeight="1">
      <c r="A41" s="32">
        <v>14</v>
      </c>
      <c r="B41" s="126" t="s">
        <v>84</v>
      </c>
      <c r="C41" s="127" t="s">
        <v>91</v>
      </c>
      <c r="D41" s="126" t="s">
        <v>278</v>
      </c>
      <c r="E41" s="129">
        <v>25</v>
      </c>
      <c r="F41" s="136">
        <f>SUM(E41*35/1000)</f>
        <v>0.875</v>
      </c>
      <c r="G41" s="129">
        <v>7915.6</v>
      </c>
      <c r="H41" s="80">
        <f t="shared" si="3"/>
        <v>6.9261500000000007</v>
      </c>
      <c r="I41" s="13">
        <f t="shared" si="4"/>
        <v>1154.3583333333333</v>
      </c>
      <c r="J41" s="26"/>
      <c r="L41" s="19"/>
      <c r="M41" s="20"/>
      <c r="N41" s="21"/>
    </row>
    <row r="42" spans="1:14" ht="24.75" hidden="1" customHeight="1">
      <c r="A42" s="32">
        <v>15</v>
      </c>
      <c r="B42" s="126" t="s">
        <v>92</v>
      </c>
      <c r="C42" s="127" t="s">
        <v>91</v>
      </c>
      <c r="D42" s="126" t="s">
        <v>69</v>
      </c>
      <c r="E42" s="129">
        <v>153</v>
      </c>
      <c r="F42" s="136">
        <f>SUM(E42*45/1000)</f>
        <v>6.8849999999999998</v>
      </c>
      <c r="G42" s="129">
        <v>584.74</v>
      </c>
      <c r="H42" s="80">
        <f t="shared" si="3"/>
        <v>4.0259348999999993</v>
      </c>
      <c r="I42" s="13">
        <f t="shared" si="4"/>
        <v>670.98915</v>
      </c>
      <c r="J42" s="26"/>
      <c r="L42" s="19"/>
      <c r="M42" s="20"/>
      <c r="N42" s="21"/>
    </row>
    <row r="43" spans="1:14" ht="23.25" hidden="1" customHeight="1">
      <c r="A43" s="133">
        <v>16</v>
      </c>
      <c r="B43" s="134" t="s">
        <v>70</v>
      </c>
      <c r="C43" s="135" t="s">
        <v>33</v>
      </c>
      <c r="D43" s="134"/>
      <c r="E43" s="130"/>
      <c r="F43" s="136">
        <v>0.9</v>
      </c>
      <c r="G43" s="136">
        <v>800</v>
      </c>
      <c r="H43" s="88">
        <f t="shared" si="3"/>
        <v>0.72</v>
      </c>
      <c r="I43" s="96">
        <f t="shared" si="4"/>
        <v>120</v>
      </c>
      <c r="J43" s="26"/>
      <c r="L43" s="19"/>
      <c r="M43" s="20"/>
      <c r="N43" s="21"/>
    </row>
    <row r="44" spans="1:14" ht="23.25" hidden="1" customHeight="1">
      <c r="A44" s="32"/>
      <c r="B44" s="134" t="s">
        <v>279</v>
      </c>
      <c r="C44" s="135" t="s">
        <v>29</v>
      </c>
      <c r="D44" s="134" t="s">
        <v>280</v>
      </c>
      <c r="E44" s="130">
        <v>4.2</v>
      </c>
      <c r="F44" s="136">
        <f>E44*12/1000</f>
        <v>5.0400000000000007E-2</v>
      </c>
      <c r="G44" s="136">
        <v>270.61</v>
      </c>
      <c r="H44" s="13"/>
      <c r="I44" s="13"/>
      <c r="J44" s="26"/>
      <c r="L44" s="19"/>
      <c r="M44" s="20"/>
      <c r="N44" s="21"/>
    </row>
    <row r="45" spans="1:14" ht="21.75" customHeight="1">
      <c r="A45" s="206" t="s">
        <v>146</v>
      </c>
      <c r="B45" s="207"/>
      <c r="C45" s="207"/>
      <c r="D45" s="207"/>
      <c r="E45" s="207"/>
      <c r="F45" s="207"/>
      <c r="G45" s="207"/>
      <c r="H45" s="207"/>
      <c r="I45" s="208"/>
      <c r="J45" s="26"/>
      <c r="L45" s="19"/>
      <c r="M45" s="20"/>
      <c r="N45" s="21"/>
    </row>
    <row r="46" spans="1:14" ht="28.5" hidden="1" customHeight="1">
      <c r="A46" s="32"/>
      <c r="B46" s="126" t="s">
        <v>130</v>
      </c>
      <c r="C46" s="127" t="s">
        <v>91</v>
      </c>
      <c r="D46" s="126" t="s">
        <v>42</v>
      </c>
      <c r="E46" s="128">
        <v>1895</v>
      </c>
      <c r="F46" s="129">
        <f>SUM(E46*2/1000)</f>
        <v>3.79</v>
      </c>
      <c r="G46" s="137">
        <v>1158.7</v>
      </c>
      <c r="H46" s="80">
        <f t="shared" ref="H46:H54" si="5">SUM(F46*G46/1000)</f>
        <v>4.3914729999999995</v>
      </c>
      <c r="I46" s="13">
        <v>0</v>
      </c>
      <c r="J46" s="26"/>
      <c r="L46" s="19"/>
      <c r="M46" s="20"/>
      <c r="N46" s="21"/>
    </row>
    <row r="47" spans="1:14" ht="23.25" hidden="1" customHeight="1">
      <c r="A47" s="32"/>
      <c r="B47" s="126" t="s">
        <v>34</v>
      </c>
      <c r="C47" s="127" t="s">
        <v>91</v>
      </c>
      <c r="D47" s="126" t="s">
        <v>42</v>
      </c>
      <c r="E47" s="128">
        <v>118.2</v>
      </c>
      <c r="F47" s="129">
        <f>E47*2/1000</f>
        <v>0.2364</v>
      </c>
      <c r="G47" s="137">
        <v>790.38</v>
      </c>
      <c r="H47" s="80">
        <f t="shared" si="5"/>
        <v>0.18684583199999999</v>
      </c>
      <c r="I47" s="13">
        <v>0</v>
      </c>
      <c r="J47" s="26"/>
      <c r="L47" s="19"/>
      <c r="M47" s="20"/>
      <c r="N47" s="21"/>
    </row>
    <row r="48" spans="1:14" ht="16.5" hidden="1" customHeight="1">
      <c r="A48" s="32"/>
      <c r="B48" s="126" t="s">
        <v>35</v>
      </c>
      <c r="C48" s="127" t="s">
        <v>91</v>
      </c>
      <c r="D48" s="126" t="s">
        <v>42</v>
      </c>
      <c r="E48" s="128">
        <v>4675</v>
      </c>
      <c r="F48" s="129">
        <f>SUM(E48*2/1000)</f>
        <v>9.35</v>
      </c>
      <c r="G48" s="137">
        <v>790.38</v>
      </c>
      <c r="H48" s="80">
        <f t="shared" si="5"/>
        <v>7.390053</v>
      </c>
      <c r="I48" s="13">
        <v>0</v>
      </c>
      <c r="J48" s="26"/>
      <c r="L48" s="19"/>
      <c r="M48" s="20"/>
      <c r="N48" s="21"/>
    </row>
    <row r="49" spans="1:22" ht="19.5" hidden="1" customHeight="1">
      <c r="A49" s="32"/>
      <c r="B49" s="126" t="s">
        <v>36</v>
      </c>
      <c r="C49" s="127" t="s">
        <v>91</v>
      </c>
      <c r="D49" s="126" t="s">
        <v>42</v>
      </c>
      <c r="E49" s="128">
        <v>4675</v>
      </c>
      <c r="F49" s="129">
        <f>SUM(E49*2/1000)</f>
        <v>9.35</v>
      </c>
      <c r="G49" s="137">
        <v>827.65</v>
      </c>
      <c r="H49" s="80">
        <f t="shared" si="5"/>
        <v>7.7385274999999991</v>
      </c>
      <c r="I49" s="13">
        <v>0</v>
      </c>
      <c r="J49" s="26"/>
      <c r="L49" s="19"/>
      <c r="M49" s="20"/>
      <c r="N49" s="21"/>
    </row>
    <row r="50" spans="1:22" ht="16.5" hidden="1" customHeight="1">
      <c r="A50" s="32">
        <v>17</v>
      </c>
      <c r="B50" s="126" t="s">
        <v>56</v>
      </c>
      <c r="C50" s="127" t="s">
        <v>91</v>
      </c>
      <c r="D50" s="126" t="s">
        <v>281</v>
      </c>
      <c r="E50" s="128">
        <v>3988</v>
      </c>
      <c r="F50" s="129">
        <f>SUM(E50*5/1000)</f>
        <v>19.940000000000001</v>
      </c>
      <c r="G50" s="137">
        <v>1655.27</v>
      </c>
      <c r="H50" s="80">
        <f t="shared" si="5"/>
        <v>33.006083799999999</v>
      </c>
      <c r="I50" s="13">
        <f>F50/5*G50</f>
        <v>6601.2167600000002</v>
      </c>
      <c r="J50" s="26"/>
      <c r="L50" s="19"/>
      <c r="M50" s="20"/>
      <c r="N50" s="21"/>
    </row>
    <row r="51" spans="1:22" ht="29.25" customHeight="1">
      <c r="A51" s="32">
        <v>10</v>
      </c>
      <c r="B51" s="121" t="s">
        <v>93</v>
      </c>
      <c r="C51" s="122" t="s">
        <v>91</v>
      </c>
      <c r="D51" s="121" t="s">
        <v>42</v>
      </c>
      <c r="E51" s="158">
        <v>3988</v>
      </c>
      <c r="F51" s="159">
        <f>SUM(E51*2/1000)</f>
        <v>7.976</v>
      </c>
      <c r="G51" s="36">
        <v>1655.27</v>
      </c>
      <c r="H51" s="80">
        <f t="shared" si="5"/>
        <v>13.202433520000001</v>
      </c>
      <c r="I51" s="13">
        <f>G51*F51/2</f>
        <v>6601.2167600000002</v>
      </c>
      <c r="J51" s="26"/>
      <c r="L51" s="19"/>
      <c r="M51" s="20"/>
      <c r="N51" s="21"/>
    </row>
    <row r="52" spans="1:22" ht="30" customHeight="1">
      <c r="A52" s="32">
        <v>11</v>
      </c>
      <c r="B52" s="121" t="s">
        <v>94</v>
      </c>
      <c r="C52" s="122" t="s">
        <v>37</v>
      </c>
      <c r="D52" s="121" t="s">
        <v>42</v>
      </c>
      <c r="E52" s="158">
        <v>30</v>
      </c>
      <c r="F52" s="159">
        <f>SUM(E52*2/100)</f>
        <v>0.6</v>
      </c>
      <c r="G52" s="36">
        <v>3724.37</v>
      </c>
      <c r="H52" s="80">
        <f>SUM(F52*G52/1000)</f>
        <v>2.2346219999999999</v>
      </c>
      <c r="I52" s="13">
        <f>G52*F52/2</f>
        <v>1117.3109999999999</v>
      </c>
      <c r="J52" s="26"/>
      <c r="L52" s="19"/>
      <c r="M52" s="20"/>
      <c r="N52" s="21"/>
    </row>
    <row r="53" spans="1:22" ht="17.25" customHeight="1">
      <c r="A53" s="32">
        <v>12</v>
      </c>
      <c r="B53" s="121" t="s">
        <v>38</v>
      </c>
      <c r="C53" s="122" t="s">
        <v>39</v>
      </c>
      <c r="D53" s="121" t="s">
        <v>42</v>
      </c>
      <c r="E53" s="158">
        <v>1</v>
      </c>
      <c r="F53" s="159">
        <v>0.02</v>
      </c>
      <c r="G53" s="36">
        <v>7709.44</v>
      </c>
      <c r="H53" s="80">
        <f t="shared" si="5"/>
        <v>0.15418879999999999</v>
      </c>
      <c r="I53" s="13">
        <f>G53*F53/2</f>
        <v>77.094399999999993</v>
      </c>
      <c r="J53" s="26"/>
      <c r="L53" s="19"/>
      <c r="M53" s="20"/>
      <c r="N53" s="21"/>
    </row>
    <row r="54" spans="1:22" ht="17.25" hidden="1" customHeight="1">
      <c r="A54" s="32">
        <v>18</v>
      </c>
      <c r="B54" s="121" t="s">
        <v>41</v>
      </c>
      <c r="C54" s="122" t="s">
        <v>110</v>
      </c>
      <c r="D54" s="121" t="s">
        <v>53</v>
      </c>
      <c r="E54" s="158">
        <v>240</v>
      </c>
      <c r="F54" s="159">
        <f>SUM(E54)*1</f>
        <v>240</v>
      </c>
      <c r="G54" s="37">
        <v>89.59</v>
      </c>
      <c r="H54" s="80">
        <f t="shared" si="5"/>
        <v>21.501600000000003</v>
      </c>
      <c r="I54" s="13">
        <f>E54*G54</f>
        <v>21501.600000000002</v>
      </c>
      <c r="J54" s="26"/>
      <c r="L54" s="19"/>
      <c r="M54" s="20"/>
      <c r="N54" s="21"/>
    </row>
    <row r="55" spans="1:22" ht="17.25" customHeight="1">
      <c r="A55" s="131">
        <v>13</v>
      </c>
      <c r="B55" s="121" t="s">
        <v>282</v>
      </c>
      <c r="C55" s="122" t="s">
        <v>110</v>
      </c>
      <c r="D55" s="121" t="s">
        <v>30</v>
      </c>
      <c r="E55" s="158">
        <v>5</v>
      </c>
      <c r="F55" s="159">
        <v>60</v>
      </c>
      <c r="G55" s="164">
        <v>903.71</v>
      </c>
      <c r="H55" s="71"/>
      <c r="I55" s="132">
        <f>G55*F55/12</f>
        <v>4518.55</v>
      </c>
      <c r="J55" s="26"/>
      <c r="L55" s="19"/>
      <c r="M55" s="20"/>
      <c r="N55" s="21"/>
    </row>
    <row r="56" spans="1:22" ht="15.75" customHeight="1">
      <c r="A56" s="206" t="s">
        <v>147</v>
      </c>
      <c r="B56" s="207"/>
      <c r="C56" s="207"/>
      <c r="D56" s="207"/>
      <c r="E56" s="207"/>
      <c r="F56" s="207"/>
      <c r="G56" s="207"/>
      <c r="H56" s="207"/>
      <c r="I56" s="208"/>
      <c r="J56" s="26"/>
      <c r="L56" s="19"/>
      <c r="M56" s="20"/>
      <c r="N56" s="21"/>
    </row>
    <row r="57" spans="1:22" ht="27.75" hidden="1" customHeight="1">
      <c r="A57" s="32"/>
      <c r="B57" s="100" t="s">
        <v>43</v>
      </c>
      <c r="C57" s="77"/>
      <c r="D57" s="76"/>
      <c r="E57" s="78"/>
      <c r="F57" s="79"/>
      <c r="G57" s="79"/>
      <c r="H57" s="80"/>
      <c r="I57" s="13"/>
      <c r="J57" s="26"/>
      <c r="L57" s="19"/>
      <c r="M57" s="20"/>
      <c r="N57" s="21"/>
    </row>
    <row r="58" spans="1:22" ht="24.75" hidden="1" customHeight="1">
      <c r="A58" s="32">
        <v>20</v>
      </c>
      <c r="B58" s="139" t="s">
        <v>132</v>
      </c>
      <c r="C58" s="140" t="s">
        <v>133</v>
      </c>
      <c r="D58" s="139" t="s">
        <v>42</v>
      </c>
      <c r="E58" s="141">
        <v>6</v>
      </c>
      <c r="F58" s="142">
        <v>12</v>
      </c>
      <c r="G58" s="137">
        <v>246.58</v>
      </c>
      <c r="H58" s="89">
        <f>G58*F58/1000</f>
        <v>2.9589600000000003</v>
      </c>
      <c r="I58" s="13">
        <f>F58/2*G58</f>
        <v>1479.48</v>
      </c>
    </row>
    <row r="59" spans="1:22" ht="21.75" hidden="1" customHeight="1">
      <c r="A59" s="32">
        <v>21</v>
      </c>
      <c r="B59" s="139" t="s">
        <v>134</v>
      </c>
      <c r="C59" s="140" t="s">
        <v>52</v>
      </c>
      <c r="D59" s="139" t="s">
        <v>283</v>
      </c>
      <c r="E59" s="141">
        <v>6</v>
      </c>
      <c r="F59" s="142">
        <f>E59*6/100</f>
        <v>0.36</v>
      </c>
      <c r="G59" s="137">
        <v>2110.4699999999998</v>
      </c>
      <c r="H59" s="89">
        <f>G59*F59/1000</f>
        <v>0.75976919999999992</v>
      </c>
      <c r="I59" s="13">
        <f>F59/4*G59</f>
        <v>189.94229999999999</v>
      </c>
    </row>
    <row r="60" spans="1:22" ht="21.75" hidden="1" customHeight="1">
      <c r="A60" s="32"/>
      <c r="B60" s="139" t="s">
        <v>284</v>
      </c>
      <c r="C60" s="140" t="s">
        <v>285</v>
      </c>
      <c r="D60" s="139" t="s">
        <v>276</v>
      </c>
      <c r="E60" s="141"/>
      <c r="F60" s="142">
        <v>5</v>
      </c>
      <c r="G60" s="137">
        <v>1645</v>
      </c>
      <c r="H60" s="89"/>
      <c r="I60" s="13"/>
    </row>
    <row r="61" spans="1:22" ht="15.75" customHeight="1">
      <c r="A61" s="32"/>
      <c r="B61" s="101" t="s">
        <v>44</v>
      </c>
      <c r="C61" s="86"/>
      <c r="D61" s="85"/>
      <c r="E61" s="87"/>
      <c r="F61" s="88"/>
      <c r="G61" s="13"/>
      <c r="H61" s="89"/>
      <c r="I61" s="13"/>
    </row>
    <row r="62" spans="1:22" ht="15.75" hidden="1" customHeight="1">
      <c r="A62" s="32">
        <v>22</v>
      </c>
      <c r="B62" s="85" t="s">
        <v>135</v>
      </c>
      <c r="C62" s="86" t="s">
        <v>52</v>
      </c>
      <c r="D62" s="85" t="s">
        <v>53</v>
      </c>
      <c r="E62" s="87">
        <v>997</v>
      </c>
      <c r="F62" s="88">
        <v>9.9700000000000006</v>
      </c>
      <c r="G62" s="13">
        <v>793.61</v>
      </c>
      <c r="H62" s="89">
        <f>F62*G62/1000</f>
        <v>7.9122917000000008</v>
      </c>
      <c r="I62" s="13">
        <f>G62*F62</f>
        <v>7912.2917000000007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9"/>
    </row>
    <row r="63" spans="1:22" ht="15.75" hidden="1" customHeight="1">
      <c r="A63" s="32"/>
      <c r="B63" s="139" t="s">
        <v>135</v>
      </c>
      <c r="C63" s="140" t="s">
        <v>52</v>
      </c>
      <c r="D63" s="139" t="s">
        <v>53</v>
      </c>
      <c r="E63" s="141">
        <v>200</v>
      </c>
      <c r="F63" s="142">
        <v>2</v>
      </c>
      <c r="G63" s="137">
        <v>1082.47</v>
      </c>
      <c r="H63" s="89"/>
      <c r="I63" s="1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customHeight="1">
      <c r="A64" s="32">
        <v>14</v>
      </c>
      <c r="B64" s="115" t="s">
        <v>136</v>
      </c>
      <c r="C64" s="116" t="s">
        <v>25</v>
      </c>
      <c r="D64" s="115" t="s">
        <v>30</v>
      </c>
      <c r="E64" s="117">
        <v>200</v>
      </c>
      <c r="F64" s="118">
        <f>E64*12</f>
        <v>2400</v>
      </c>
      <c r="G64" s="119">
        <v>1.2</v>
      </c>
      <c r="H64" s="88">
        <f>F64*G64/1000</f>
        <v>2.88</v>
      </c>
      <c r="I64" s="13">
        <f>F64/12*G64</f>
        <v>240</v>
      </c>
      <c r="J64" s="28"/>
      <c r="K64" s="28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" customHeight="1">
      <c r="A65" s="32"/>
      <c r="B65" s="101" t="s">
        <v>45</v>
      </c>
      <c r="C65" s="86"/>
      <c r="D65" s="85"/>
      <c r="E65" s="87"/>
      <c r="F65" s="90"/>
      <c r="G65" s="90"/>
      <c r="H65" s="88" t="s">
        <v>150</v>
      </c>
      <c r="I65" s="13"/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6.5" customHeight="1">
      <c r="A66" s="32">
        <v>15</v>
      </c>
      <c r="B66" s="165" t="s">
        <v>46</v>
      </c>
      <c r="C66" s="166" t="s">
        <v>110</v>
      </c>
      <c r="D66" s="39" t="s">
        <v>276</v>
      </c>
      <c r="E66" s="17">
        <v>12</v>
      </c>
      <c r="F66" s="159">
        <v>12</v>
      </c>
      <c r="G66" s="36">
        <v>303.35000000000002</v>
      </c>
      <c r="H66" s="91">
        <f t="shared" ref="H66:H84" si="6">SUM(F66*G66/1000)</f>
        <v>3.6402000000000001</v>
      </c>
      <c r="I66" s="13">
        <f>G66*5</f>
        <v>1516.75</v>
      </c>
      <c r="J66" s="5"/>
      <c r="K66" s="5"/>
      <c r="L66" s="5"/>
      <c r="M66" s="5"/>
      <c r="N66" s="5"/>
      <c r="O66" s="5"/>
      <c r="P66" s="5"/>
      <c r="Q66" s="5"/>
      <c r="R66" s="188"/>
      <c r="S66" s="188"/>
      <c r="T66" s="188"/>
      <c r="U66" s="188"/>
    </row>
    <row r="67" spans="1:21" ht="16.5" hidden="1" customHeight="1">
      <c r="A67" s="32">
        <v>25</v>
      </c>
      <c r="B67" s="144" t="s">
        <v>47</v>
      </c>
      <c r="C67" s="145" t="s">
        <v>110</v>
      </c>
      <c r="D67" s="146" t="s">
        <v>276</v>
      </c>
      <c r="E67" s="147">
        <v>7</v>
      </c>
      <c r="F67" s="129">
        <v>7</v>
      </c>
      <c r="G67" s="137">
        <v>104.01</v>
      </c>
      <c r="H67" s="91">
        <f t="shared" si="6"/>
        <v>0.72806999999999999</v>
      </c>
      <c r="I67" s="13">
        <f>G67</f>
        <v>104.01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30.75" hidden="1" customHeight="1">
      <c r="A68" s="32"/>
      <c r="B68" s="144" t="s">
        <v>48</v>
      </c>
      <c r="C68" s="148" t="s">
        <v>112</v>
      </c>
      <c r="D68" s="146" t="s">
        <v>53</v>
      </c>
      <c r="E68" s="128">
        <v>17600</v>
      </c>
      <c r="F68" s="138">
        <f>SUM(E68/100)</f>
        <v>176</v>
      </c>
      <c r="G68" s="137">
        <v>289.37</v>
      </c>
      <c r="H68" s="91">
        <f t="shared" si="6"/>
        <v>50.929120000000005</v>
      </c>
      <c r="I68" s="13">
        <f>F68*G68</f>
        <v>50929.120000000003</v>
      </c>
    </row>
    <row r="69" spans="1:21" ht="23.25" hidden="1" customHeight="1">
      <c r="A69" s="32"/>
      <c r="B69" s="144" t="s">
        <v>49</v>
      </c>
      <c r="C69" s="145" t="s">
        <v>113</v>
      </c>
      <c r="D69" s="146"/>
      <c r="E69" s="128">
        <v>17600</v>
      </c>
      <c r="F69" s="137">
        <f>SUM(E69/1000)</f>
        <v>17.600000000000001</v>
      </c>
      <c r="G69" s="137">
        <v>225.35</v>
      </c>
      <c r="H69" s="91">
        <f t="shared" si="6"/>
        <v>3.9661600000000004</v>
      </c>
      <c r="I69" s="13">
        <f t="shared" ref="I69:I73" si="7">F69*G69</f>
        <v>3966.1600000000003</v>
      </c>
    </row>
    <row r="70" spans="1:21" ht="22.5" hidden="1" customHeight="1">
      <c r="A70" s="32"/>
      <c r="B70" s="144" t="s">
        <v>50</v>
      </c>
      <c r="C70" s="145" t="s">
        <v>77</v>
      </c>
      <c r="D70" s="146" t="s">
        <v>53</v>
      </c>
      <c r="E70" s="128">
        <v>4150</v>
      </c>
      <c r="F70" s="137">
        <f>SUM(E70/100)</f>
        <v>41.5</v>
      </c>
      <c r="G70" s="137">
        <v>2829.78</v>
      </c>
      <c r="H70" s="91">
        <f t="shared" si="6"/>
        <v>117.43587000000001</v>
      </c>
      <c r="I70" s="13">
        <f t="shared" si="7"/>
        <v>117435.87000000001</v>
      </c>
    </row>
    <row r="71" spans="1:21" ht="24" hidden="1" customHeight="1">
      <c r="A71" s="32"/>
      <c r="B71" s="149" t="s">
        <v>114</v>
      </c>
      <c r="C71" s="145" t="s">
        <v>33</v>
      </c>
      <c r="D71" s="146"/>
      <c r="E71" s="128">
        <v>13</v>
      </c>
      <c r="F71" s="137">
        <f>SUM(E71)</f>
        <v>13</v>
      </c>
      <c r="G71" s="137">
        <v>44.31</v>
      </c>
      <c r="H71" s="91">
        <f t="shared" si="6"/>
        <v>0.57602999999999993</v>
      </c>
      <c r="I71" s="13">
        <f t="shared" si="7"/>
        <v>576.03</v>
      </c>
    </row>
    <row r="72" spans="1:21" ht="22.5" hidden="1" customHeight="1">
      <c r="A72" s="32"/>
      <c r="B72" s="149" t="s">
        <v>115</v>
      </c>
      <c r="C72" s="145" t="s">
        <v>33</v>
      </c>
      <c r="D72" s="146"/>
      <c r="E72" s="128">
        <v>13</v>
      </c>
      <c r="F72" s="137">
        <f>SUM(E72)</f>
        <v>13</v>
      </c>
      <c r="G72" s="137">
        <v>47.79</v>
      </c>
      <c r="H72" s="91">
        <f t="shared" si="6"/>
        <v>0.62126999999999999</v>
      </c>
      <c r="I72" s="13">
        <f t="shared" si="7"/>
        <v>621.27</v>
      </c>
    </row>
    <row r="73" spans="1:21" ht="24" hidden="1" customHeight="1">
      <c r="A73" s="32"/>
      <c r="B73" s="146" t="s">
        <v>57</v>
      </c>
      <c r="C73" s="145" t="s">
        <v>58</v>
      </c>
      <c r="D73" s="146" t="s">
        <v>53</v>
      </c>
      <c r="E73" s="147">
        <v>3</v>
      </c>
      <c r="F73" s="129">
        <v>3</v>
      </c>
      <c r="G73" s="137">
        <v>68.040000000000006</v>
      </c>
      <c r="H73" s="91">
        <f t="shared" si="6"/>
        <v>0.20412</v>
      </c>
      <c r="I73" s="13">
        <f t="shared" si="7"/>
        <v>204.12</v>
      </c>
    </row>
    <row r="74" spans="1:21" ht="21" customHeight="1">
      <c r="A74" s="32"/>
      <c r="B74" s="167" t="s">
        <v>286</v>
      </c>
      <c r="C74" s="166"/>
      <c r="D74" s="39"/>
      <c r="E74" s="17"/>
      <c r="F74" s="119"/>
      <c r="G74" s="36"/>
      <c r="H74" s="91"/>
      <c r="I74" s="13"/>
    </row>
    <row r="75" spans="1:21" ht="28.5" customHeight="1">
      <c r="A75" s="32">
        <v>16</v>
      </c>
      <c r="B75" s="39" t="s">
        <v>287</v>
      </c>
      <c r="C75" s="168" t="s">
        <v>288</v>
      </c>
      <c r="D75" s="39" t="s">
        <v>276</v>
      </c>
      <c r="E75" s="17">
        <v>6980.3</v>
      </c>
      <c r="F75" s="36">
        <f>E75*12</f>
        <v>83763.600000000006</v>
      </c>
      <c r="G75" s="36">
        <v>2.37</v>
      </c>
      <c r="H75" s="91"/>
      <c r="I75" s="13">
        <f>G75*F75/12</f>
        <v>16543.311000000002</v>
      </c>
    </row>
    <row r="76" spans="1:21" ht="15.75" customHeight="1">
      <c r="A76" s="32"/>
      <c r="B76" s="64" t="s">
        <v>72</v>
      </c>
      <c r="C76" s="16"/>
      <c r="D76" s="14"/>
      <c r="E76" s="18"/>
      <c r="F76" s="13"/>
      <c r="G76" s="13"/>
      <c r="H76" s="91" t="s">
        <v>150</v>
      </c>
      <c r="I76" s="13"/>
    </row>
    <row r="77" spans="1:21" ht="15.75" hidden="1" customHeight="1">
      <c r="A77" s="32"/>
      <c r="B77" s="146" t="s">
        <v>289</v>
      </c>
      <c r="C77" s="145" t="s">
        <v>290</v>
      </c>
      <c r="D77" s="146" t="s">
        <v>276</v>
      </c>
      <c r="E77" s="147">
        <v>1</v>
      </c>
      <c r="F77" s="137">
        <v>1</v>
      </c>
      <c r="G77" s="137">
        <v>2112.2800000000002</v>
      </c>
      <c r="H77" s="91"/>
      <c r="I77" s="13"/>
    </row>
    <row r="78" spans="1:21" ht="15.75" hidden="1" customHeight="1">
      <c r="A78" s="32"/>
      <c r="B78" s="146" t="s">
        <v>291</v>
      </c>
      <c r="C78" s="145" t="s">
        <v>290</v>
      </c>
      <c r="D78" s="146" t="s">
        <v>276</v>
      </c>
      <c r="E78" s="147">
        <v>4</v>
      </c>
      <c r="F78" s="137">
        <v>4</v>
      </c>
      <c r="G78" s="137">
        <v>136.19999999999999</v>
      </c>
      <c r="H78" s="91"/>
      <c r="I78" s="13"/>
    </row>
    <row r="79" spans="1:21" ht="15.75" hidden="1" customHeight="1">
      <c r="A79" s="32"/>
      <c r="B79" s="146" t="s">
        <v>73</v>
      </c>
      <c r="C79" s="145" t="s">
        <v>75</v>
      </c>
      <c r="D79" s="146" t="s">
        <v>276</v>
      </c>
      <c r="E79" s="147">
        <v>7</v>
      </c>
      <c r="F79" s="137">
        <f>E79/10</f>
        <v>0.7</v>
      </c>
      <c r="G79" s="137">
        <v>684.19</v>
      </c>
      <c r="H79" s="91"/>
      <c r="I79" s="13"/>
    </row>
    <row r="80" spans="1:21" ht="15.75" hidden="1" customHeight="1">
      <c r="A80" s="32">
        <v>16</v>
      </c>
      <c r="B80" s="146" t="s">
        <v>74</v>
      </c>
      <c r="C80" s="145" t="s">
        <v>31</v>
      </c>
      <c r="D80" s="146" t="s">
        <v>276</v>
      </c>
      <c r="E80" s="150">
        <v>1</v>
      </c>
      <c r="F80" s="143">
        <v>1</v>
      </c>
      <c r="G80" s="137">
        <v>1163.47</v>
      </c>
      <c r="H80" s="91">
        <f t="shared" si="6"/>
        <v>1.16347</v>
      </c>
      <c r="I80" s="13">
        <f>G80*2</f>
        <v>2326.94</v>
      </c>
    </row>
    <row r="81" spans="1:9" ht="21.75" hidden="1" customHeight="1">
      <c r="A81" s="32"/>
      <c r="B81" s="146" t="s">
        <v>292</v>
      </c>
      <c r="C81" s="145" t="s">
        <v>110</v>
      </c>
      <c r="D81" s="146" t="s">
        <v>276</v>
      </c>
      <c r="E81" s="147">
        <v>1</v>
      </c>
      <c r="F81" s="137">
        <v>1</v>
      </c>
      <c r="G81" s="137">
        <v>1670.07</v>
      </c>
      <c r="H81" s="91">
        <f>F81*G81/1000</f>
        <v>1.6700699999999999</v>
      </c>
      <c r="I81" s="13">
        <v>0</v>
      </c>
    </row>
    <row r="82" spans="1:9" ht="29.25" customHeight="1">
      <c r="A82" s="32">
        <v>17</v>
      </c>
      <c r="B82" s="39" t="s">
        <v>293</v>
      </c>
      <c r="C82" s="166" t="s">
        <v>110</v>
      </c>
      <c r="D82" s="39" t="s">
        <v>30</v>
      </c>
      <c r="E82" s="17">
        <v>2</v>
      </c>
      <c r="F82" s="36">
        <v>24</v>
      </c>
      <c r="G82" s="36">
        <v>55.55</v>
      </c>
      <c r="H82" s="91">
        <f>G82*F82/1000</f>
        <v>1.3331999999999997</v>
      </c>
      <c r="I82" s="13">
        <f>G82*F82/12</f>
        <v>111.09999999999998</v>
      </c>
    </row>
    <row r="83" spans="1:9" ht="21.75" hidden="1" customHeight="1">
      <c r="A83" s="32"/>
      <c r="B83" s="94" t="s">
        <v>76</v>
      </c>
      <c r="C83" s="16"/>
      <c r="D83" s="14"/>
      <c r="E83" s="18"/>
      <c r="F83" s="13"/>
      <c r="G83" s="13" t="s">
        <v>150</v>
      </c>
      <c r="H83" s="91" t="s">
        <v>150</v>
      </c>
      <c r="I83" s="13"/>
    </row>
    <row r="84" spans="1:9" ht="20.25" hidden="1" customHeight="1">
      <c r="A84" s="32"/>
      <c r="B84" s="151" t="s">
        <v>294</v>
      </c>
      <c r="C84" s="148" t="s">
        <v>77</v>
      </c>
      <c r="D84" s="144"/>
      <c r="E84" s="152"/>
      <c r="F84" s="138">
        <v>0.4</v>
      </c>
      <c r="G84" s="138">
        <v>4144.28</v>
      </c>
      <c r="H84" s="91">
        <f t="shared" si="6"/>
        <v>1.6577120000000001</v>
      </c>
      <c r="I84" s="13">
        <v>0</v>
      </c>
    </row>
    <row r="85" spans="1:9" ht="19.5" hidden="1" customHeight="1">
      <c r="A85" s="32"/>
      <c r="B85" s="70" t="s">
        <v>95</v>
      </c>
      <c r="C85" s="70"/>
      <c r="D85" s="70"/>
      <c r="E85" s="70"/>
      <c r="F85" s="70"/>
      <c r="G85" s="82"/>
      <c r="H85" s="95">
        <f>SUM(H58:H84)</f>
        <v>198.43631290000005</v>
      </c>
      <c r="I85" s="82"/>
    </row>
    <row r="86" spans="1:9" ht="18" hidden="1" customHeight="1">
      <c r="A86" s="32"/>
      <c r="B86" s="126" t="s">
        <v>116</v>
      </c>
      <c r="C86" s="153"/>
      <c r="D86" s="154"/>
      <c r="E86" s="155"/>
      <c r="F86" s="156">
        <v>1</v>
      </c>
      <c r="G86" s="157">
        <v>26471.200000000001</v>
      </c>
      <c r="H86" s="91">
        <f>G86*F86/1000</f>
        <v>26.4712</v>
      </c>
      <c r="I86" s="13">
        <v>0</v>
      </c>
    </row>
    <row r="87" spans="1:9" ht="15.75" customHeight="1">
      <c r="A87" s="189" t="s">
        <v>148</v>
      </c>
      <c r="B87" s="190"/>
      <c r="C87" s="190"/>
      <c r="D87" s="190"/>
      <c r="E87" s="190"/>
      <c r="F87" s="190"/>
      <c r="G87" s="190"/>
      <c r="H87" s="190"/>
      <c r="I87" s="191"/>
    </row>
    <row r="88" spans="1:9" ht="15.75" customHeight="1">
      <c r="A88" s="32">
        <v>18</v>
      </c>
      <c r="B88" s="121" t="s">
        <v>118</v>
      </c>
      <c r="C88" s="166" t="s">
        <v>54</v>
      </c>
      <c r="D88" s="51"/>
      <c r="E88" s="36">
        <v>6980.3</v>
      </c>
      <c r="F88" s="36">
        <f>SUM(E88*12)</f>
        <v>83763.600000000006</v>
      </c>
      <c r="G88" s="169">
        <v>3.22</v>
      </c>
      <c r="H88" s="91">
        <f>SUM(F88*G88/1000)</f>
        <v>269.71879200000001</v>
      </c>
      <c r="I88" s="13">
        <f>F88/12*G88</f>
        <v>22476.566000000003</v>
      </c>
    </row>
    <row r="89" spans="1:9" ht="31.5" customHeight="1">
      <c r="A89" s="32">
        <v>19</v>
      </c>
      <c r="B89" s="39" t="s">
        <v>78</v>
      </c>
      <c r="C89" s="166"/>
      <c r="D89" s="111"/>
      <c r="E89" s="158">
        <f>E88</f>
        <v>6980.3</v>
      </c>
      <c r="F89" s="36">
        <f>E89*12</f>
        <v>83763.600000000006</v>
      </c>
      <c r="G89" s="36">
        <v>3.64</v>
      </c>
      <c r="H89" s="91">
        <f>F89*G89/1000</f>
        <v>304.89950400000004</v>
      </c>
      <c r="I89" s="13">
        <f>F89/12*G89</f>
        <v>25408.292000000001</v>
      </c>
    </row>
    <row r="90" spans="1:9" ht="15.75" customHeight="1">
      <c r="A90" s="32"/>
      <c r="B90" s="40" t="s">
        <v>81</v>
      </c>
      <c r="C90" s="94"/>
      <c r="D90" s="93"/>
      <c r="E90" s="82"/>
      <c r="F90" s="82"/>
      <c r="G90" s="82"/>
      <c r="H90" s="95">
        <f>H89</f>
        <v>304.89950400000004</v>
      </c>
      <c r="I90" s="82">
        <f>I89+I88+I82+I75+I66+I64+I55+I53+I52+I51+I34+I33+I31+I30+I27+I26+I18+I17+I16</f>
        <v>148856.26172008889</v>
      </c>
    </row>
    <row r="91" spans="1:9" ht="15.75" customHeight="1">
      <c r="A91" s="200" t="s">
        <v>60</v>
      </c>
      <c r="B91" s="201"/>
      <c r="C91" s="201"/>
      <c r="D91" s="201"/>
      <c r="E91" s="201"/>
      <c r="F91" s="201"/>
      <c r="G91" s="201"/>
      <c r="H91" s="201"/>
      <c r="I91" s="202"/>
    </row>
    <row r="92" spans="1:9" ht="15.75" customHeight="1">
      <c r="A92" s="32">
        <v>20</v>
      </c>
      <c r="B92" s="52" t="s">
        <v>295</v>
      </c>
      <c r="C92" s="53" t="s">
        <v>82</v>
      </c>
      <c r="D92" s="39"/>
      <c r="E92" s="17"/>
      <c r="F92" s="36"/>
      <c r="G92" s="36">
        <v>868.99</v>
      </c>
      <c r="H92" s="110">
        <f>G92*F92/1000</f>
        <v>0</v>
      </c>
      <c r="I92" s="32">
        <f>G92*2</f>
        <v>1737.98</v>
      </c>
    </row>
    <row r="93" spans="1:9" ht="15.75" customHeight="1">
      <c r="A93" s="32">
        <v>21</v>
      </c>
      <c r="B93" s="52" t="s">
        <v>296</v>
      </c>
      <c r="C93" s="53" t="s">
        <v>110</v>
      </c>
      <c r="D93" s="14"/>
      <c r="E93" s="18"/>
      <c r="F93" s="13"/>
      <c r="G93" s="36">
        <v>14.36</v>
      </c>
      <c r="H93" s="91">
        <f t="shared" ref="H93" si="8">G93*F93/1000</f>
        <v>0</v>
      </c>
      <c r="I93" s="13">
        <f>G93*2</f>
        <v>28.72</v>
      </c>
    </row>
    <row r="94" spans="1:9" ht="15.75" customHeight="1">
      <c r="A94" s="32">
        <v>22</v>
      </c>
      <c r="B94" s="52" t="s">
        <v>297</v>
      </c>
      <c r="C94" s="53" t="s">
        <v>110</v>
      </c>
      <c r="D94" s="111"/>
      <c r="E94" s="36"/>
      <c r="F94" s="36"/>
      <c r="G94" s="36">
        <v>196.01</v>
      </c>
      <c r="H94" s="110">
        <f>G94*F94/1000</f>
        <v>0</v>
      </c>
      <c r="I94" s="13">
        <f>G94*4</f>
        <v>784.04</v>
      </c>
    </row>
    <row r="95" spans="1:9" ht="15.75" customHeight="1">
      <c r="A95" s="32">
        <v>23</v>
      </c>
      <c r="B95" s="52" t="s">
        <v>298</v>
      </c>
      <c r="C95" s="53" t="s">
        <v>110</v>
      </c>
      <c r="D95" s="111"/>
      <c r="E95" s="36"/>
      <c r="F95" s="36"/>
      <c r="G95" s="36">
        <v>20.350000000000001</v>
      </c>
      <c r="H95" s="110">
        <f t="shared" ref="H95:H98" si="9">G95*F95/1000</f>
        <v>0</v>
      </c>
      <c r="I95" s="13">
        <f>G95*1</f>
        <v>20.350000000000001</v>
      </c>
    </row>
    <row r="96" spans="1:9" ht="15.75" customHeight="1">
      <c r="A96" s="32">
        <v>24</v>
      </c>
      <c r="B96" s="52" t="s">
        <v>299</v>
      </c>
      <c r="C96" s="53" t="s">
        <v>110</v>
      </c>
      <c r="D96" s="111"/>
      <c r="E96" s="36"/>
      <c r="F96" s="36"/>
      <c r="G96" s="36">
        <v>95.25</v>
      </c>
      <c r="H96" s="110">
        <f t="shared" si="9"/>
        <v>0</v>
      </c>
      <c r="I96" s="13">
        <f>G96*1</f>
        <v>95.25</v>
      </c>
    </row>
    <row r="97" spans="1:9" ht="16.5" customHeight="1">
      <c r="A97" s="32">
        <v>25</v>
      </c>
      <c r="B97" s="52" t="s">
        <v>300</v>
      </c>
      <c r="C97" s="53" t="s">
        <v>110</v>
      </c>
      <c r="D97" s="111"/>
      <c r="E97" s="36"/>
      <c r="F97" s="36"/>
      <c r="G97" s="36">
        <v>9.77</v>
      </c>
      <c r="H97" s="110">
        <f t="shared" si="9"/>
        <v>0</v>
      </c>
      <c r="I97" s="13">
        <f>G97*1</f>
        <v>9.77</v>
      </c>
    </row>
    <row r="98" spans="1:9" ht="15.75" customHeight="1">
      <c r="A98" s="32">
        <v>26</v>
      </c>
      <c r="B98" s="52" t="s">
        <v>83</v>
      </c>
      <c r="C98" s="53" t="s">
        <v>110</v>
      </c>
      <c r="D98" s="39"/>
      <c r="E98" s="17"/>
      <c r="F98" s="36"/>
      <c r="G98" s="36">
        <v>197.48</v>
      </c>
      <c r="H98" s="110">
        <f t="shared" si="9"/>
        <v>0</v>
      </c>
      <c r="I98" s="13">
        <f>G98*1</f>
        <v>197.48</v>
      </c>
    </row>
    <row r="99" spans="1:9" ht="17.25" customHeight="1">
      <c r="A99" s="32">
        <v>27</v>
      </c>
      <c r="B99" s="52" t="s">
        <v>199</v>
      </c>
      <c r="C99" s="53" t="s">
        <v>191</v>
      </c>
      <c r="D99" s="39"/>
      <c r="E99" s="17"/>
      <c r="F99" s="36"/>
      <c r="G99" s="13">
        <v>134.12</v>
      </c>
      <c r="H99" s="110">
        <f>G99*F99/1000</f>
        <v>0</v>
      </c>
      <c r="I99" s="13">
        <f>G99*34</f>
        <v>4560.08</v>
      </c>
    </row>
    <row r="100" spans="1:9" ht="15.75" customHeight="1">
      <c r="A100" s="32" t="s">
        <v>304</v>
      </c>
      <c r="B100" s="52" t="s">
        <v>137</v>
      </c>
      <c r="C100" s="53" t="s">
        <v>110</v>
      </c>
      <c r="D100" s="39"/>
      <c r="E100" s="17"/>
      <c r="F100" s="36"/>
      <c r="G100" s="13">
        <v>55.55</v>
      </c>
      <c r="H100" s="110">
        <f>G100*F100/1000</f>
        <v>0</v>
      </c>
      <c r="I100" s="13">
        <f>G100*120</f>
        <v>6666</v>
      </c>
    </row>
    <row r="101" spans="1:9" ht="15.75" customHeight="1">
      <c r="A101" s="32">
        <v>29</v>
      </c>
      <c r="B101" s="52" t="s">
        <v>301</v>
      </c>
      <c r="C101" s="53" t="s">
        <v>110</v>
      </c>
      <c r="D101" s="47"/>
      <c r="E101" s="13"/>
      <c r="F101" s="13"/>
      <c r="G101" s="13">
        <v>89.59</v>
      </c>
      <c r="H101" s="110">
        <f t="shared" ref="H101:H103" si="10">G101*F101/1000</f>
        <v>0</v>
      </c>
      <c r="I101" s="13">
        <f>G101*2</f>
        <v>179.18</v>
      </c>
    </row>
    <row r="102" spans="1:9" ht="15.75" customHeight="1">
      <c r="A102" s="32">
        <v>30</v>
      </c>
      <c r="B102" s="52" t="s">
        <v>302</v>
      </c>
      <c r="C102" s="53" t="s">
        <v>154</v>
      </c>
      <c r="D102" s="111"/>
      <c r="E102" s="36"/>
      <c r="F102" s="36"/>
      <c r="G102" s="13">
        <v>546.01</v>
      </c>
      <c r="H102" s="110">
        <f t="shared" si="10"/>
        <v>0</v>
      </c>
      <c r="I102" s="13">
        <f>G102*1</f>
        <v>546.01</v>
      </c>
    </row>
    <row r="103" spans="1:9" ht="15.75" customHeight="1">
      <c r="A103" s="32">
        <v>31</v>
      </c>
      <c r="B103" s="52" t="s">
        <v>303</v>
      </c>
      <c r="C103" s="53" t="s">
        <v>85</v>
      </c>
      <c r="D103" s="111"/>
      <c r="E103" s="36"/>
      <c r="F103" s="36"/>
      <c r="G103" s="36">
        <v>203.68</v>
      </c>
      <c r="H103" s="110">
        <f t="shared" si="10"/>
        <v>0</v>
      </c>
      <c r="I103" s="13">
        <f>G103*1</f>
        <v>203.68</v>
      </c>
    </row>
    <row r="104" spans="1:9" ht="30.75" customHeight="1">
      <c r="A104" s="32">
        <v>32</v>
      </c>
      <c r="B104" s="52" t="s">
        <v>306</v>
      </c>
      <c r="C104" s="53" t="s">
        <v>82</v>
      </c>
      <c r="D104" s="111"/>
      <c r="E104" s="36"/>
      <c r="F104" s="36"/>
      <c r="G104" s="36">
        <v>699.74</v>
      </c>
      <c r="H104" s="110"/>
      <c r="I104" s="13">
        <f>G104*0.5</f>
        <v>349.87</v>
      </c>
    </row>
    <row r="105" spans="1:9" ht="15.75" customHeight="1">
      <c r="A105" s="32">
        <v>33</v>
      </c>
      <c r="B105" s="52" t="s">
        <v>307</v>
      </c>
      <c r="C105" s="53" t="s">
        <v>110</v>
      </c>
      <c r="D105" s="111"/>
      <c r="E105" s="36"/>
      <c r="F105" s="36"/>
      <c r="G105" s="36">
        <v>30.56</v>
      </c>
      <c r="H105" s="110"/>
      <c r="I105" s="13">
        <f>G105*1</f>
        <v>30.56</v>
      </c>
    </row>
    <row r="106" spans="1:9" ht="30" customHeight="1">
      <c r="A106" s="32">
        <v>34</v>
      </c>
      <c r="B106" s="52" t="s">
        <v>80</v>
      </c>
      <c r="C106" s="53" t="s">
        <v>110</v>
      </c>
      <c r="D106" s="111"/>
      <c r="E106" s="36"/>
      <c r="F106" s="36"/>
      <c r="G106" s="36">
        <v>86.69</v>
      </c>
      <c r="H106" s="110"/>
      <c r="I106" s="13">
        <f>G106*1</f>
        <v>86.69</v>
      </c>
    </row>
    <row r="107" spans="1:9" ht="30" customHeight="1">
      <c r="A107" s="32">
        <v>35</v>
      </c>
      <c r="B107" s="52" t="s">
        <v>308</v>
      </c>
      <c r="C107" s="53" t="s">
        <v>37</v>
      </c>
      <c r="D107" s="111"/>
      <c r="E107" s="36"/>
      <c r="F107" s="36"/>
      <c r="G107" s="36">
        <v>3724.37</v>
      </c>
      <c r="H107" s="110"/>
      <c r="I107" s="13">
        <f>G107*0.01</f>
        <v>37.243699999999997</v>
      </c>
    </row>
    <row r="108" spans="1:9" ht="28.5" customHeight="1">
      <c r="A108" s="32">
        <v>36</v>
      </c>
      <c r="B108" s="52" t="s">
        <v>309</v>
      </c>
      <c r="C108" s="53" t="s">
        <v>310</v>
      </c>
      <c r="D108" s="111"/>
      <c r="E108" s="36"/>
      <c r="F108" s="36"/>
      <c r="G108" s="36">
        <v>322.77</v>
      </c>
      <c r="H108" s="110"/>
      <c r="I108" s="13">
        <f>G108*1</f>
        <v>322.77</v>
      </c>
    </row>
    <row r="109" spans="1:9" ht="15.75" customHeight="1">
      <c r="A109" s="32"/>
      <c r="B109" s="45" t="s">
        <v>51</v>
      </c>
      <c r="C109" s="41"/>
      <c r="D109" s="48"/>
      <c r="E109" s="41">
        <v>1</v>
      </c>
      <c r="F109" s="41"/>
      <c r="G109" s="41"/>
      <c r="H109" s="41"/>
      <c r="I109" s="34">
        <f>SUM(I92:I108)-I100</f>
        <v>9189.673700000003</v>
      </c>
    </row>
    <row r="110" spans="1:9">
      <c r="A110" s="32"/>
      <c r="B110" s="47" t="s">
        <v>79</v>
      </c>
      <c r="C110" s="15"/>
      <c r="D110" s="15"/>
      <c r="E110" s="42"/>
      <c r="F110" s="42"/>
      <c r="G110" s="43"/>
      <c r="H110" s="43"/>
      <c r="I110" s="17"/>
    </row>
    <row r="111" spans="1:9">
      <c r="A111" s="49"/>
      <c r="B111" s="46" t="s">
        <v>179</v>
      </c>
      <c r="C111" s="35"/>
      <c r="D111" s="35"/>
      <c r="E111" s="35"/>
      <c r="F111" s="35"/>
      <c r="G111" s="35"/>
      <c r="H111" s="35"/>
      <c r="I111" s="44">
        <f>I90+I109</f>
        <v>158045.93542008891</v>
      </c>
    </row>
    <row r="112" spans="1:9">
      <c r="A112" s="203" t="s">
        <v>305</v>
      </c>
      <c r="B112" s="204"/>
      <c r="C112" s="204"/>
      <c r="D112" s="204"/>
      <c r="E112" s="204"/>
      <c r="F112" s="204"/>
      <c r="G112" s="204"/>
      <c r="H112" s="204"/>
      <c r="I112" s="204"/>
    </row>
    <row r="113" spans="1:9" ht="15.75">
      <c r="A113" s="192" t="s">
        <v>351</v>
      </c>
      <c r="B113" s="192"/>
      <c r="C113" s="192"/>
      <c r="D113" s="192"/>
      <c r="E113" s="192"/>
      <c r="F113" s="192"/>
      <c r="G113" s="192"/>
      <c r="H113" s="192"/>
      <c r="I113" s="192"/>
    </row>
    <row r="114" spans="1:9" ht="15.75" customHeight="1">
      <c r="A114" s="60"/>
      <c r="B114" s="193" t="s">
        <v>352</v>
      </c>
      <c r="C114" s="193"/>
      <c r="D114" s="193"/>
      <c r="E114" s="193"/>
      <c r="F114" s="193"/>
      <c r="G114" s="193"/>
      <c r="H114" s="75"/>
      <c r="I114" s="3"/>
    </row>
    <row r="115" spans="1:9">
      <c r="A115" s="69"/>
      <c r="B115" s="194" t="s">
        <v>6</v>
      </c>
      <c r="C115" s="194"/>
      <c r="D115" s="194"/>
      <c r="E115" s="194"/>
      <c r="F115" s="194"/>
      <c r="G115" s="194"/>
      <c r="H115" s="27"/>
      <c r="I115" s="5"/>
    </row>
    <row r="116" spans="1:9">
      <c r="A116" s="10"/>
      <c r="B116" s="10"/>
      <c r="C116" s="10"/>
      <c r="D116" s="10"/>
      <c r="E116" s="10"/>
      <c r="F116" s="10"/>
      <c r="G116" s="10"/>
      <c r="H116" s="10"/>
      <c r="I116" s="10"/>
    </row>
    <row r="117" spans="1:9" ht="15.75">
      <c r="A117" s="195" t="s">
        <v>7</v>
      </c>
      <c r="B117" s="195"/>
      <c r="C117" s="195"/>
      <c r="D117" s="195"/>
      <c r="E117" s="195"/>
      <c r="F117" s="195"/>
      <c r="G117" s="195"/>
      <c r="H117" s="195"/>
      <c r="I117" s="195"/>
    </row>
    <row r="118" spans="1:9" ht="15.75">
      <c r="A118" s="195" t="s">
        <v>8</v>
      </c>
      <c r="B118" s="195"/>
      <c r="C118" s="195"/>
      <c r="D118" s="195"/>
      <c r="E118" s="195"/>
      <c r="F118" s="195"/>
      <c r="G118" s="195"/>
      <c r="H118" s="195"/>
      <c r="I118" s="195"/>
    </row>
    <row r="119" spans="1:9" ht="15.75">
      <c r="A119" s="196" t="s">
        <v>61</v>
      </c>
      <c r="B119" s="196"/>
      <c r="C119" s="196"/>
      <c r="D119" s="196"/>
      <c r="E119" s="196"/>
      <c r="F119" s="196"/>
      <c r="G119" s="196"/>
      <c r="H119" s="196"/>
      <c r="I119" s="196"/>
    </row>
    <row r="120" spans="1:9" ht="15.75">
      <c r="A120" s="11"/>
    </row>
    <row r="121" spans="1:9" ht="15.75">
      <c r="A121" s="197" t="s">
        <v>9</v>
      </c>
      <c r="B121" s="197"/>
      <c r="C121" s="197"/>
      <c r="D121" s="197"/>
      <c r="E121" s="197"/>
      <c r="F121" s="197"/>
      <c r="G121" s="197"/>
      <c r="H121" s="197"/>
      <c r="I121" s="197"/>
    </row>
    <row r="122" spans="1:9" ht="15.75" customHeight="1">
      <c r="A122" s="4"/>
    </row>
    <row r="123" spans="1:9" ht="15.75" customHeight="1">
      <c r="B123" s="66" t="s">
        <v>10</v>
      </c>
      <c r="C123" s="198" t="s">
        <v>142</v>
      </c>
      <c r="D123" s="198"/>
      <c r="E123" s="198"/>
      <c r="F123" s="73"/>
      <c r="I123" s="68"/>
    </row>
    <row r="124" spans="1:9" ht="15.75" customHeight="1">
      <c r="A124" s="69"/>
      <c r="C124" s="194" t="s">
        <v>11</v>
      </c>
      <c r="D124" s="194"/>
      <c r="E124" s="194"/>
      <c r="F124" s="27"/>
      <c r="I124" s="67" t="s">
        <v>12</v>
      </c>
    </row>
    <row r="125" spans="1:9" ht="15.75" customHeight="1">
      <c r="A125" s="28"/>
      <c r="C125" s="12"/>
      <c r="D125" s="12"/>
      <c r="G125" s="12"/>
      <c r="H125" s="12"/>
    </row>
    <row r="126" spans="1:9" ht="15.75">
      <c r="B126" s="66" t="s">
        <v>13</v>
      </c>
      <c r="C126" s="199"/>
      <c r="D126" s="199"/>
      <c r="E126" s="199"/>
      <c r="F126" s="74"/>
      <c r="I126" s="68"/>
    </row>
    <row r="127" spans="1:9">
      <c r="A127" s="69"/>
      <c r="C127" s="188" t="s">
        <v>11</v>
      </c>
      <c r="D127" s="188"/>
      <c r="E127" s="188"/>
      <c r="F127" s="69"/>
      <c r="I127" s="67" t="s">
        <v>12</v>
      </c>
    </row>
    <row r="128" spans="1:9" ht="15.75">
      <c r="A128" s="4" t="s">
        <v>14</v>
      </c>
    </row>
    <row r="129" spans="1:9">
      <c r="A129" s="186" t="s">
        <v>15</v>
      </c>
      <c r="B129" s="186"/>
      <c r="C129" s="186"/>
      <c r="D129" s="186"/>
      <c r="E129" s="186"/>
      <c r="F129" s="186"/>
      <c r="G129" s="186"/>
      <c r="H129" s="186"/>
      <c r="I129" s="186"/>
    </row>
    <row r="130" spans="1:9" ht="45" customHeight="1">
      <c r="A130" s="187" t="s">
        <v>16</v>
      </c>
      <c r="B130" s="187"/>
      <c r="C130" s="187"/>
      <c r="D130" s="187"/>
      <c r="E130" s="187"/>
      <c r="F130" s="187"/>
      <c r="G130" s="187"/>
      <c r="H130" s="187"/>
      <c r="I130" s="187"/>
    </row>
    <row r="131" spans="1:9" ht="30" customHeight="1">
      <c r="A131" s="187" t="s">
        <v>17</v>
      </c>
      <c r="B131" s="187"/>
      <c r="C131" s="187"/>
      <c r="D131" s="187"/>
      <c r="E131" s="187"/>
      <c r="F131" s="187"/>
      <c r="G131" s="187"/>
      <c r="H131" s="187"/>
      <c r="I131" s="187"/>
    </row>
    <row r="132" spans="1:9" ht="30" customHeight="1">
      <c r="A132" s="187" t="s">
        <v>21</v>
      </c>
      <c r="B132" s="187"/>
      <c r="C132" s="187"/>
      <c r="D132" s="187"/>
      <c r="E132" s="187"/>
      <c r="F132" s="187"/>
      <c r="G132" s="187"/>
      <c r="H132" s="187"/>
      <c r="I132" s="187"/>
    </row>
    <row r="133" spans="1:9" ht="15" customHeight="1">
      <c r="A133" s="187" t="s">
        <v>20</v>
      </c>
      <c r="B133" s="187"/>
      <c r="C133" s="187"/>
      <c r="D133" s="187"/>
      <c r="E133" s="187"/>
      <c r="F133" s="187"/>
      <c r="G133" s="187"/>
      <c r="H133" s="187"/>
      <c r="I133" s="187"/>
    </row>
  </sheetData>
  <autoFilter ref="I12:I59"/>
  <mergeCells count="30">
    <mergeCell ref="A130:I130"/>
    <mergeCell ref="A131:I131"/>
    <mergeCell ref="A132:I132"/>
    <mergeCell ref="A133:I133"/>
    <mergeCell ref="A121:I121"/>
    <mergeCell ref="C123:E123"/>
    <mergeCell ref="C124:E124"/>
    <mergeCell ref="C126:E126"/>
    <mergeCell ref="C127:E127"/>
    <mergeCell ref="A129:I129"/>
    <mergeCell ref="A119:I119"/>
    <mergeCell ref="A15:I15"/>
    <mergeCell ref="A28:I28"/>
    <mergeCell ref="A45:I45"/>
    <mergeCell ref="A56:I56"/>
    <mergeCell ref="A113:I113"/>
    <mergeCell ref="B114:G114"/>
    <mergeCell ref="B115:G115"/>
    <mergeCell ref="A117:I117"/>
    <mergeCell ref="A118:I118"/>
    <mergeCell ref="A91:I91"/>
    <mergeCell ref="A112:I112"/>
    <mergeCell ref="R66:U66"/>
    <mergeCell ref="A87:I87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34"/>
  <sheetViews>
    <sheetView workbookViewId="0">
      <selection activeCell="A13" sqref="A13:XFD1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0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257</v>
      </c>
      <c r="I1" s="29"/>
      <c r="J1" s="1"/>
      <c r="K1" s="1"/>
      <c r="L1" s="1"/>
      <c r="M1" s="1"/>
    </row>
    <row r="2" spans="1:13" ht="15.75">
      <c r="A2" s="31" t="s">
        <v>62</v>
      </c>
      <c r="J2" s="2"/>
      <c r="K2" s="2"/>
      <c r="L2" s="2"/>
      <c r="M2" s="2"/>
    </row>
    <row r="3" spans="1:13" ht="15.75" customHeight="1">
      <c r="A3" s="210" t="s">
        <v>192</v>
      </c>
      <c r="B3" s="210"/>
      <c r="C3" s="210"/>
      <c r="D3" s="210"/>
      <c r="E3" s="210"/>
      <c r="F3" s="210"/>
      <c r="G3" s="210"/>
      <c r="H3" s="210"/>
      <c r="I3" s="210"/>
      <c r="J3" s="3"/>
      <c r="K3" s="3"/>
      <c r="L3" s="3"/>
    </row>
    <row r="4" spans="1:13" ht="31.5" customHeight="1">
      <c r="A4" s="211" t="s">
        <v>139</v>
      </c>
      <c r="B4" s="211"/>
      <c r="C4" s="211"/>
      <c r="D4" s="211"/>
      <c r="E4" s="211"/>
      <c r="F4" s="211"/>
      <c r="G4" s="211"/>
      <c r="H4" s="211"/>
      <c r="I4" s="211"/>
    </row>
    <row r="5" spans="1:13" ht="15.75">
      <c r="A5" s="210" t="s">
        <v>311</v>
      </c>
      <c r="B5" s="212"/>
      <c r="C5" s="212"/>
      <c r="D5" s="212"/>
      <c r="E5" s="212"/>
      <c r="F5" s="212"/>
      <c r="G5" s="212"/>
      <c r="H5" s="212"/>
      <c r="I5" s="212"/>
      <c r="J5" s="2"/>
      <c r="K5" s="2"/>
      <c r="L5" s="2"/>
      <c r="M5" s="2"/>
    </row>
    <row r="6" spans="1:13" ht="15.75">
      <c r="A6" s="2"/>
      <c r="B6" s="105"/>
      <c r="C6" s="105"/>
      <c r="D6" s="105"/>
      <c r="E6" s="105"/>
      <c r="F6" s="105"/>
      <c r="G6" s="105"/>
      <c r="H6" s="105"/>
      <c r="I6" s="33">
        <v>43434</v>
      </c>
      <c r="J6" s="2"/>
      <c r="K6" s="2"/>
      <c r="L6" s="2"/>
      <c r="M6" s="2"/>
    </row>
    <row r="7" spans="1:13" ht="15.75">
      <c r="B7" s="108"/>
      <c r="C7" s="108"/>
      <c r="D7" s="108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213" t="s">
        <v>259</v>
      </c>
      <c r="B8" s="213"/>
      <c r="C8" s="213"/>
      <c r="D8" s="213"/>
      <c r="E8" s="213"/>
      <c r="F8" s="213"/>
      <c r="G8" s="213"/>
      <c r="H8" s="213"/>
      <c r="I8" s="213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214" t="s">
        <v>175</v>
      </c>
      <c r="B10" s="214"/>
      <c r="C10" s="214"/>
      <c r="D10" s="214"/>
      <c r="E10" s="214"/>
      <c r="F10" s="214"/>
      <c r="G10" s="214"/>
      <c r="H10" s="214"/>
      <c r="I10" s="214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09" t="s">
        <v>59</v>
      </c>
      <c r="B14" s="209"/>
      <c r="C14" s="209"/>
      <c r="D14" s="209"/>
      <c r="E14" s="209"/>
      <c r="F14" s="209"/>
      <c r="G14" s="209"/>
      <c r="H14" s="209"/>
      <c r="I14" s="209"/>
      <c r="J14" s="8"/>
      <c r="K14" s="8"/>
      <c r="L14" s="8"/>
      <c r="M14" s="8"/>
    </row>
    <row r="15" spans="1:13" ht="15" customHeight="1">
      <c r="A15" s="205" t="s">
        <v>4</v>
      </c>
      <c r="B15" s="205"/>
      <c r="C15" s="205"/>
      <c r="D15" s="205"/>
      <c r="E15" s="205"/>
      <c r="F15" s="205"/>
      <c r="G15" s="205"/>
      <c r="H15" s="205"/>
      <c r="I15" s="205"/>
      <c r="J15" s="8"/>
      <c r="K15" s="8"/>
      <c r="L15" s="8"/>
      <c r="M15" s="8"/>
    </row>
    <row r="16" spans="1:13" ht="15.75" customHeight="1">
      <c r="A16" s="32">
        <v>1</v>
      </c>
      <c r="B16" s="121" t="s">
        <v>88</v>
      </c>
      <c r="C16" s="122" t="s">
        <v>89</v>
      </c>
      <c r="D16" s="121" t="s">
        <v>271</v>
      </c>
      <c r="E16" s="158">
        <v>208.08</v>
      </c>
      <c r="F16" s="159">
        <f>SUM(E16*156/100)</f>
        <v>324.60480000000001</v>
      </c>
      <c r="G16" s="159">
        <v>239.2</v>
      </c>
      <c r="H16" s="80">
        <f t="shared" ref="H16:H25" si="0">SUM(F16*G16/1000)</f>
        <v>77.645468160000007</v>
      </c>
      <c r="I16" s="13">
        <f>F16/12*G16</f>
        <v>6470.45568</v>
      </c>
      <c r="J16" s="24"/>
      <c r="K16" s="8"/>
      <c r="L16" s="8"/>
      <c r="M16" s="8"/>
    </row>
    <row r="17" spans="1:13" ht="15.75" customHeight="1">
      <c r="A17" s="32">
        <v>2</v>
      </c>
      <c r="B17" s="121" t="s">
        <v>119</v>
      </c>
      <c r="C17" s="122" t="s">
        <v>89</v>
      </c>
      <c r="D17" s="121" t="s">
        <v>272</v>
      </c>
      <c r="E17" s="158">
        <v>832.32</v>
      </c>
      <c r="F17" s="159">
        <f>SUM(E17*104/100)</f>
        <v>865.61279999999999</v>
      </c>
      <c r="G17" s="159">
        <v>239.2</v>
      </c>
      <c r="H17" s="80">
        <f t="shared" si="0"/>
        <v>207.05458175999999</v>
      </c>
      <c r="I17" s="13">
        <f>F17/12*G17</f>
        <v>17254.548479999998</v>
      </c>
      <c r="J17" s="25"/>
      <c r="K17" s="8"/>
      <c r="L17" s="8"/>
      <c r="M17" s="8"/>
    </row>
    <row r="18" spans="1:13" ht="15.75" customHeight="1">
      <c r="A18" s="32">
        <v>3</v>
      </c>
      <c r="B18" s="121" t="s">
        <v>120</v>
      </c>
      <c r="C18" s="122" t="s">
        <v>89</v>
      </c>
      <c r="D18" s="121" t="s">
        <v>273</v>
      </c>
      <c r="E18" s="158">
        <v>1040.4000000000001</v>
      </c>
      <c r="F18" s="159">
        <f>SUM(E18*18/100)</f>
        <v>187.27200000000002</v>
      </c>
      <c r="G18" s="159">
        <v>688.14</v>
      </c>
      <c r="H18" s="80">
        <f t="shared" si="0"/>
        <v>128.86935407999999</v>
      </c>
      <c r="I18" s="13">
        <f>F18/12*G18</f>
        <v>10739.112840000002</v>
      </c>
      <c r="J18" s="25"/>
      <c r="K18" s="8"/>
      <c r="L18" s="8"/>
      <c r="M18" s="8"/>
    </row>
    <row r="19" spans="1:13" ht="15.75" hidden="1" customHeight="1">
      <c r="A19" s="32"/>
      <c r="B19" s="121" t="s">
        <v>96</v>
      </c>
      <c r="C19" s="122" t="s">
        <v>97</v>
      </c>
      <c r="D19" s="121" t="s">
        <v>98</v>
      </c>
      <c r="E19" s="158">
        <v>28.2</v>
      </c>
      <c r="F19" s="159">
        <f>SUM(E19/10)</f>
        <v>2.82</v>
      </c>
      <c r="G19" s="159">
        <v>232.1</v>
      </c>
      <c r="H19" s="80">
        <f t="shared" si="0"/>
        <v>0.65452199999999994</v>
      </c>
      <c r="I19" s="13">
        <v>0</v>
      </c>
      <c r="J19" s="25"/>
      <c r="K19" s="8"/>
      <c r="L19" s="8"/>
      <c r="M19" s="8"/>
    </row>
    <row r="20" spans="1:13" ht="15.75" hidden="1" customHeight="1">
      <c r="A20" s="32">
        <v>4</v>
      </c>
      <c r="B20" s="121" t="s">
        <v>99</v>
      </c>
      <c r="C20" s="122" t="s">
        <v>89</v>
      </c>
      <c r="D20" s="121" t="s">
        <v>42</v>
      </c>
      <c r="E20" s="158">
        <v>30.6</v>
      </c>
      <c r="F20" s="159">
        <f>SUM(E20*2/100)</f>
        <v>0.61199999999999999</v>
      </c>
      <c r="G20" s="159">
        <v>297.19</v>
      </c>
      <c r="H20" s="80">
        <f t="shared" si="0"/>
        <v>0.18188028000000001</v>
      </c>
      <c r="I20" s="13">
        <f>F20/12*G20</f>
        <v>15.156689999999999</v>
      </c>
      <c r="J20" s="25"/>
      <c r="K20" s="8"/>
      <c r="L20" s="8"/>
      <c r="M20" s="8"/>
    </row>
    <row r="21" spans="1:13" ht="15.75" hidden="1" customHeight="1">
      <c r="A21" s="32">
        <v>5</v>
      </c>
      <c r="B21" s="121" t="s">
        <v>100</v>
      </c>
      <c r="C21" s="122" t="s">
        <v>89</v>
      </c>
      <c r="D21" s="121" t="s">
        <v>42</v>
      </c>
      <c r="E21" s="158">
        <v>10.06</v>
      </c>
      <c r="F21" s="159">
        <f>SUM(E21*2/100)</f>
        <v>0.20120000000000002</v>
      </c>
      <c r="G21" s="159">
        <v>294.77999999999997</v>
      </c>
      <c r="H21" s="80">
        <f t="shared" si="0"/>
        <v>5.9309736000000002E-2</v>
      </c>
      <c r="I21" s="13">
        <f>F21/12*G21</f>
        <v>4.9424780000000004</v>
      </c>
      <c r="J21" s="25"/>
      <c r="K21" s="8"/>
      <c r="L21" s="8"/>
      <c r="M21" s="8"/>
    </row>
    <row r="22" spans="1:13" ht="15.75" hidden="1" customHeight="1">
      <c r="A22" s="32"/>
      <c r="B22" s="121" t="s">
        <v>101</v>
      </c>
      <c r="C22" s="122" t="s">
        <v>52</v>
      </c>
      <c r="D22" s="121" t="s">
        <v>98</v>
      </c>
      <c r="E22" s="158">
        <v>769.2</v>
      </c>
      <c r="F22" s="159">
        <f>SUM(E22/100)</f>
        <v>7.6920000000000002</v>
      </c>
      <c r="G22" s="159">
        <v>367.27</v>
      </c>
      <c r="H22" s="80">
        <f t="shared" si="0"/>
        <v>2.8250408400000002</v>
      </c>
      <c r="I22" s="13">
        <v>0</v>
      </c>
      <c r="J22" s="25"/>
      <c r="K22" s="8"/>
      <c r="L22" s="8"/>
      <c r="M22" s="8"/>
    </row>
    <row r="23" spans="1:13" ht="15.75" hidden="1" customHeight="1">
      <c r="A23" s="32"/>
      <c r="B23" s="121" t="s">
        <v>102</v>
      </c>
      <c r="C23" s="122" t="s">
        <v>52</v>
      </c>
      <c r="D23" s="121" t="s">
        <v>98</v>
      </c>
      <c r="E23" s="160">
        <v>90</v>
      </c>
      <c r="F23" s="159">
        <f>SUM(E23/100)</f>
        <v>0.9</v>
      </c>
      <c r="G23" s="159">
        <v>60.41</v>
      </c>
      <c r="H23" s="80">
        <f t="shared" si="0"/>
        <v>5.4369000000000001E-2</v>
      </c>
      <c r="I23" s="13">
        <v>0</v>
      </c>
      <c r="J23" s="25"/>
      <c r="K23" s="8"/>
      <c r="L23" s="8"/>
      <c r="M23" s="8"/>
    </row>
    <row r="24" spans="1:13" ht="15.75" hidden="1" customHeight="1">
      <c r="A24" s="32">
        <v>6</v>
      </c>
      <c r="B24" s="121" t="s">
        <v>274</v>
      </c>
      <c r="C24" s="122" t="s">
        <v>52</v>
      </c>
      <c r="D24" s="121" t="s">
        <v>53</v>
      </c>
      <c r="E24" s="158">
        <v>30</v>
      </c>
      <c r="F24" s="159">
        <f>E24*1/100</f>
        <v>0.3</v>
      </c>
      <c r="G24" s="159">
        <v>294.77999999999997</v>
      </c>
      <c r="H24" s="80">
        <f t="shared" si="0"/>
        <v>8.8433999999999985E-2</v>
      </c>
      <c r="I24" s="13">
        <f>F24/12*G24</f>
        <v>7.3694999999999986</v>
      </c>
      <c r="J24" s="25"/>
      <c r="K24" s="8"/>
      <c r="L24" s="8"/>
      <c r="M24" s="8"/>
    </row>
    <row r="25" spans="1:13" ht="15.75" hidden="1" customHeight="1">
      <c r="A25" s="32">
        <v>7</v>
      </c>
      <c r="B25" s="121" t="s">
        <v>104</v>
      </c>
      <c r="C25" s="122" t="s">
        <v>52</v>
      </c>
      <c r="D25" s="121" t="s">
        <v>53</v>
      </c>
      <c r="E25" s="158">
        <v>21.6</v>
      </c>
      <c r="F25" s="159">
        <f>SUM(E25*1/100)</f>
        <v>0.21600000000000003</v>
      </c>
      <c r="G25" s="159">
        <v>710.37</v>
      </c>
      <c r="H25" s="80">
        <f t="shared" si="0"/>
        <v>0.15343992000000004</v>
      </c>
      <c r="I25" s="13">
        <f>F25/12*G25</f>
        <v>12.786660000000001</v>
      </c>
      <c r="J25" s="25"/>
      <c r="K25" s="8"/>
      <c r="L25" s="8"/>
      <c r="M25" s="8"/>
    </row>
    <row r="26" spans="1:13" ht="15.75" customHeight="1">
      <c r="A26" s="32">
        <v>4</v>
      </c>
      <c r="B26" s="121" t="s">
        <v>64</v>
      </c>
      <c r="C26" s="122" t="s">
        <v>33</v>
      </c>
      <c r="D26" s="121" t="s">
        <v>275</v>
      </c>
      <c r="E26" s="161">
        <v>0.1</v>
      </c>
      <c r="F26" s="159">
        <f>SUM(E26*218)</f>
        <v>21.8</v>
      </c>
      <c r="G26" s="159">
        <v>275.45</v>
      </c>
      <c r="H26" s="80">
        <f>SUM(F26*G26/1000)</f>
        <v>6.00481</v>
      </c>
      <c r="I26" s="13">
        <f>F26/12*G26</f>
        <v>500.40083333333331</v>
      </c>
      <c r="J26" s="26"/>
    </row>
    <row r="27" spans="1:13" ht="15.75" hidden="1" customHeight="1">
      <c r="A27" s="32">
        <v>9</v>
      </c>
      <c r="B27" s="162" t="s">
        <v>23</v>
      </c>
      <c r="C27" s="122" t="s">
        <v>24</v>
      </c>
      <c r="D27" s="162" t="s">
        <v>150</v>
      </c>
      <c r="E27" s="158">
        <v>6980.3</v>
      </c>
      <c r="F27" s="159">
        <f>SUM(E27*12)</f>
        <v>83763.600000000006</v>
      </c>
      <c r="G27" s="159">
        <v>4.3099999999999996</v>
      </c>
      <c r="H27" s="80">
        <f>SUM(F27*G27/1000)</f>
        <v>361.02111600000001</v>
      </c>
      <c r="I27" s="13">
        <f>F27/12*G27</f>
        <v>30085.092999999997</v>
      </c>
      <c r="J27" s="26"/>
    </row>
    <row r="28" spans="1:13" ht="15" customHeight="1">
      <c r="A28" s="205" t="s">
        <v>86</v>
      </c>
      <c r="B28" s="205"/>
      <c r="C28" s="205"/>
      <c r="D28" s="205"/>
      <c r="E28" s="205"/>
      <c r="F28" s="205"/>
      <c r="G28" s="205"/>
      <c r="H28" s="205"/>
      <c r="I28" s="205"/>
      <c r="J28" s="25"/>
      <c r="K28" s="8"/>
      <c r="L28" s="8"/>
      <c r="M28" s="8"/>
    </row>
    <row r="29" spans="1:13" ht="15.75" hidden="1" customHeight="1">
      <c r="A29" s="32"/>
      <c r="B29" s="100" t="s">
        <v>28</v>
      </c>
      <c r="C29" s="77"/>
      <c r="D29" s="76"/>
      <c r="E29" s="78"/>
      <c r="F29" s="79"/>
      <c r="G29" s="79"/>
      <c r="H29" s="80"/>
      <c r="I29" s="13"/>
      <c r="J29" s="25"/>
      <c r="K29" s="8"/>
      <c r="L29" s="8"/>
      <c r="M29" s="8"/>
    </row>
    <row r="30" spans="1:13" ht="15.75" hidden="1" customHeight="1">
      <c r="A30" s="32">
        <v>10</v>
      </c>
      <c r="B30" s="76" t="s">
        <v>108</v>
      </c>
      <c r="C30" s="77" t="s">
        <v>91</v>
      </c>
      <c r="D30" s="76" t="s">
        <v>185</v>
      </c>
      <c r="E30" s="79">
        <v>1168.05</v>
      </c>
      <c r="F30" s="79">
        <f>SUM(E30*52/1000)</f>
        <v>60.738599999999998</v>
      </c>
      <c r="G30" s="79">
        <v>155.88999999999999</v>
      </c>
      <c r="H30" s="80">
        <f t="shared" ref="H30:H36" si="1">SUM(F30*G30/1000)</f>
        <v>9.4685403539999982</v>
      </c>
      <c r="I30" s="13">
        <f>F30/6*G30</f>
        <v>1578.0900589999997</v>
      </c>
      <c r="J30" s="25"/>
      <c r="K30" s="8"/>
      <c r="L30" s="8"/>
      <c r="M30" s="8"/>
    </row>
    <row r="31" spans="1:13" ht="31.5" hidden="1" customHeight="1">
      <c r="A31" s="32">
        <v>11</v>
      </c>
      <c r="B31" s="76" t="s">
        <v>124</v>
      </c>
      <c r="C31" s="77" t="s">
        <v>91</v>
      </c>
      <c r="D31" s="76" t="s">
        <v>186</v>
      </c>
      <c r="E31" s="79">
        <v>1039.2</v>
      </c>
      <c r="F31" s="79">
        <f>SUM(E31*78/1000)</f>
        <v>81.057600000000008</v>
      </c>
      <c r="G31" s="79">
        <v>258.63</v>
      </c>
      <c r="H31" s="80">
        <f t="shared" si="1"/>
        <v>20.963927088000002</v>
      </c>
      <c r="I31" s="13">
        <f t="shared" ref="I31:I34" si="2">F31/6*G31</f>
        <v>3493.9878480000002</v>
      </c>
      <c r="J31" s="25"/>
      <c r="K31" s="8"/>
      <c r="L31" s="8"/>
      <c r="M31" s="8"/>
    </row>
    <row r="32" spans="1:13" ht="15.75" hidden="1" customHeight="1">
      <c r="A32" s="32">
        <v>16</v>
      </c>
      <c r="B32" s="76" t="s">
        <v>27</v>
      </c>
      <c r="C32" s="77" t="s">
        <v>91</v>
      </c>
      <c r="D32" s="76" t="s">
        <v>53</v>
      </c>
      <c r="E32" s="79">
        <v>584.03</v>
      </c>
      <c r="F32" s="79">
        <f>SUM(E32/1000)</f>
        <v>0.58402999999999994</v>
      </c>
      <c r="G32" s="79">
        <v>3020.33</v>
      </c>
      <c r="H32" s="80">
        <f t="shared" si="1"/>
        <v>1.7639633298999997</v>
      </c>
      <c r="I32" s="13">
        <f>F32*G32</f>
        <v>1763.9633298999997</v>
      </c>
      <c r="J32" s="25"/>
      <c r="K32" s="8"/>
      <c r="L32" s="8"/>
      <c r="M32" s="8"/>
    </row>
    <row r="33" spans="1:14" ht="15.75" hidden="1" customHeight="1">
      <c r="A33" s="32">
        <v>12</v>
      </c>
      <c r="B33" s="76" t="s">
        <v>123</v>
      </c>
      <c r="C33" s="77" t="s">
        <v>39</v>
      </c>
      <c r="D33" s="76" t="s">
        <v>63</v>
      </c>
      <c r="E33" s="79">
        <v>6</v>
      </c>
      <c r="F33" s="79">
        <f>E33*155/100</f>
        <v>9.3000000000000007</v>
      </c>
      <c r="G33" s="79">
        <v>1302.02</v>
      </c>
      <c r="H33" s="80">
        <f>G33*F33/1000</f>
        <v>12.108786</v>
      </c>
      <c r="I33" s="13">
        <f t="shared" si="2"/>
        <v>2018.1310000000001</v>
      </c>
      <c r="J33" s="25"/>
      <c r="K33" s="8"/>
      <c r="L33" s="8"/>
      <c r="M33" s="8"/>
    </row>
    <row r="34" spans="1:14" ht="15.75" hidden="1" customHeight="1">
      <c r="A34" s="32">
        <v>13</v>
      </c>
      <c r="B34" s="76" t="s">
        <v>107</v>
      </c>
      <c r="C34" s="77" t="s">
        <v>31</v>
      </c>
      <c r="D34" s="76" t="s">
        <v>63</v>
      </c>
      <c r="E34" s="83">
        <v>0.33333333333333331</v>
      </c>
      <c r="F34" s="79">
        <f>155/3</f>
        <v>51.666666666666664</v>
      </c>
      <c r="G34" s="79">
        <v>56.69</v>
      </c>
      <c r="H34" s="80">
        <f>SUM(G34*155/3/1000)</f>
        <v>2.9289833333333331</v>
      </c>
      <c r="I34" s="13">
        <f t="shared" si="2"/>
        <v>488.16388888888883</v>
      </c>
      <c r="J34" s="25"/>
      <c r="K34" s="8"/>
    </row>
    <row r="35" spans="1:14" ht="15.75" hidden="1" customHeight="1">
      <c r="A35" s="32"/>
      <c r="B35" s="76" t="s">
        <v>65</v>
      </c>
      <c r="C35" s="77" t="s">
        <v>33</v>
      </c>
      <c r="D35" s="76" t="s">
        <v>67</v>
      </c>
      <c r="E35" s="78"/>
      <c r="F35" s="79">
        <v>4</v>
      </c>
      <c r="G35" s="79">
        <v>180.15</v>
      </c>
      <c r="H35" s="80">
        <f t="shared" si="1"/>
        <v>0.72060000000000002</v>
      </c>
      <c r="I35" s="13">
        <v>0</v>
      </c>
      <c r="J35" s="26"/>
    </row>
    <row r="36" spans="1:14" ht="15.75" hidden="1" customHeight="1">
      <c r="A36" s="32"/>
      <c r="B36" s="76" t="s">
        <v>66</v>
      </c>
      <c r="C36" s="77" t="s">
        <v>32</v>
      </c>
      <c r="D36" s="76" t="s">
        <v>67</v>
      </c>
      <c r="E36" s="78"/>
      <c r="F36" s="79">
        <v>3</v>
      </c>
      <c r="G36" s="79">
        <v>1136.33</v>
      </c>
      <c r="H36" s="80">
        <f t="shared" si="1"/>
        <v>3.4089899999999997</v>
      </c>
      <c r="I36" s="13">
        <v>0</v>
      </c>
      <c r="J36" s="26"/>
    </row>
    <row r="37" spans="1:14" ht="15.75" customHeight="1">
      <c r="A37" s="32"/>
      <c r="B37" s="100" t="s">
        <v>5</v>
      </c>
      <c r="C37" s="77"/>
      <c r="D37" s="76"/>
      <c r="E37" s="78"/>
      <c r="F37" s="79"/>
      <c r="G37" s="79"/>
      <c r="H37" s="80" t="s">
        <v>150</v>
      </c>
      <c r="I37" s="13"/>
      <c r="J37" s="26"/>
    </row>
    <row r="38" spans="1:14" ht="15.75" customHeight="1">
      <c r="A38" s="32">
        <v>5</v>
      </c>
      <c r="B38" s="171" t="s">
        <v>26</v>
      </c>
      <c r="C38" s="122" t="s">
        <v>32</v>
      </c>
      <c r="D38" s="121"/>
      <c r="E38" s="158"/>
      <c r="F38" s="159">
        <v>5</v>
      </c>
      <c r="G38" s="159">
        <v>2083</v>
      </c>
      <c r="H38" s="80">
        <f t="shared" ref="H38:H44" si="3">SUM(F38*G38/1000)</f>
        <v>10.414999999999999</v>
      </c>
      <c r="I38" s="13">
        <f>F38/6*G38</f>
        <v>1735.8333333333335</v>
      </c>
      <c r="J38" s="26"/>
    </row>
    <row r="39" spans="1:14" ht="15.75" customHeight="1">
      <c r="A39" s="32">
        <v>6</v>
      </c>
      <c r="B39" s="171" t="s">
        <v>109</v>
      </c>
      <c r="C39" s="172" t="s">
        <v>29</v>
      </c>
      <c r="D39" s="121" t="s">
        <v>277</v>
      </c>
      <c r="E39" s="158">
        <v>153</v>
      </c>
      <c r="F39" s="173">
        <f>E39*30/1000</f>
        <v>4.59</v>
      </c>
      <c r="G39" s="159">
        <v>2868.09</v>
      </c>
      <c r="H39" s="80">
        <f>G39*F39/1000</f>
        <v>13.1645331</v>
      </c>
      <c r="I39" s="13">
        <f>F39/6*G39</f>
        <v>2194.0888500000001</v>
      </c>
      <c r="J39" s="26"/>
      <c r="L39" s="19"/>
      <c r="M39" s="20"/>
      <c r="N39" s="21"/>
    </row>
    <row r="40" spans="1:14" ht="15.75" customHeight="1">
      <c r="A40" s="32">
        <v>7</v>
      </c>
      <c r="B40" s="121" t="s">
        <v>68</v>
      </c>
      <c r="C40" s="122" t="s">
        <v>29</v>
      </c>
      <c r="D40" s="121" t="s">
        <v>90</v>
      </c>
      <c r="E40" s="159">
        <v>153</v>
      </c>
      <c r="F40" s="173">
        <f>SUM(E40*155/1000)</f>
        <v>23.715</v>
      </c>
      <c r="G40" s="159">
        <v>478.42</v>
      </c>
      <c r="H40" s="80">
        <f>G40*F40/1000</f>
        <v>11.345730300000001</v>
      </c>
      <c r="I40" s="13">
        <f>F40/6*G40</f>
        <v>1890.95505</v>
      </c>
      <c r="J40" s="26"/>
      <c r="L40" s="19"/>
      <c r="M40" s="20"/>
      <c r="N40" s="21"/>
    </row>
    <row r="41" spans="1:14" ht="15.75" hidden="1" customHeight="1">
      <c r="A41" s="32"/>
      <c r="B41" s="121" t="s">
        <v>84</v>
      </c>
      <c r="C41" s="122" t="s">
        <v>91</v>
      </c>
      <c r="D41" s="121" t="s">
        <v>278</v>
      </c>
      <c r="E41" s="159">
        <v>25</v>
      </c>
      <c r="F41" s="173">
        <f>SUM(E41*35/1000)</f>
        <v>0.875</v>
      </c>
      <c r="G41" s="159">
        <v>7915.6</v>
      </c>
      <c r="H41" s="80">
        <f>G41*F41/1000</f>
        <v>6.9261500000000007</v>
      </c>
      <c r="I41" s="13">
        <v>0</v>
      </c>
      <c r="J41" s="26"/>
      <c r="L41" s="19"/>
      <c r="M41" s="20"/>
      <c r="N41" s="21"/>
    </row>
    <row r="42" spans="1:14" ht="15.75" customHeight="1">
      <c r="A42" s="32">
        <v>8</v>
      </c>
      <c r="B42" s="121" t="s">
        <v>84</v>
      </c>
      <c r="C42" s="122" t="s">
        <v>91</v>
      </c>
      <c r="D42" s="121" t="s">
        <v>278</v>
      </c>
      <c r="E42" s="159">
        <v>25</v>
      </c>
      <c r="F42" s="173">
        <f>SUM(E42*35/1000)</f>
        <v>0.875</v>
      </c>
      <c r="G42" s="159">
        <v>7915.6</v>
      </c>
      <c r="H42" s="80">
        <f t="shared" si="3"/>
        <v>6.9261500000000007</v>
      </c>
      <c r="I42" s="13">
        <f>F42/6*G42</f>
        <v>1154.3583333333333</v>
      </c>
      <c r="J42" s="26"/>
      <c r="L42" s="19"/>
      <c r="M42" s="20"/>
      <c r="N42" s="21"/>
    </row>
    <row r="43" spans="1:14" ht="15.75" customHeight="1">
      <c r="A43" s="32">
        <v>9</v>
      </c>
      <c r="B43" s="121" t="s">
        <v>92</v>
      </c>
      <c r="C43" s="122" t="s">
        <v>91</v>
      </c>
      <c r="D43" s="121" t="s">
        <v>69</v>
      </c>
      <c r="E43" s="159">
        <v>153</v>
      </c>
      <c r="F43" s="173">
        <f>SUM(E43*45/1000)</f>
        <v>6.8849999999999998</v>
      </c>
      <c r="G43" s="159">
        <v>584.74</v>
      </c>
      <c r="H43" s="80">
        <f t="shared" si="3"/>
        <v>4.0259348999999993</v>
      </c>
      <c r="I43" s="13">
        <f>F43/7.5*G43</f>
        <v>536.79131999999993</v>
      </c>
      <c r="J43" s="26"/>
      <c r="L43" s="19"/>
      <c r="M43" s="20"/>
      <c r="N43" s="21"/>
    </row>
    <row r="44" spans="1:14" ht="15.75" customHeight="1">
      <c r="A44" s="133">
        <v>10</v>
      </c>
      <c r="B44" s="174" t="s">
        <v>70</v>
      </c>
      <c r="C44" s="175" t="s">
        <v>33</v>
      </c>
      <c r="D44" s="174"/>
      <c r="E44" s="176"/>
      <c r="F44" s="177">
        <v>0.9</v>
      </c>
      <c r="G44" s="177">
        <v>800</v>
      </c>
      <c r="H44" s="88">
        <f t="shared" si="3"/>
        <v>0.72</v>
      </c>
      <c r="I44" s="96">
        <f>F44/7.5*G44</f>
        <v>96.000000000000014</v>
      </c>
      <c r="J44" s="26"/>
      <c r="L44" s="19"/>
      <c r="M44" s="20"/>
      <c r="N44" s="21"/>
    </row>
    <row r="45" spans="1:14" ht="15.75" customHeight="1">
      <c r="A45" s="32">
        <v>11</v>
      </c>
      <c r="B45" s="165" t="s">
        <v>279</v>
      </c>
      <c r="C45" s="178" t="s">
        <v>29</v>
      </c>
      <c r="D45" s="165" t="s">
        <v>280</v>
      </c>
      <c r="E45" s="179">
        <v>4.2</v>
      </c>
      <c r="F45" s="37">
        <f>E45*12/1000</f>
        <v>5.0400000000000007E-2</v>
      </c>
      <c r="G45" s="37">
        <v>270.61</v>
      </c>
      <c r="H45" s="13"/>
      <c r="I45" s="13">
        <f>G45*F45/6</f>
        <v>2.2731240000000006</v>
      </c>
      <c r="J45" s="26"/>
      <c r="L45" s="19"/>
      <c r="M45" s="20"/>
      <c r="N45" s="21"/>
    </row>
    <row r="46" spans="1:14" ht="16.5" customHeight="1">
      <c r="A46" s="217" t="s">
        <v>146</v>
      </c>
      <c r="B46" s="218"/>
      <c r="C46" s="218"/>
      <c r="D46" s="218"/>
      <c r="E46" s="218"/>
      <c r="F46" s="218"/>
      <c r="G46" s="218"/>
      <c r="H46" s="218"/>
      <c r="I46" s="219"/>
      <c r="J46" s="26"/>
      <c r="L46" s="19"/>
      <c r="M46" s="20"/>
      <c r="N46" s="21"/>
    </row>
    <row r="47" spans="1:14" ht="30.75" hidden="1" customHeight="1">
      <c r="A47" s="32"/>
      <c r="B47" s="76" t="s">
        <v>130</v>
      </c>
      <c r="C47" s="77" t="s">
        <v>91</v>
      </c>
      <c r="D47" s="76" t="s">
        <v>42</v>
      </c>
      <c r="E47" s="78">
        <v>1895</v>
      </c>
      <c r="F47" s="79">
        <f>SUM(E47*2/1000)</f>
        <v>3.79</v>
      </c>
      <c r="G47" s="13">
        <v>849.49</v>
      </c>
      <c r="H47" s="80">
        <f t="shared" ref="H47:H55" si="4">SUM(F47*G47/1000)</f>
        <v>3.2195671000000003</v>
      </c>
      <c r="I47" s="13">
        <v>0</v>
      </c>
      <c r="J47" s="26"/>
      <c r="L47" s="19"/>
      <c r="M47" s="20"/>
      <c r="N47" s="21"/>
    </row>
    <row r="48" spans="1:14" ht="33" hidden="1" customHeight="1">
      <c r="A48" s="32"/>
      <c r="B48" s="76" t="s">
        <v>34</v>
      </c>
      <c r="C48" s="77" t="s">
        <v>91</v>
      </c>
      <c r="D48" s="76" t="s">
        <v>42</v>
      </c>
      <c r="E48" s="78">
        <v>118.2</v>
      </c>
      <c r="F48" s="79">
        <f>E48*2/1000</f>
        <v>0.2364</v>
      </c>
      <c r="G48" s="13">
        <v>579.48</v>
      </c>
      <c r="H48" s="80">
        <f t="shared" si="4"/>
        <v>0.13698907199999999</v>
      </c>
      <c r="I48" s="13">
        <v>0</v>
      </c>
      <c r="J48" s="26"/>
      <c r="L48" s="19"/>
      <c r="M48" s="20"/>
      <c r="N48" s="21"/>
    </row>
    <row r="49" spans="1:22" ht="32.25" hidden="1" customHeight="1">
      <c r="A49" s="32"/>
      <c r="B49" s="76" t="s">
        <v>35</v>
      </c>
      <c r="C49" s="77" t="s">
        <v>91</v>
      </c>
      <c r="D49" s="76" t="s">
        <v>42</v>
      </c>
      <c r="E49" s="78">
        <v>4675</v>
      </c>
      <c r="F49" s="79">
        <f>SUM(E49*2/1000)</f>
        <v>9.35</v>
      </c>
      <c r="G49" s="13">
        <v>579.48</v>
      </c>
      <c r="H49" s="80">
        <f t="shared" si="4"/>
        <v>5.4181379999999999</v>
      </c>
      <c r="I49" s="13">
        <v>0</v>
      </c>
      <c r="J49" s="26"/>
      <c r="L49" s="19"/>
      <c r="M49" s="20"/>
      <c r="N49" s="21"/>
    </row>
    <row r="50" spans="1:22" ht="31.5" hidden="1" customHeight="1">
      <c r="A50" s="32"/>
      <c r="B50" s="76" t="s">
        <v>36</v>
      </c>
      <c r="C50" s="77" t="s">
        <v>91</v>
      </c>
      <c r="D50" s="76" t="s">
        <v>42</v>
      </c>
      <c r="E50" s="78">
        <v>4675</v>
      </c>
      <c r="F50" s="79">
        <f>SUM(E50*2/1000)</f>
        <v>9.35</v>
      </c>
      <c r="G50" s="13">
        <v>606.77</v>
      </c>
      <c r="H50" s="80">
        <f t="shared" si="4"/>
        <v>5.6732994999999988</v>
      </c>
      <c r="I50" s="13">
        <v>0</v>
      </c>
      <c r="J50" s="26"/>
      <c r="L50" s="19"/>
      <c r="M50" s="20"/>
      <c r="N50" s="21"/>
    </row>
    <row r="51" spans="1:22" ht="38.25" hidden="1" customHeight="1">
      <c r="A51" s="32">
        <v>17</v>
      </c>
      <c r="B51" s="76" t="s">
        <v>56</v>
      </c>
      <c r="C51" s="77" t="s">
        <v>91</v>
      </c>
      <c r="D51" s="76" t="s">
        <v>164</v>
      </c>
      <c r="E51" s="78">
        <v>3988</v>
      </c>
      <c r="F51" s="79">
        <f>SUM(E51*5/1000)</f>
        <v>19.940000000000001</v>
      </c>
      <c r="G51" s="13">
        <v>1142.7</v>
      </c>
      <c r="H51" s="80">
        <f t="shared" si="4"/>
        <v>22.785438000000003</v>
      </c>
      <c r="I51" s="13">
        <f>F51/5*G51</f>
        <v>4557.0876000000007</v>
      </c>
      <c r="J51" s="26"/>
      <c r="L51" s="19"/>
      <c r="M51" s="20"/>
      <c r="N51" s="21"/>
    </row>
    <row r="52" spans="1:22" ht="36" hidden="1" customHeight="1">
      <c r="A52" s="32"/>
      <c r="B52" s="76" t="s">
        <v>93</v>
      </c>
      <c r="C52" s="77" t="s">
        <v>91</v>
      </c>
      <c r="D52" s="76" t="s">
        <v>42</v>
      </c>
      <c r="E52" s="78">
        <v>3988</v>
      </c>
      <c r="F52" s="79">
        <f>SUM(E52*2/1000)</f>
        <v>7.976</v>
      </c>
      <c r="G52" s="13">
        <v>1213.55</v>
      </c>
      <c r="H52" s="80">
        <f t="shared" si="4"/>
        <v>9.6792748</v>
      </c>
      <c r="I52" s="13">
        <v>0</v>
      </c>
      <c r="J52" s="26"/>
      <c r="L52" s="19"/>
      <c r="M52" s="20"/>
      <c r="N52" s="21"/>
    </row>
    <row r="53" spans="1:22" ht="30" hidden="1" customHeight="1">
      <c r="A53" s="32"/>
      <c r="B53" s="76" t="s">
        <v>94</v>
      </c>
      <c r="C53" s="77" t="s">
        <v>37</v>
      </c>
      <c r="D53" s="76" t="s">
        <v>42</v>
      </c>
      <c r="E53" s="78">
        <v>30</v>
      </c>
      <c r="F53" s="79">
        <f>SUM(E53*2/100)</f>
        <v>0.6</v>
      </c>
      <c r="G53" s="13">
        <v>2730.49</v>
      </c>
      <c r="H53" s="80">
        <f>SUM(F53*G53/1000)</f>
        <v>1.6382939999999999</v>
      </c>
      <c r="I53" s="13">
        <v>0</v>
      </c>
      <c r="J53" s="26"/>
      <c r="L53" s="19"/>
      <c r="M53" s="20"/>
      <c r="N53" s="21"/>
    </row>
    <row r="54" spans="1:22" ht="27" hidden="1" customHeight="1">
      <c r="A54" s="32"/>
      <c r="B54" s="76" t="s">
        <v>38</v>
      </c>
      <c r="C54" s="77" t="s">
        <v>39</v>
      </c>
      <c r="D54" s="76" t="s">
        <v>42</v>
      </c>
      <c r="E54" s="78">
        <v>1</v>
      </c>
      <c r="F54" s="79">
        <v>0.02</v>
      </c>
      <c r="G54" s="13">
        <v>5652.13</v>
      </c>
      <c r="H54" s="80">
        <f t="shared" si="4"/>
        <v>0.11304260000000001</v>
      </c>
      <c r="I54" s="13">
        <v>0</v>
      </c>
      <c r="J54" s="26"/>
      <c r="L54" s="19"/>
      <c r="M54" s="20"/>
      <c r="N54" s="21"/>
    </row>
    <row r="55" spans="1:22" ht="24" hidden="1" customHeight="1">
      <c r="A55" s="133">
        <v>18</v>
      </c>
      <c r="B55" s="85" t="s">
        <v>41</v>
      </c>
      <c r="C55" s="86" t="s">
        <v>110</v>
      </c>
      <c r="D55" s="85" t="s">
        <v>71</v>
      </c>
      <c r="E55" s="87">
        <v>236</v>
      </c>
      <c r="F55" s="90">
        <f>SUM(E55)*3</f>
        <v>708</v>
      </c>
      <c r="G55" s="96">
        <v>65.67</v>
      </c>
      <c r="H55" s="88">
        <f t="shared" si="4"/>
        <v>46.49436</v>
      </c>
      <c r="I55" s="96">
        <f>E55*G55</f>
        <v>15498.12</v>
      </c>
      <c r="J55" s="26"/>
      <c r="L55" s="19"/>
      <c r="M55" s="20"/>
      <c r="N55" s="21"/>
    </row>
    <row r="56" spans="1:22" ht="15.75" customHeight="1">
      <c r="A56" s="183">
        <v>12</v>
      </c>
      <c r="B56" s="39" t="s">
        <v>282</v>
      </c>
      <c r="C56" s="180" t="s">
        <v>110</v>
      </c>
      <c r="D56" s="121" t="s">
        <v>30</v>
      </c>
      <c r="E56" s="158">
        <v>5</v>
      </c>
      <c r="F56" s="181">
        <v>60</v>
      </c>
      <c r="G56" s="37">
        <v>903.71</v>
      </c>
      <c r="H56" s="182">
        <v>270.61</v>
      </c>
      <c r="I56" s="13">
        <f>G56*F56/12</f>
        <v>4518.55</v>
      </c>
      <c r="J56" s="71"/>
      <c r="L56" s="19"/>
      <c r="M56" s="20"/>
      <c r="N56" s="21"/>
    </row>
    <row r="57" spans="1:22" ht="15.75" customHeight="1">
      <c r="A57" s="206" t="s">
        <v>147</v>
      </c>
      <c r="B57" s="207"/>
      <c r="C57" s="207"/>
      <c r="D57" s="207"/>
      <c r="E57" s="207"/>
      <c r="F57" s="207"/>
      <c r="G57" s="207"/>
      <c r="H57" s="207"/>
      <c r="I57" s="208"/>
      <c r="J57" s="26"/>
      <c r="L57" s="19"/>
      <c r="M57" s="20"/>
      <c r="N57" s="21"/>
    </row>
    <row r="58" spans="1:22" ht="15.75" hidden="1" customHeight="1">
      <c r="A58" s="32"/>
      <c r="B58" s="100" t="s">
        <v>43</v>
      </c>
      <c r="C58" s="77"/>
      <c r="D58" s="76"/>
      <c r="E58" s="78"/>
      <c r="F58" s="79"/>
      <c r="G58" s="79"/>
      <c r="H58" s="80"/>
      <c r="I58" s="13"/>
      <c r="J58" s="26"/>
      <c r="L58" s="19"/>
      <c r="M58" s="20"/>
      <c r="N58" s="21"/>
    </row>
    <row r="59" spans="1:22" ht="31.5" hidden="1" customHeight="1">
      <c r="A59" s="32">
        <v>17</v>
      </c>
      <c r="B59" s="76" t="s">
        <v>131</v>
      </c>
      <c r="C59" s="77" t="s">
        <v>89</v>
      </c>
      <c r="D59" s="76" t="s">
        <v>111</v>
      </c>
      <c r="E59" s="78">
        <v>30</v>
      </c>
      <c r="F59" s="79">
        <f>SUM(E59*6/100)</f>
        <v>1.8</v>
      </c>
      <c r="G59" s="13">
        <v>1547.28</v>
      </c>
      <c r="H59" s="80">
        <f>SUM(F59*G59/1000)</f>
        <v>2.785104</v>
      </c>
      <c r="I59" s="13">
        <f>F59/6*G59</f>
        <v>464.18399999999997</v>
      </c>
      <c r="J59" s="26"/>
      <c r="L59" s="19"/>
    </row>
    <row r="60" spans="1:22" ht="15.75" hidden="1" customHeight="1">
      <c r="A60" s="32">
        <v>20</v>
      </c>
      <c r="B60" s="85" t="s">
        <v>132</v>
      </c>
      <c r="C60" s="86" t="s">
        <v>133</v>
      </c>
      <c r="D60" s="85" t="s">
        <v>42</v>
      </c>
      <c r="E60" s="87">
        <v>6</v>
      </c>
      <c r="F60" s="88">
        <v>12</v>
      </c>
      <c r="G60" s="13">
        <v>180.78</v>
      </c>
      <c r="H60" s="89">
        <f>G60*F60/1000</f>
        <v>2.1693600000000002</v>
      </c>
      <c r="I60" s="13">
        <f>F60/2*G60</f>
        <v>1084.68</v>
      </c>
    </row>
    <row r="61" spans="1:22" ht="15.75" hidden="1" customHeight="1">
      <c r="A61" s="32">
        <v>21</v>
      </c>
      <c r="B61" s="85" t="s">
        <v>134</v>
      </c>
      <c r="C61" s="86" t="s">
        <v>52</v>
      </c>
      <c r="D61" s="85" t="s">
        <v>40</v>
      </c>
      <c r="E61" s="87">
        <v>6</v>
      </c>
      <c r="F61" s="88">
        <f>E61*4/100</f>
        <v>0.24</v>
      </c>
      <c r="G61" s="13">
        <v>1547.28</v>
      </c>
      <c r="H61" s="89">
        <f>G61*F61/1000</f>
        <v>0.37134719999999999</v>
      </c>
      <c r="I61" s="13">
        <f>F61/4*G61</f>
        <v>92.836799999999997</v>
      </c>
    </row>
    <row r="62" spans="1:22" ht="15.75" customHeight="1">
      <c r="A62" s="32"/>
      <c r="B62" s="101" t="s">
        <v>44</v>
      </c>
      <c r="C62" s="86"/>
      <c r="D62" s="85"/>
      <c r="E62" s="87"/>
      <c r="F62" s="88"/>
      <c r="G62" s="13"/>
      <c r="H62" s="89"/>
      <c r="I62" s="13"/>
    </row>
    <row r="63" spans="1:22" ht="15.75" hidden="1" customHeight="1">
      <c r="A63" s="32">
        <v>22</v>
      </c>
      <c r="B63" s="85" t="s">
        <v>135</v>
      </c>
      <c r="C63" s="86" t="s">
        <v>52</v>
      </c>
      <c r="D63" s="85" t="s">
        <v>53</v>
      </c>
      <c r="E63" s="87">
        <v>997</v>
      </c>
      <c r="F63" s="88">
        <v>9.9700000000000006</v>
      </c>
      <c r="G63" s="13">
        <v>793.61</v>
      </c>
      <c r="H63" s="89">
        <f>F63*G63/1000</f>
        <v>7.9122917000000008</v>
      </c>
      <c r="I63" s="13">
        <f>G63*F63</f>
        <v>7912.2917000000007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customHeight="1">
      <c r="A64" s="32">
        <v>13</v>
      </c>
      <c r="B64" s="115" t="s">
        <v>136</v>
      </c>
      <c r="C64" s="116" t="s">
        <v>25</v>
      </c>
      <c r="D64" s="115" t="s">
        <v>30</v>
      </c>
      <c r="E64" s="117">
        <v>200</v>
      </c>
      <c r="F64" s="118">
        <f>E64*12</f>
        <v>2400</v>
      </c>
      <c r="G64" s="119">
        <v>1.2</v>
      </c>
      <c r="H64" s="88">
        <f>F64*G64/1000</f>
        <v>2.88</v>
      </c>
      <c r="I64" s="13">
        <f>F64/12*G64</f>
        <v>240</v>
      </c>
      <c r="J64" s="28"/>
      <c r="K64" s="28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7.25" customHeight="1">
      <c r="A65" s="32"/>
      <c r="B65" s="101" t="s">
        <v>45</v>
      </c>
      <c r="C65" s="86"/>
      <c r="D65" s="85"/>
      <c r="E65" s="87"/>
      <c r="F65" s="90"/>
      <c r="G65" s="90"/>
      <c r="H65" s="88" t="s">
        <v>150</v>
      </c>
      <c r="I65" s="13"/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6.5" customHeight="1">
      <c r="A66" s="32">
        <v>14</v>
      </c>
      <c r="B66" s="14" t="s">
        <v>46</v>
      </c>
      <c r="C66" s="16" t="s">
        <v>110</v>
      </c>
      <c r="D66" s="76" t="s">
        <v>67</v>
      </c>
      <c r="E66" s="18">
        <v>15</v>
      </c>
      <c r="F66" s="79">
        <v>15</v>
      </c>
      <c r="G66" s="137">
        <v>303.35000000000002</v>
      </c>
      <c r="H66" s="91">
        <f t="shared" ref="H66:H82" si="5">SUM(F66*G66/1000)</f>
        <v>4.5502500000000001</v>
      </c>
      <c r="I66" s="13">
        <f>G66</f>
        <v>303.35000000000002</v>
      </c>
      <c r="J66" s="5"/>
      <c r="K66" s="5"/>
      <c r="L66" s="5"/>
      <c r="M66" s="5"/>
      <c r="N66" s="5"/>
      <c r="O66" s="5"/>
      <c r="P66" s="5"/>
      <c r="Q66" s="5"/>
      <c r="R66" s="188"/>
      <c r="S66" s="188"/>
      <c r="T66" s="188"/>
      <c r="U66" s="188"/>
    </row>
    <row r="67" spans="1:21" ht="15.75" hidden="1" customHeight="1">
      <c r="A67" s="32">
        <v>25</v>
      </c>
      <c r="B67" s="14" t="s">
        <v>47</v>
      </c>
      <c r="C67" s="16" t="s">
        <v>110</v>
      </c>
      <c r="D67" s="76" t="s">
        <v>67</v>
      </c>
      <c r="E67" s="18">
        <v>10</v>
      </c>
      <c r="F67" s="79">
        <v>10</v>
      </c>
      <c r="G67" s="13">
        <v>76.25</v>
      </c>
      <c r="H67" s="91">
        <f t="shared" si="5"/>
        <v>0.76249999999999996</v>
      </c>
      <c r="I67" s="13">
        <f>G67</f>
        <v>76.25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2"/>
      <c r="B68" s="14" t="s">
        <v>48</v>
      </c>
      <c r="C68" s="16" t="s">
        <v>112</v>
      </c>
      <c r="D68" s="14" t="s">
        <v>53</v>
      </c>
      <c r="E68" s="78">
        <v>28608</v>
      </c>
      <c r="F68" s="13">
        <f>SUM(E68/100)</f>
        <v>286.08</v>
      </c>
      <c r="G68" s="13">
        <v>199.77</v>
      </c>
      <c r="H68" s="91">
        <f t="shared" si="5"/>
        <v>57.150201600000003</v>
      </c>
      <c r="I68" s="13">
        <f>F68*G68</f>
        <v>57150.2016</v>
      </c>
    </row>
    <row r="69" spans="1:21" ht="15" hidden="1" customHeight="1">
      <c r="A69" s="32"/>
      <c r="B69" s="14" t="s">
        <v>49</v>
      </c>
      <c r="C69" s="16" t="s">
        <v>113</v>
      </c>
      <c r="D69" s="14"/>
      <c r="E69" s="78">
        <v>28608</v>
      </c>
      <c r="F69" s="13">
        <f>SUM(E69/1000)</f>
        <v>28.608000000000001</v>
      </c>
      <c r="G69" s="13">
        <v>155.57</v>
      </c>
      <c r="H69" s="91">
        <f t="shared" si="5"/>
        <v>4.4505465599999994</v>
      </c>
      <c r="I69" s="13">
        <f t="shared" ref="I69:I73" si="6">F69*G69</f>
        <v>4450.5465599999998</v>
      </c>
    </row>
    <row r="70" spans="1:21" ht="13.5" hidden="1" customHeight="1">
      <c r="A70" s="32"/>
      <c r="B70" s="14" t="s">
        <v>50</v>
      </c>
      <c r="C70" s="16" t="s">
        <v>77</v>
      </c>
      <c r="D70" s="14" t="s">
        <v>53</v>
      </c>
      <c r="E70" s="78">
        <v>4550</v>
      </c>
      <c r="F70" s="13">
        <f>SUM(E70/100)</f>
        <v>45.5</v>
      </c>
      <c r="G70" s="13">
        <v>2074.63</v>
      </c>
      <c r="H70" s="91">
        <f t="shared" si="5"/>
        <v>94.395665000000008</v>
      </c>
      <c r="I70" s="13">
        <f t="shared" si="6"/>
        <v>94395.665000000008</v>
      </c>
    </row>
    <row r="71" spans="1:21" ht="16.5" hidden="1" customHeight="1">
      <c r="A71" s="32"/>
      <c r="B71" s="92" t="s">
        <v>114</v>
      </c>
      <c r="C71" s="16" t="s">
        <v>33</v>
      </c>
      <c r="D71" s="14"/>
      <c r="E71" s="78">
        <v>58.5</v>
      </c>
      <c r="F71" s="13">
        <f>SUM(E71)</f>
        <v>58.5</v>
      </c>
      <c r="G71" s="13">
        <v>45.32</v>
      </c>
      <c r="H71" s="91">
        <f t="shared" si="5"/>
        <v>2.6512199999999999</v>
      </c>
      <c r="I71" s="13">
        <f t="shared" si="6"/>
        <v>2651.22</v>
      </c>
    </row>
    <row r="72" spans="1:21" ht="18.75" hidden="1" customHeight="1">
      <c r="A72" s="32"/>
      <c r="B72" s="92" t="s">
        <v>115</v>
      </c>
      <c r="C72" s="16" t="s">
        <v>33</v>
      </c>
      <c r="D72" s="14"/>
      <c r="E72" s="78">
        <v>58.5</v>
      </c>
      <c r="F72" s="13">
        <f>SUM(E72)</f>
        <v>58.5</v>
      </c>
      <c r="G72" s="13">
        <v>42.28</v>
      </c>
      <c r="H72" s="91">
        <f t="shared" si="5"/>
        <v>2.4733800000000001</v>
      </c>
      <c r="I72" s="13">
        <f t="shared" si="6"/>
        <v>2473.38</v>
      </c>
    </row>
    <row r="73" spans="1:21" ht="20.25" hidden="1" customHeight="1">
      <c r="A73" s="32"/>
      <c r="B73" s="14" t="s">
        <v>57</v>
      </c>
      <c r="C73" s="16" t="s">
        <v>58</v>
      </c>
      <c r="D73" s="14" t="s">
        <v>53</v>
      </c>
      <c r="E73" s="18">
        <v>5</v>
      </c>
      <c r="F73" s="79">
        <v>5</v>
      </c>
      <c r="G73" s="13">
        <v>49.88</v>
      </c>
      <c r="H73" s="91">
        <f t="shared" si="5"/>
        <v>0.24940000000000001</v>
      </c>
      <c r="I73" s="13">
        <f t="shared" si="6"/>
        <v>249.4</v>
      </c>
    </row>
    <row r="74" spans="1:21" ht="24.75" customHeight="1">
      <c r="A74" s="32"/>
      <c r="B74" s="167" t="s">
        <v>286</v>
      </c>
      <c r="C74" s="166"/>
      <c r="D74" s="39"/>
      <c r="E74" s="17"/>
      <c r="F74" s="119"/>
      <c r="G74" s="36"/>
      <c r="H74" s="91"/>
      <c r="I74" s="13"/>
    </row>
    <row r="75" spans="1:21" ht="30.75" customHeight="1">
      <c r="A75" s="32">
        <v>15</v>
      </c>
      <c r="B75" s="39" t="s">
        <v>287</v>
      </c>
      <c r="C75" s="168" t="s">
        <v>288</v>
      </c>
      <c r="D75" s="39" t="s">
        <v>276</v>
      </c>
      <c r="E75" s="17">
        <v>6980.3</v>
      </c>
      <c r="F75" s="36">
        <f>E75*12</f>
        <v>83763.600000000006</v>
      </c>
      <c r="G75" s="36">
        <v>2.37</v>
      </c>
      <c r="H75" s="91"/>
      <c r="I75" s="13">
        <f>G75*F75/12</f>
        <v>16543.311000000002</v>
      </c>
    </row>
    <row r="76" spans="1:21" ht="15" customHeight="1">
      <c r="A76" s="32"/>
      <c r="B76" s="104" t="s">
        <v>72</v>
      </c>
      <c r="C76" s="16"/>
      <c r="D76" s="14"/>
      <c r="E76" s="18"/>
      <c r="F76" s="13"/>
      <c r="G76" s="13"/>
      <c r="H76" s="91" t="s">
        <v>150</v>
      </c>
      <c r="I76" s="13"/>
    </row>
    <row r="77" spans="1:21" ht="27" hidden="1" customHeight="1">
      <c r="A77" s="32">
        <v>16</v>
      </c>
      <c r="B77" s="14" t="s">
        <v>73</v>
      </c>
      <c r="C77" s="16" t="s">
        <v>75</v>
      </c>
      <c r="D77" s="14"/>
      <c r="E77" s="18">
        <v>10</v>
      </c>
      <c r="F77" s="13">
        <v>1</v>
      </c>
      <c r="G77" s="13">
        <v>501.62</v>
      </c>
      <c r="H77" s="91">
        <f t="shared" si="5"/>
        <v>0.50161999999999995</v>
      </c>
      <c r="I77" s="13">
        <f>G77*2</f>
        <v>1003.24</v>
      </c>
    </row>
    <row r="78" spans="1:21" ht="21.75" hidden="1" customHeight="1">
      <c r="A78" s="32"/>
      <c r="B78" s="14" t="s">
        <v>74</v>
      </c>
      <c r="C78" s="16" t="s">
        <v>31</v>
      </c>
      <c r="D78" s="14"/>
      <c r="E78" s="18">
        <v>3</v>
      </c>
      <c r="F78" s="71">
        <v>3</v>
      </c>
      <c r="G78" s="13">
        <v>852.99</v>
      </c>
      <c r="H78" s="91">
        <f>F78*G78/1000</f>
        <v>2.5589700000000004</v>
      </c>
      <c r="I78" s="13">
        <v>0</v>
      </c>
    </row>
    <row r="79" spans="1:21" ht="30.75" hidden="1" customHeight="1">
      <c r="A79" s="32"/>
      <c r="B79" s="14" t="s">
        <v>117</v>
      </c>
      <c r="C79" s="16" t="s">
        <v>31</v>
      </c>
      <c r="D79" s="14"/>
      <c r="E79" s="18">
        <v>1</v>
      </c>
      <c r="F79" s="13">
        <v>1</v>
      </c>
      <c r="G79" s="13">
        <v>358.51</v>
      </c>
      <c r="H79" s="91">
        <f>G79*F79/1000</f>
        <v>0.35851</v>
      </c>
      <c r="I79" s="13">
        <v>0</v>
      </c>
    </row>
    <row r="80" spans="1:21" ht="30.75" customHeight="1">
      <c r="A80" s="32">
        <v>16</v>
      </c>
      <c r="B80" s="39" t="s">
        <v>293</v>
      </c>
      <c r="C80" s="166" t="s">
        <v>110</v>
      </c>
      <c r="D80" s="39" t="s">
        <v>30</v>
      </c>
      <c r="E80" s="17">
        <v>2</v>
      </c>
      <c r="F80" s="36">
        <v>24</v>
      </c>
      <c r="G80" s="36">
        <v>55.55</v>
      </c>
      <c r="H80" s="91">
        <f>G80*F80/1000</f>
        <v>1.3331999999999997</v>
      </c>
      <c r="I80" s="13">
        <f>G80*F80/12</f>
        <v>111.09999999999998</v>
      </c>
    </row>
    <row r="81" spans="1:9" ht="23.25" hidden="1" customHeight="1">
      <c r="A81" s="32"/>
      <c r="B81" s="94" t="s">
        <v>76</v>
      </c>
      <c r="C81" s="16"/>
      <c r="D81" s="14"/>
      <c r="E81" s="18"/>
      <c r="F81" s="13"/>
      <c r="G81" s="13" t="s">
        <v>150</v>
      </c>
      <c r="H81" s="91" t="s">
        <v>150</v>
      </c>
      <c r="I81" s="13"/>
    </row>
    <row r="82" spans="1:9" ht="23.25" hidden="1" customHeight="1">
      <c r="A82" s="32"/>
      <c r="B82" s="47" t="s">
        <v>165</v>
      </c>
      <c r="C82" s="16" t="s">
        <v>77</v>
      </c>
      <c r="D82" s="14"/>
      <c r="E82" s="18"/>
      <c r="F82" s="13">
        <v>1.2</v>
      </c>
      <c r="G82" s="13">
        <v>2759.44</v>
      </c>
      <c r="H82" s="91">
        <f t="shared" si="5"/>
        <v>3.311328</v>
      </c>
      <c r="I82" s="13">
        <v>0</v>
      </c>
    </row>
    <row r="83" spans="1:9" ht="20.25" hidden="1" customHeight="1">
      <c r="A83" s="32"/>
      <c r="B83" s="70" t="s">
        <v>95</v>
      </c>
      <c r="C83" s="70"/>
      <c r="D83" s="70"/>
      <c r="E83" s="70"/>
      <c r="F83" s="70"/>
      <c r="G83" s="82"/>
      <c r="H83" s="95">
        <f>SUM(H59:H82)</f>
        <v>190.86489406000001</v>
      </c>
      <c r="I83" s="82"/>
    </row>
    <row r="84" spans="1:9" ht="20.25" hidden="1" customHeight="1">
      <c r="A84" s="32"/>
      <c r="B84" s="102" t="s">
        <v>116</v>
      </c>
      <c r="C84" s="23"/>
      <c r="D84" s="22"/>
      <c r="E84" s="72"/>
      <c r="F84" s="103">
        <v>1</v>
      </c>
      <c r="G84" s="13">
        <v>23072.1</v>
      </c>
      <c r="H84" s="91">
        <f>G84*F84/1000</f>
        <v>23.072099999999999</v>
      </c>
      <c r="I84" s="13">
        <v>0</v>
      </c>
    </row>
    <row r="85" spans="1:9" ht="15.75" customHeight="1">
      <c r="A85" s="189" t="s">
        <v>148</v>
      </c>
      <c r="B85" s="190"/>
      <c r="C85" s="190"/>
      <c r="D85" s="190"/>
      <c r="E85" s="190"/>
      <c r="F85" s="190"/>
      <c r="G85" s="190"/>
      <c r="H85" s="190"/>
      <c r="I85" s="191"/>
    </row>
    <row r="86" spans="1:9" ht="15.75" customHeight="1">
      <c r="A86" s="32">
        <v>17</v>
      </c>
      <c r="B86" s="121" t="s">
        <v>118</v>
      </c>
      <c r="C86" s="166" t="s">
        <v>54</v>
      </c>
      <c r="D86" s="51"/>
      <c r="E86" s="36">
        <v>6980.3</v>
      </c>
      <c r="F86" s="36">
        <f>SUM(E86*12)</f>
        <v>83763.600000000006</v>
      </c>
      <c r="G86" s="169">
        <v>3.22</v>
      </c>
      <c r="H86" s="91">
        <f>SUM(F86*G86/1000)</f>
        <v>269.71879200000001</v>
      </c>
      <c r="I86" s="13">
        <f>F86/12*G86</f>
        <v>22476.566000000003</v>
      </c>
    </row>
    <row r="87" spans="1:9" ht="31.5" customHeight="1">
      <c r="A87" s="32">
        <v>18</v>
      </c>
      <c r="B87" s="39" t="s">
        <v>78</v>
      </c>
      <c r="C87" s="166"/>
      <c r="D87" s="111"/>
      <c r="E87" s="158">
        <f>E86</f>
        <v>6980.3</v>
      </c>
      <c r="F87" s="36">
        <f>E87*12</f>
        <v>83763.600000000006</v>
      </c>
      <c r="G87" s="36">
        <v>3.64</v>
      </c>
      <c r="H87" s="91">
        <f>F87*G87/1000</f>
        <v>304.89950400000004</v>
      </c>
      <c r="I87" s="13">
        <f>F87/12*G87</f>
        <v>25408.292000000001</v>
      </c>
    </row>
    <row r="88" spans="1:9" ht="15.75" customHeight="1">
      <c r="A88" s="32"/>
      <c r="B88" s="40" t="s">
        <v>81</v>
      </c>
      <c r="C88" s="94"/>
      <c r="D88" s="93"/>
      <c r="E88" s="82"/>
      <c r="F88" s="82"/>
      <c r="G88" s="82"/>
      <c r="H88" s="95">
        <f>H87</f>
        <v>304.89950400000004</v>
      </c>
      <c r="I88" s="82">
        <f>I87+I86+I80+I75+I66+I64+I56+I45+I44+I43+I42+I40+I39+I38+I26+I18+I17+I16</f>
        <v>112175.98684400001</v>
      </c>
    </row>
    <row r="89" spans="1:9" ht="15.75" customHeight="1">
      <c r="A89" s="200" t="s">
        <v>60</v>
      </c>
      <c r="B89" s="201"/>
      <c r="C89" s="201"/>
      <c r="D89" s="201"/>
      <c r="E89" s="201"/>
      <c r="F89" s="201"/>
      <c r="G89" s="201"/>
      <c r="H89" s="201"/>
      <c r="I89" s="202"/>
    </row>
    <row r="90" spans="1:9" ht="15.75" customHeight="1">
      <c r="A90" s="32">
        <v>19</v>
      </c>
      <c r="B90" s="52" t="s">
        <v>299</v>
      </c>
      <c r="C90" s="53" t="s">
        <v>110</v>
      </c>
      <c r="D90" s="14"/>
      <c r="E90" s="18"/>
      <c r="F90" s="13">
        <v>1440</v>
      </c>
      <c r="G90" s="36">
        <v>95.25</v>
      </c>
      <c r="H90" s="91">
        <f t="shared" ref="H90" si="7">G90*F90/1000</f>
        <v>137.16</v>
      </c>
      <c r="I90" s="13">
        <f>G90*1</f>
        <v>95.25</v>
      </c>
    </row>
    <row r="91" spans="1:9" ht="18" customHeight="1">
      <c r="A91" s="32">
        <v>20</v>
      </c>
      <c r="B91" s="52" t="s">
        <v>312</v>
      </c>
      <c r="C91" s="53" t="s">
        <v>110</v>
      </c>
      <c r="D91" s="47"/>
      <c r="E91" s="36"/>
      <c r="F91" s="36">
        <f>1/10</f>
        <v>0.1</v>
      </c>
      <c r="G91" s="36">
        <v>89.92</v>
      </c>
      <c r="H91" s="110">
        <f>G91*F91/1000</f>
        <v>8.9920000000000017E-3</v>
      </c>
      <c r="I91" s="13">
        <f>G91*1</f>
        <v>89.92</v>
      </c>
    </row>
    <row r="92" spans="1:9" ht="18" customHeight="1">
      <c r="A92" s="32">
        <v>21</v>
      </c>
      <c r="B92" s="52" t="s">
        <v>313</v>
      </c>
      <c r="C92" s="53" t="s">
        <v>110</v>
      </c>
      <c r="D92" s="47"/>
      <c r="E92" s="36"/>
      <c r="F92" s="36">
        <f>0.218/10</f>
        <v>2.18E-2</v>
      </c>
      <c r="G92" s="36">
        <v>151.31</v>
      </c>
      <c r="H92" s="110">
        <f>G92*F92/1000</f>
        <v>3.298558E-3</v>
      </c>
      <c r="I92" s="13">
        <f>G92*2</f>
        <v>302.62</v>
      </c>
    </row>
    <row r="93" spans="1:9" ht="18" customHeight="1">
      <c r="A93" s="32">
        <v>22</v>
      </c>
      <c r="B93" s="52" t="s">
        <v>314</v>
      </c>
      <c r="C93" s="53" t="s">
        <v>110</v>
      </c>
      <c r="D93" s="47"/>
      <c r="E93" s="36"/>
      <c r="F93" s="36"/>
      <c r="G93" s="36">
        <v>4.46</v>
      </c>
      <c r="H93" s="110"/>
      <c r="I93" s="13">
        <f>G93*2</f>
        <v>8.92</v>
      </c>
    </row>
    <row r="94" spans="1:9" ht="18" customHeight="1">
      <c r="A94" s="32">
        <v>23</v>
      </c>
      <c r="B94" s="52" t="s">
        <v>315</v>
      </c>
      <c r="C94" s="53" t="s">
        <v>110</v>
      </c>
      <c r="D94" s="47"/>
      <c r="E94" s="36"/>
      <c r="F94" s="36"/>
      <c r="G94" s="36">
        <v>5.43</v>
      </c>
      <c r="H94" s="110"/>
      <c r="I94" s="13">
        <f>G94*2</f>
        <v>10.86</v>
      </c>
    </row>
    <row r="95" spans="1:9" ht="18" customHeight="1">
      <c r="A95" s="32">
        <v>24</v>
      </c>
      <c r="B95" s="52" t="s">
        <v>83</v>
      </c>
      <c r="C95" s="53" t="s">
        <v>110</v>
      </c>
      <c r="D95" s="47"/>
      <c r="E95" s="36"/>
      <c r="F95" s="36"/>
      <c r="G95" s="36">
        <v>197.48</v>
      </c>
      <c r="H95" s="110"/>
      <c r="I95" s="13">
        <f>G95*7</f>
        <v>1382.36</v>
      </c>
    </row>
    <row r="96" spans="1:9" ht="17.25" customHeight="1">
      <c r="A96" s="32">
        <v>25</v>
      </c>
      <c r="B96" s="125" t="s">
        <v>316</v>
      </c>
      <c r="C96" s="114" t="s">
        <v>75</v>
      </c>
      <c r="D96" s="47"/>
      <c r="E96" s="36"/>
      <c r="F96" s="36"/>
      <c r="G96" s="36">
        <v>4261.8900000000003</v>
      </c>
      <c r="H96" s="110"/>
      <c r="I96" s="13">
        <f>G96*0.1</f>
        <v>426.18900000000008</v>
      </c>
    </row>
    <row r="97" spans="1:9" ht="18" customHeight="1">
      <c r="A97" s="32">
        <v>26</v>
      </c>
      <c r="B97" s="125" t="s">
        <v>326</v>
      </c>
      <c r="C97" s="114" t="s">
        <v>110</v>
      </c>
      <c r="D97" s="47"/>
      <c r="E97" s="36"/>
      <c r="F97" s="36"/>
      <c r="G97" s="36">
        <v>250</v>
      </c>
      <c r="H97" s="110"/>
      <c r="I97" s="13">
        <f>G97*1</f>
        <v>250</v>
      </c>
    </row>
    <row r="98" spans="1:9" ht="30.75" customHeight="1">
      <c r="A98" s="32">
        <v>27</v>
      </c>
      <c r="B98" s="52" t="s">
        <v>317</v>
      </c>
      <c r="C98" s="53" t="s">
        <v>210</v>
      </c>
      <c r="D98" s="47"/>
      <c r="E98" s="36"/>
      <c r="F98" s="36"/>
      <c r="G98" s="36">
        <v>1146</v>
      </c>
      <c r="H98" s="110"/>
      <c r="I98" s="13">
        <f>G98*5</f>
        <v>5730</v>
      </c>
    </row>
    <row r="99" spans="1:9" ht="18" customHeight="1">
      <c r="A99" s="32">
        <v>28</v>
      </c>
      <c r="B99" s="52" t="s">
        <v>318</v>
      </c>
      <c r="C99" s="53" t="s">
        <v>110</v>
      </c>
      <c r="D99" s="47"/>
      <c r="E99" s="36"/>
      <c r="F99" s="36"/>
      <c r="G99" s="36">
        <v>12.8</v>
      </c>
      <c r="H99" s="110"/>
      <c r="I99" s="13">
        <f>G99*1</f>
        <v>12.8</v>
      </c>
    </row>
    <row r="100" spans="1:9" ht="17.25" customHeight="1">
      <c r="A100" s="32">
        <v>29</v>
      </c>
      <c r="B100" s="52" t="s">
        <v>319</v>
      </c>
      <c r="C100" s="53" t="s">
        <v>110</v>
      </c>
      <c r="D100" s="47"/>
      <c r="E100" s="36"/>
      <c r="F100" s="36"/>
      <c r="G100" s="36">
        <v>6.84</v>
      </c>
      <c r="H100" s="110"/>
      <c r="I100" s="13">
        <f>G100*1</f>
        <v>6.84</v>
      </c>
    </row>
    <row r="101" spans="1:9" ht="16.5" customHeight="1">
      <c r="A101" s="32">
        <v>30</v>
      </c>
      <c r="B101" s="125" t="s">
        <v>320</v>
      </c>
      <c r="C101" s="114" t="s">
        <v>110</v>
      </c>
      <c r="D101" s="47"/>
      <c r="E101" s="36"/>
      <c r="F101" s="36"/>
      <c r="G101" s="36">
        <v>169.36</v>
      </c>
      <c r="H101" s="110"/>
      <c r="I101" s="13">
        <f>G101*1</f>
        <v>169.36</v>
      </c>
    </row>
    <row r="102" spans="1:9" ht="16.5" customHeight="1">
      <c r="A102" s="32">
        <v>31</v>
      </c>
      <c r="B102" s="52" t="s">
        <v>321</v>
      </c>
      <c r="C102" s="53" t="s">
        <v>212</v>
      </c>
      <c r="D102" s="47"/>
      <c r="E102" s="36"/>
      <c r="F102" s="36"/>
      <c r="G102" s="36">
        <v>24829.08</v>
      </c>
      <c r="H102" s="110"/>
      <c r="I102" s="13">
        <f>G102*0.01</f>
        <v>248.29080000000002</v>
      </c>
    </row>
    <row r="103" spans="1:9" ht="16.5" customHeight="1">
      <c r="A103" s="32">
        <v>32</v>
      </c>
      <c r="B103" s="52" t="s">
        <v>199</v>
      </c>
      <c r="C103" s="53" t="s">
        <v>191</v>
      </c>
      <c r="D103" s="47"/>
      <c r="E103" s="36"/>
      <c r="F103" s="36"/>
      <c r="G103" s="13">
        <v>134.12</v>
      </c>
      <c r="H103" s="110"/>
      <c r="I103" s="13">
        <f>G103*27</f>
        <v>3621.2400000000002</v>
      </c>
    </row>
    <row r="104" spans="1:9" ht="17.25" customHeight="1">
      <c r="A104" s="32">
        <v>33</v>
      </c>
      <c r="B104" s="52" t="s">
        <v>322</v>
      </c>
      <c r="C104" s="53" t="s">
        <v>323</v>
      </c>
      <c r="D104" s="47"/>
      <c r="E104" s="36"/>
      <c r="F104" s="36"/>
      <c r="G104" s="13">
        <v>208</v>
      </c>
      <c r="H104" s="110"/>
      <c r="I104" s="13">
        <f>G104*1</f>
        <v>208</v>
      </c>
    </row>
    <row r="105" spans="1:9" ht="45.75" customHeight="1">
      <c r="A105" s="32">
        <v>34</v>
      </c>
      <c r="B105" s="52" t="s">
        <v>324</v>
      </c>
      <c r="C105" s="53" t="s">
        <v>184</v>
      </c>
      <c r="D105" s="47"/>
      <c r="E105" s="36"/>
      <c r="F105" s="36"/>
      <c r="G105" s="13">
        <v>10688.06</v>
      </c>
      <c r="H105" s="110"/>
      <c r="I105" s="13">
        <f>G105*0.02</f>
        <v>213.7612</v>
      </c>
    </row>
    <row r="106" spans="1:9" ht="17.25" customHeight="1">
      <c r="A106" s="32" t="s">
        <v>331</v>
      </c>
      <c r="B106" s="52" t="s">
        <v>137</v>
      </c>
      <c r="C106" s="53" t="s">
        <v>110</v>
      </c>
      <c r="D106" s="47"/>
      <c r="E106" s="36"/>
      <c r="F106" s="36"/>
      <c r="G106" s="13">
        <v>55.55</v>
      </c>
      <c r="H106" s="110"/>
      <c r="I106" s="13">
        <f>G106*1</f>
        <v>55.55</v>
      </c>
    </row>
    <row r="107" spans="1:9" ht="14.25" customHeight="1">
      <c r="A107" s="32">
        <v>36</v>
      </c>
      <c r="B107" s="170" t="s">
        <v>325</v>
      </c>
      <c r="C107" s="168" t="s">
        <v>97</v>
      </c>
      <c r="D107" s="47"/>
      <c r="E107" s="36"/>
      <c r="F107" s="36"/>
      <c r="G107" s="13">
        <v>3413.41</v>
      </c>
      <c r="H107" s="110"/>
      <c r="I107" s="13">
        <f>G107*0.04</f>
        <v>136.53639999999999</v>
      </c>
    </row>
    <row r="108" spans="1:9" ht="15.75" customHeight="1">
      <c r="A108" s="32">
        <v>37</v>
      </c>
      <c r="B108" s="52" t="s">
        <v>303</v>
      </c>
      <c r="C108" s="53" t="s">
        <v>85</v>
      </c>
      <c r="D108" s="47"/>
      <c r="E108" s="36"/>
      <c r="F108" s="36"/>
      <c r="G108" s="36">
        <v>203.68</v>
      </c>
      <c r="H108" s="110"/>
      <c r="I108" s="13">
        <f>G108*3</f>
        <v>611.04</v>
      </c>
    </row>
    <row r="109" spans="1:9" ht="15.75" customHeight="1">
      <c r="A109" s="32">
        <v>38</v>
      </c>
      <c r="B109" s="170" t="s">
        <v>327</v>
      </c>
      <c r="C109" s="168" t="s">
        <v>97</v>
      </c>
      <c r="D109" s="47"/>
      <c r="E109" s="36"/>
      <c r="F109" s="36"/>
      <c r="G109" s="184">
        <v>3413.41</v>
      </c>
      <c r="H109" s="110"/>
      <c r="I109" s="13">
        <f>G109*0.1078</f>
        <v>367.965598</v>
      </c>
    </row>
    <row r="110" spans="1:9" ht="15.75" customHeight="1">
      <c r="A110" s="32"/>
      <c r="B110" s="45" t="s">
        <v>51</v>
      </c>
      <c r="C110" s="41"/>
      <c r="D110" s="48"/>
      <c r="E110" s="41">
        <v>1</v>
      </c>
      <c r="F110" s="41"/>
      <c r="G110" s="41"/>
      <c r="H110" s="41"/>
      <c r="I110" s="34">
        <f>SUM(I90:I109)-I106</f>
        <v>13891.952998000002</v>
      </c>
    </row>
    <row r="111" spans="1:9">
      <c r="A111" s="32"/>
      <c r="B111" s="47" t="s">
        <v>79</v>
      </c>
      <c r="C111" s="15"/>
      <c r="D111" s="15"/>
      <c r="E111" s="42"/>
      <c r="F111" s="42"/>
      <c r="G111" s="43"/>
      <c r="H111" s="43"/>
      <c r="I111" s="17">
        <v>0</v>
      </c>
    </row>
    <row r="112" spans="1:9">
      <c r="A112" s="49"/>
      <c r="B112" s="46" t="s">
        <v>179</v>
      </c>
      <c r="C112" s="35"/>
      <c r="D112" s="35"/>
      <c r="E112" s="35"/>
      <c r="F112" s="35"/>
      <c r="G112" s="35"/>
      <c r="H112" s="35"/>
      <c r="I112" s="44">
        <f>I88+I110</f>
        <v>126067.93984200002</v>
      </c>
    </row>
    <row r="113" spans="1:9">
      <c r="A113" s="203" t="s">
        <v>332</v>
      </c>
      <c r="B113" s="204"/>
      <c r="C113" s="204"/>
      <c r="D113" s="204"/>
      <c r="E113" s="204"/>
      <c r="F113" s="204"/>
      <c r="G113" s="204"/>
      <c r="H113" s="204"/>
      <c r="I113" s="204"/>
    </row>
    <row r="114" spans="1:9" ht="15.75">
      <c r="A114" s="192" t="s">
        <v>333</v>
      </c>
      <c r="B114" s="192"/>
      <c r="C114" s="192"/>
      <c r="D114" s="192"/>
      <c r="E114" s="192"/>
      <c r="F114" s="192"/>
      <c r="G114" s="192"/>
      <c r="H114" s="192"/>
      <c r="I114" s="192"/>
    </row>
    <row r="115" spans="1:9" ht="15.75" customHeight="1">
      <c r="A115" s="60"/>
      <c r="B115" s="193" t="s">
        <v>334</v>
      </c>
      <c r="C115" s="193"/>
      <c r="D115" s="193"/>
      <c r="E115" s="193"/>
      <c r="F115" s="193"/>
      <c r="G115" s="193"/>
      <c r="H115" s="75"/>
      <c r="I115" s="3"/>
    </row>
    <row r="116" spans="1:9">
      <c r="A116" s="106"/>
      <c r="B116" s="194" t="s">
        <v>6</v>
      </c>
      <c r="C116" s="194"/>
      <c r="D116" s="194"/>
      <c r="E116" s="194"/>
      <c r="F116" s="194"/>
      <c r="G116" s="194"/>
      <c r="H116" s="27"/>
      <c r="I116" s="5"/>
    </row>
    <row r="117" spans="1:9">
      <c r="A117" s="10"/>
      <c r="B117" s="10"/>
      <c r="C117" s="10"/>
      <c r="D117" s="10"/>
      <c r="E117" s="10"/>
      <c r="F117" s="10"/>
      <c r="G117" s="10"/>
      <c r="H117" s="10"/>
      <c r="I117" s="10"/>
    </row>
    <row r="118" spans="1:9" ht="15.75">
      <c r="A118" s="195" t="s">
        <v>7</v>
      </c>
      <c r="B118" s="195"/>
      <c r="C118" s="195"/>
      <c r="D118" s="195"/>
      <c r="E118" s="195"/>
      <c r="F118" s="195"/>
      <c r="G118" s="195"/>
      <c r="H118" s="195"/>
      <c r="I118" s="195"/>
    </row>
    <row r="119" spans="1:9" ht="15.75">
      <c r="A119" s="195" t="s">
        <v>8</v>
      </c>
      <c r="B119" s="195"/>
      <c r="C119" s="195"/>
      <c r="D119" s="195"/>
      <c r="E119" s="195"/>
      <c r="F119" s="195"/>
      <c r="G119" s="195"/>
      <c r="H119" s="195"/>
      <c r="I119" s="195"/>
    </row>
    <row r="120" spans="1:9" ht="15.75">
      <c r="A120" s="196" t="s">
        <v>61</v>
      </c>
      <c r="B120" s="196"/>
      <c r="C120" s="196"/>
      <c r="D120" s="196"/>
      <c r="E120" s="196"/>
      <c r="F120" s="196"/>
      <c r="G120" s="196"/>
      <c r="H120" s="196"/>
      <c r="I120" s="196"/>
    </row>
    <row r="121" spans="1:9" ht="15.75">
      <c r="A121" s="11"/>
    </row>
    <row r="122" spans="1:9" ht="15.75">
      <c r="A122" s="197" t="s">
        <v>9</v>
      </c>
      <c r="B122" s="197"/>
      <c r="C122" s="197"/>
      <c r="D122" s="197"/>
      <c r="E122" s="197"/>
      <c r="F122" s="197"/>
      <c r="G122" s="197"/>
      <c r="H122" s="197"/>
      <c r="I122" s="197"/>
    </row>
    <row r="123" spans="1:9" ht="15.75" customHeight="1">
      <c r="A123" s="4"/>
    </row>
    <row r="124" spans="1:9" ht="15.75" customHeight="1">
      <c r="B124" s="108" t="s">
        <v>10</v>
      </c>
      <c r="C124" s="198" t="s">
        <v>142</v>
      </c>
      <c r="D124" s="198"/>
      <c r="E124" s="198"/>
      <c r="F124" s="73"/>
      <c r="I124" s="109"/>
    </row>
    <row r="125" spans="1:9" ht="15.75" customHeight="1">
      <c r="A125" s="106"/>
      <c r="C125" s="194" t="s">
        <v>11</v>
      </c>
      <c r="D125" s="194"/>
      <c r="E125" s="194"/>
      <c r="F125" s="27"/>
      <c r="I125" s="107" t="s">
        <v>12</v>
      </c>
    </row>
    <row r="126" spans="1:9" ht="15.75" customHeight="1">
      <c r="A126" s="28"/>
      <c r="C126" s="12"/>
      <c r="D126" s="12"/>
      <c r="G126" s="12"/>
      <c r="H126" s="12"/>
    </row>
    <row r="127" spans="1:9" ht="15.75">
      <c r="B127" s="108" t="s">
        <v>13</v>
      </c>
      <c r="C127" s="199"/>
      <c r="D127" s="199"/>
      <c r="E127" s="199"/>
      <c r="F127" s="74"/>
      <c r="I127" s="109"/>
    </row>
    <row r="128" spans="1:9">
      <c r="A128" s="106"/>
      <c r="C128" s="188" t="s">
        <v>11</v>
      </c>
      <c r="D128" s="188"/>
      <c r="E128" s="188"/>
      <c r="F128" s="106"/>
      <c r="I128" s="107" t="s">
        <v>12</v>
      </c>
    </row>
    <row r="129" spans="1:9" ht="15.75">
      <c r="A129" s="4" t="s">
        <v>14</v>
      </c>
    </row>
    <row r="130" spans="1:9">
      <c r="A130" s="186" t="s">
        <v>15</v>
      </c>
      <c r="B130" s="186"/>
      <c r="C130" s="186"/>
      <c r="D130" s="186"/>
      <c r="E130" s="186"/>
      <c r="F130" s="186"/>
      <c r="G130" s="186"/>
      <c r="H130" s="186"/>
      <c r="I130" s="186"/>
    </row>
    <row r="131" spans="1:9" ht="45" customHeight="1">
      <c r="A131" s="187" t="s">
        <v>16</v>
      </c>
      <c r="B131" s="187"/>
      <c r="C131" s="187"/>
      <c r="D131" s="187"/>
      <c r="E131" s="187"/>
      <c r="F131" s="187"/>
      <c r="G131" s="187"/>
      <c r="H131" s="187"/>
      <c r="I131" s="187"/>
    </row>
    <row r="132" spans="1:9" ht="30" customHeight="1">
      <c r="A132" s="187" t="s">
        <v>17</v>
      </c>
      <c r="B132" s="187"/>
      <c r="C132" s="187"/>
      <c r="D132" s="187"/>
      <c r="E132" s="187"/>
      <c r="F132" s="187"/>
      <c r="G132" s="187"/>
      <c r="H132" s="187"/>
      <c r="I132" s="187"/>
    </row>
    <row r="133" spans="1:9" ht="30" customHeight="1">
      <c r="A133" s="187" t="s">
        <v>21</v>
      </c>
      <c r="B133" s="187"/>
      <c r="C133" s="187"/>
      <c r="D133" s="187"/>
      <c r="E133" s="187"/>
      <c r="F133" s="187"/>
      <c r="G133" s="187"/>
      <c r="H133" s="187"/>
      <c r="I133" s="187"/>
    </row>
    <row r="134" spans="1:9" ht="15" customHeight="1">
      <c r="A134" s="187" t="s">
        <v>20</v>
      </c>
      <c r="B134" s="187"/>
      <c r="C134" s="187"/>
      <c r="D134" s="187"/>
      <c r="E134" s="187"/>
      <c r="F134" s="187"/>
      <c r="G134" s="187"/>
      <c r="H134" s="187"/>
      <c r="I134" s="187"/>
    </row>
  </sheetData>
  <autoFilter ref="I12:I61"/>
  <mergeCells count="30">
    <mergeCell ref="A130:I130"/>
    <mergeCell ref="A131:I131"/>
    <mergeCell ref="A132:I132"/>
    <mergeCell ref="A133:I133"/>
    <mergeCell ref="A134:I134"/>
    <mergeCell ref="R66:U66"/>
    <mergeCell ref="C128:E128"/>
    <mergeCell ref="A89:I89"/>
    <mergeCell ref="A114:I114"/>
    <mergeCell ref="B115:G115"/>
    <mergeCell ref="B116:G116"/>
    <mergeCell ref="A118:I118"/>
    <mergeCell ref="A119:I119"/>
    <mergeCell ref="A120:I120"/>
    <mergeCell ref="A122:I122"/>
    <mergeCell ref="C124:E124"/>
    <mergeCell ref="C125:E125"/>
    <mergeCell ref="C127:E127"/>
    <mergeCell ref="A85:I85"/>
    <mergeCell ref="A113:I113"/>
    <mergeCell ref="A3:I3"/>
    <mergeCell ref="A4:I4"/>
    <mergeCell ref="A5:I5"/>
    <mergeCell ref="A8:I8"/>
    <mergeCell ref="A10:I10"/>
    <mergeCell ref="A14:I14"/>
    <mergeCell ref="A15:I15"/>
    <mergeCell ref="A28:I28"/>
    <mergeCell ref="A46:I46"/>
    <mergeCell ref="A57:I57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  <ignoredErrors>
    <ignoredError sqref="I98 I105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28"/>
  <sheetViews>
    <sheetView tabSelected="1" topLeftCell="A85" workbookViewId="0">
      <selection activeCell="A8" sqref="A8:I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5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257</v>
      </c>
      <c r="I1" s="29"/>
      <c r="J1" s="1"/>
      <c r="K1" s="1"/>
      <c r="L1" s="1"/>
      <c r="M1" s="1"/>
    </row>
    <row r="2" spans="1:13" ht="15.75">
      <c r="A2" s="31" t="s">
        <v>62</v>
      </c>
      <c r="J2" s="2"/>
      <c r="K2" s="2"/>
      <c r="L2" s="2"/>
      <c r="M2" s="2"/>
    </row>
    <row r="3" spans="1:13" ht="15.75" customHeight="1">
      <c r="A3" s="210" t="s">
        <v>193</v>
      </c>
      <c r="B3" s="210"/>
      <c r="C3" s="210"/>
      <c r="D3" s="210"/>
      <c r="E3" s="210"/>
      <c r="F3" s="210"/>
      <c r="G3" s="210"/>
      <c r="H3" s="210"/>
      <c r="I3" s="210"/>
      <c r="J3" s="3"/>
      <c r="K3" s="3"/>
      <c r="L3" s="3"/>
    </row>
    <row r="4" spans="1:13" ht="31.5" customHeight="1">
      <c r="A4" s="211" t="s">
        <v>139</v>
      </c>
      <c r="B4" s="211"/>
      <c r="C4" s="211"/>
      <c r="D4" s="211"/>
      <c r="E4" s="211"/>
      <c r="F4" s="211"/>
      <c r="G4" s="211"/>
      <c r="H4" s="211"/>
      <c r="I4" s="211"/>
    </row>
    <row r="5" spans="1:13" ht="15.75">
      <c r="A5" s="210" t="s">
        <v>348</v>
      </c>
      <c r="B5" s="212"/>
      <c r="C5" s="212"/>
      <c r="D5" s="212"/>
      <c r="E5" s="212"/>
      <c r="F5" s="212"/>
      <c r="G5" s="212"/>
      <c r="H5" s="212"/>
      <c r="I5" s="212"/>
      <c r="J5" s="2"/>
      <c r="K5" s="2"/>
      <c r="L5" s="2"/>
      <c r="M5" s="2"/>
    </row>
    <row r="6" spans="1:13" ht="15.75">
      <c r="A6" s="2"/>
      <c r="B6" s="105"/>
      <c r="C6" s="105"/>
      <c r="D6" s="105"/>
      <c r="E6" s="105"/>
      <c r="F6" s="105"/>
      <c r="G6" s="105"/>
      <c r="H6" s="105"/>
      <c r="I6" s="33">
        <v>43465</v>
      </c>
      <c r="J6" s="2"/>
      <c r="K6" s="2"/>
      <c r="L6" s="2"/>
      <c r="M6" s="2"/>
    </row>
    <row r="7" spans="1:13" ht="15.75">
      <c r="B7" s="108"/>
      <c r="C7" s="108"/>
      <c r="D7" s="108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213" t="s">
        <v>259</v>
      </c>
      <c r="B8" s="213"/>
      <c r="C8" s="213"/>
      <c r="D8" s="213"/>
      <c r="E8" s="213"/>
      <c r="F8" s="213"/>
      <c r="G8" s="213"/>
      <c r="H8" s="213"/>
      <c r="I8" s="213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214" t="s">
        <v>175</v>
      </c>
      <c r="B10" s="214"/>
      <c r="C10" s="214"/>
      <c r="D10" s="214"/>
      <c r="E10" s="214"/>
      <c r="F10" s="214"/>
      <c r="G10" s="214"/>
      <c r="H10" s="214"/>
      <c r="I10" s="214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09" t="s">
        <v>59</v>
      </c>
      <c r="B14" s="209"/>
      <c r="C14" s="209"/>
      <c r="D14" s="209"/>
      <c r="E14" s="209"/>
      <c r="F14" s="209"/>
      <c r="G14" s="209"/>
      <c r="H14" s="209"/>
      <c r="I14" s="209"/>
      <c r="J14" s="8"/>
      <c r="K14" s="8"/>
      <c r="L14" s="8"/>
      <c r="M14" s="8"/>
    </row>
    <row r="15" spans="1:13" ht="15" customHeight="1">
      <c r="A15" s="205" t="s">
        <v>4</v>
      </c>
      <c r="B15" s="205"/>
      <c r="C15" s="205"/>
      <c r="D15" s="205"/>
      <c r="E15" s="205"/>
      <c r="F15" s="205"/>
      <c r="G15" s="205"/>
      <c r="H15" s="205"/>
      <c r="I15" s="205"/>
      <c r="J15" s="8"/>
      <c r="K15" s="8"/>
      <c r="L15" s="8"/>
      <c r="M15" s="8"/>
    </row>
    <row r="16" spans="1:13" ht="15.75" customHeight="1">
      <c r="A16" s="32">
        <v>1</v>
      </c>
      <c r="B16" s="121" t="s">
        <v>88</v>
      </c>
      <c r="C16" s="122" t="s">
        <v>89</v>
      </c>
      <c r="D16" s="121" t="s">
        <v>271</v>
      </c>
      <c r="E16" s="158">
        <v>208.08</v>
      </c>
      <c r="F16" s="159">
        <f>SUM(E16*156/100)</f>
        <v>324.60480000000001</v>
      </c>
      <c r="G16" s="159">
        <v>239.2</v>
      </c>
      <c r="H16" s="80">
        <f t="shared" ref="H16:H25" si="0">SUM(F16*G16/1000)</f>
        <v>77.645468160000007</v>
      </c>
      <c r="I16" s="13">
        <f>F16/12*G16</f>
        <v>6470.45568</v>
      </c>
      <c r="J16" s="24"/>
      <c r="K16" s="8"/>
      <c r="L16" s="8"/>
      <c r="M16" s="8"/>
    </row>
    <row r="17" spans="1:13" ht="15.75" customHeight="1">
      <c r="A17" s="32">
        <v>2</v>
      </c>
      <c r="B17" s="121" t="s">
        <v>119</v>
      </c>
      <c r="C17" s="122" t="s">
        <v>89</v>
      </c>
      <c r="D17" s="121" t="s">
        <v>272</v>
      </c>
      <c r="E17" s="158">
        <v>832.32</v>
      </c>
      <c r="F17" s="159">
        <f>SUM(E17*104/100)</f>
        <v>865.61279999999999</v>
      </c>
      <c r="G17" s="159">
        <v>239.2</v>
      </c>
      <c r="H17" s="80">
        <f t="shared" si="0"/>
        <v>207.05458175999999</v>
      </c>
      <c r="I17" s="13">
        <f>F17/12*G17</f>
        <v>17254.548479999998</v>
      </c>
      <c r="J17" s="25"/>
      <c r="K17" s="8"/>
      <c r="L17" s="8"/>
      <c r="M17" s="8"/>
    </row>
    <row r="18" spans="1:13" ht="15.75" customHeight="1">
      <c r="A18" s="32">
        <v>3</v>
      </c>
      <c r="B18" s="121" t="s">
        <v>120</v>
      </c>
      <c r="C18" s="122" t="s">
        <v>89</v>
      </c>
      <c r="D18" s="121" t="s">
        <v>273</v>
      </c>
      <c r="E18" s="158">
        <v>1040.4000000000001</v>
      </c>
      <c r="F18" s="159">
        <f>SUM(E18*18/100)</f>
        <v>187.27200000000002</v>
      </c>
      <c r="G18" s="159">
        <v>688.14</v>
      </c>
      <c r="H18" s="80">
        <f t="shared" si="0"/>
        <v>128.86935407999999</v>
      </c>
      <c r="I18" s="13">
        <f>F18/12*G18</f>
        <v>10739.112840000002</v>
      </c>
      <c r="J18" s="25"/>
      <c r="K18" s="8"/>
      <c r="L18" s="8"/>
      <c r="M18" s="8"/>
    </row>
    <row r="19" spans="1:13" ht="15.75" hidden="1" customHeight="1">
      <c r="A19" s="32"/>
      <c r="B19" s="121" t="s">
        <v>96</v>
      </c>
      <c r="C19" s="122" t="s">
        <v>97</v>
      </c>
      <c r="D19" s="121" t="s">
        <v>98</v>
      </c>
      <c r="E19" s="158">
        <v>28.2</v>
      </c>
      <c r="F19" s="159">
        <f>SUM(E19/10)</f>
        <v>2.82</v>
      </c>
      <c r="G19" s="159">
        <v>232.1</v>
      </c>
      <c r="H19" s="80">
        <f t="shared" si="0"/>
        <v>0.65452199999999994</v>
      </c>
      <c r="I19" s="13">
        <v>0</v>
      </c>
      <c r="J19" s="25"/>
      <c r="K19" s="8"/>
      <c r="L19" s="8"/>
      <c r="M19" s="8"/>
    </row>
    <row r="20" spans="1:13" ht="15.75" hidden="1" customHeight="1">
      <c r="A20" s="32">
        <v>4</v>
      </c>
      <c r="B20" s="121" t="s">
        <v>99</v>
      </c>
      <c r="C20" s="122" t="s">
        <v>89</v>
      </c>
      <c r="D20" s="121" t="s">
        <v>42</v>
      </c>
      <c r="E20" s="158">
        <v>30.6</v>
      </c>
      <c r="F20" s="159">
        <f>SUM(E20*2/100)</f>
        <v>0.61199999999999999</v>
      </c>
      <c r="G20" s="159">
        <v>297.19</v>
      </c>
      <c r="H20" s="80">
        <f t="shared" si="0"/>
        <v>0.18188028000000001</v>
      </c>
      <c r="I20" s="13">
        <f>F20/12*G20</f>
        <v>15.156689999999999</v>
      </c>
      <c r="J20" s="25"/>
      <c r="K20" s="8"/>
      <c r="L20" s="8"/>
      <c r="M20" s="8"/>
    </row>
    <row r="21" spans="1:13" ht="15.75" hidden="1" customHeight="1">
      <c r="A21" s="32">
        <v>5</v>
      </c>
      <c r="B21" s="121" t="s">
        <v>100</v>
      </c>
      <c r="C21" s="122" t="s">
        <v>89</v>
      </c>
      <c r="D21" s="121" t="s">
        <v>42</v>
      </c>
      <c r="E21" s="158">
        <v>10.06</v>
      </c>
      <c r="F21" s="159">
        <f>SUM(E21*2/100)</f>
        <v>0.20120000000000002</v>
      </c>
      <c r="G21" s="159">
        <v>294.77999999999997</v>
      </c>
      <c r="H21" s="80">
        <f t="shared" si="0"/>
        <v>5.9309736000000002E-2</v>
      </c>
      <c r="I21" s="13">
        <f>F21/12*G21</f>
        <v>4.9424780000000004</v>
      </c>
      <c r="J21" s="25"/>
      <c r="K21" s="8"/>
      <c r="L21" s="8"/>
      <c r="M21" s="8"/>
    </row>
    <row r="22" spans="1:13" ht="15.75" hidden="1" customHeight="1">
      <c r="A22" s="32"/>
      <c r="B22" s="121" t="s">
        <v>101</v>
      </c>
      <c r="C22" s="122" t="s">
        <v>52</v>
      </c>
      <c r="D22" s="121" t="s">
        <v>98</v>
      </c>
      <c r="E22" s="158">
        <v>769.2</v>
      </c>
      <c r="F22" s="159">
        <f>SUM(E22/100)</f>
        <v>7.6920000000000002</v>
      </c>
      <c r="G22" s="159">
        <v>367.27</v>
      </c>
      <c r="H22" s="80">
        <f t="shared" si="0"/>
        <v>2.8250408400000002</v>
      </c>
      <c r="I22" s="13">
        <v>0</v>
      </c>
      <c r="J22" s="25"/>
      <c r="K22" s="8"/>
      <c r="L22" s="8"/>
      <c r="M22" s="8"/>
    </row>
    <row r="23" spans="1:13" ht="15.75" hidden="1" customHeight="1">
      <c r="A23" s="32"/>
      <c r="B23" s="121" t="s">
        <v>102</v>
      </c>
      <c r="C23" s="122" t="s">
        <v>52</v>
      </c>
      <c r="D23" s="121" t="s">
        <v>98</v>
      </c>
      <c r="E23" s="160">
        <v>90</v>
      </c>
      <c r="F23" s="159">
        <f>SUM(E23/100)</f>
        <v>0.9</v>
      </c>
      <c r="G23" s="159">
        <v>60.41</v>
      </c>
      <c r="H23" s="80">
        <f t="shared" si="0"/>
        <v>5.4369000000000001E-2</v>
      </c>
      <c r="I23" s="13">
        <v>0</v>
      </c>
      <c r="J23" s="25"/>
      <c r="K23" s="8"/>
      <c r="L23" s="8"/>
      <c r="M23" s="8"/>
    </row>
    <row r="24" spans="1:13" ht="15.75" hidden="1" customHeight="1">
      <c r="A24" s="32">
        <v>6</v>
      </c>
      <c r="B24" s="121" t="s">
        <v>274</v>
      </c>
      <c r="C24" s="122" t="s">
        <v>52</v>
      </c>
      <c r="D24" s="121" t="s">
        <v>53</v>
      </c>
      <c r="E24" s="158">
        <v>30</v>
      </c>
      <c r="F24" s="159">
        <f>E24*1/100</f>
        <v>0.3</v>
      </c>
      <c r="G24" s="159">
        <v>294.77999999999997</v>
      </c>
      <c r="H24" s="80">
        <f t="shared" si="0"/>
        <v>8.8433999999999985E-2</v>
      </c>
      <c r="I24" s="13">
        <f>F24/12*G24</f>
        <v>7.3694999999999986</v>
      </c>
      <c r="J24" s="25"/>
      <c r="K24" s="8"/>
      <c r="L24" s="8"/>
      <c r="M24" s="8"/>
    </row>
    <row r="25" spans="1:13" ht="15.75" hidden="1" customHeight="1">
      <c r="A25" s="32">
        <v>7</v>
      </c>
      <c r="B25" s="121" t="s">
        <v>104</v>
      </c>
      <c r="C25" s="122" t="s">
        <v>52</v>
      </c>
      <c r="D25" s="121" t="s">
        <v>53</v>
      </c>
      <c r="E25" s="158">
        <v>21.6</v>
      </c>
      <c r="F25" s="159">
        <f>SUM(E25*1/100)</f>
        <v>0.21600000000000003</v>
      </c>
      <c r="G25" s="159">
        <v>710.37</v>
      </c>
      <c r="H25" s="80">
        <f t="shared" si="0"/>
        <v>0.15343992000000004</v>
      </c>
      <c r="I25" s="13">
        <f>F25/12*G25</f>
        <v>12.786660000000001</v>
      </c>
      <c r="J25" s="25"/>
      <c r="K25" s="8"/>
      <c r="L25" s="8"/>
      <c r="M25" s="8"/>
    </row>
    <row r="26" spans="1:13" ht="15.75" customHeight="1">
      <c r="A26" s="32">
        <v>4</v>
      </c>
      <c r="B26" s="121" t="s">
        <v>64</v>
      </c>
      <c r="C26" s="122" t="s">
        <v>33</v>
      </c>
      <c r="D26" s="121" t="s">
        <v>275</v>
      </c>
      <c r="E26" s="161">
        <v>0.1</v>
      </c>
      <c r="F26" s="159">
        <f>SUM(E26*218)</f>
        <v>21.8</v>
      </c>
      <c r="G26" s="159">
        <v>275.45</v>
      </c>
      <c r="H26" s="80">
        <f>SUM(F26*G26/1000)</f>
        <v>6.00481</v>
      </c>
      <c r="I26" s="13">
        <f>F26/12*G26</f>
        <v>500.40083333333331</v>
      </c>
      <c r="J26" s="26"/>
    </row>
    <row r="27" spans="1:13" ht="15.75" hidden="1" customHeight="1">
      <c r="A27" s="32">
        <v>9</v>
      </c>
      <c r="B27" s="84" t="s">
        <v>23</v>
      </c>
      <c r="C27" s="77" t="s">
        <v>24</v>
      </c>
      <c r="D27" s="76"/>
      <c r="E27" s="78">
        <v>6980.3</v>
      </c>
      <c r="F27" s="79">
        <f>SUM(E27*12)</f>
        <v>83763.600000000006</v>
      </c>
      <c r="G27" s="79">
        <v>4.4000000000000004</v>
      </c>
      <c r="H27" s="80">
        <f>SUM(F27*G27/1000)</f>
        <v>368.55984000000007</v>
      </c>
      <c r="I27" s="13">
        <f>F27/12*G27</f>
        <v>30713.320000000003</v>
      </c>
      <c r="J27" s="26"/>
    </row>
    <row r="28" spans="1:13" ht="15" customHeight="1">
      <c r="A28" s="205" t="s">
        <v>86</v>
      </c>
      <c r="B28" s="205"/>
      <c r="C28" s="205"/>
      <c r="D28" s="205"/>
      <c r="E28" s="205"/>
      <c r="F28" s="205"/>
      <c r="G28" s="205"/>
      <c r="H28" s="205"/>
      <c r="I28" s="205"/>
      <c r="J28" s="25"/>
      <c r="K28" s="8"/>
      <c r="L28" s="8"/>
      <c r="M28" s="8"/>
    </row>
    <row r="29" spans="1:13" ht="15.75" hidden="1" customHeight="1">
      <c r="A29" s="32"/>
      <c r="B29" s="100" t="s">
        <v>28</v>
      </c>
      <c r="C29" s="77"/>
      <c r="D29" s="76"/>
      <c r="E29" s="78"/>
      <c r="F29" s="79"/>
      <c r="G29" s="79"/>
      <c r="H29" s="80"/>
      <c r="I29" s="13"/>
      <c r="J29" s="25"/>
      <c r="K29" s="8"/>
      <c r="L29" s="8"/>
      <c r="M29" s="8"/>
    </row>
    <row r="30" spans="1:13" ht="15.75" hidden="1" customHeight="1">
      <c r="A30" s="32">
        <v>10</v>
      </c>
      <c r="B30" s="76" t="s">
        <v>108</v>
      </c>
      <c r="C30" s="77" t="s">
        <v>91</v>
      </c>
      <c r="D30" s="76" t="s">
        <v>185</v>
      </c>
      <c r="E30" s="79">
        <v>1168.05</v>
      </c>
      <c r="F30" s="79">
        <f>SUM(E30*52/1000)</f>
        <v>60.738599999999998</v>
      </c>
      <c r="G30" s="79">
        <v>155.88999999999999</v>
      </c>
      <c r="H30" s="80">
        <f t="shared" ref="H30:H36" si="1">SUM(F30*G30/1000)</f>
        <v>9.4685403539999982</v>
      </c>
      <c r="I30" s="13">
        <f>F30/6*G30</f>
        <v>1578.0900589999997</v>
      </c>
      <c r="J30" s="25"/>
      <c r="K30" s="8"/>
      <c r="L30" s="8"/>
      <c r="M30" s="8"/>
    </row>
    <row r="31" spans="1:13" ht="31.5" hidden="1" customHeight="1">
      <c r="A31" s="32">
        <v>11</v>
      </c>
      <c r="B31" s="76" t="s">
        <v>124</v>
      </c>
      <c r="C31" s="77" t="s">
        <v>91</v>
      </c>
      <c r="D31" s="76" t="s">
        <v>186</v>
      </c>
      <c r="E31" s="79">
        <v>1039.2</v>
      </c>
      <c r="F31" s="79">
        <f>SUM(E31*78/1000)</f>
        <v>81.057600000000008</v>
      </c>
      <c r="G31" s="79">
        <v>258.63</v>
      </c>
      <c r="H31" s="80">
        <f t="shared" si="1"/>
        <v>20.963927088000002</v>
      </c>
      <c r="I31" s="13">
        <f t="shared" ref="I31:I34" si="2">F31/6*G31</f>
        <v>3493.9878480000002</v>
      </c>
      <c r="J31" s="25"/>
      <c r="K31" s="8"/>
      <c r="L31" s="8"/>
      <c r="M31" s="8"/>
    </row>
    <row r="32" spans="1:13" ht="15.75" hidden="1" customHeight="1">
      <c r="A32" s="32">
        <v>16</v>
      </c>
      <c r="B32" s="76" t="s">
        <v>27</v>
      </c>
      <c r="C32" s="77" t="s">
        <v>91</v>
      </c>
      <c r="D32" s="76" t="s">
        <v>53</v>
      </c>
      <c r="E32" s="79">
        <v>584.03</v>
      </c>
      <c r="F32" s="79">
        <f>SUM(E32/1000)</f>
        <v>0.58402999999999994</v>
      </c>
      <c r="G32" s="79">
        <v>3020.33</v>
      </c>
      <c r="H32" s="80">
        <f t="shared" si="1"/>
        <v>1.7639633298999997</v>
      </c>
      <c r="I32" s="13">
        <f>F32*G32</f>
        <v>1763.9633298999997</v>
      </c>
      <c r="J32" s="25"/>
      <c r="K32" s="8"/>
      <c r="L32" s="8"/>
      <c r="M32" s="8"/>
    </row>
    <row r="33" spans="1:14" ht="15.75" hidden="1" customHeight="1">
      <c r="A33" s="32">
        <v>12</v>
      </c>
      <c r="B33" s="76" t="s">
        <v>123</v>
      </c>
      <c r="C33" s="77" t="s">
        <v>39</v>
      </c>
      <c r="D33" s="76" t="s">
        <v>63</v>
      </c>
      <c r="E33" s="79">
        <v>6</v>
      </c>
      <c r="F33" s="79">
        <f>E33*155/100</f>
        <v>9.3000000000000007</v>
      </c>
      <c r="G33" s="79">
        <v>1302.02</v>
      </c>
      <c r="H33" s="80">
        <f>G33*F33/1000</f>
        <v>12.108786</v>
      </c>
      <c r="I33" s="13">
        <f t="shared" si="2"/>
        <v>2018.1310000000001</v>
      </c>
      <c r="J33" s="25"/>
      <c r="K33" s="8"/>
      <c r="L33" s="8"/>
      <c r="M33" s="8"/>
    </row>
    <row r="34" spans="1:14" ht="15.75" hidden="1" customHeight="1">
      <c r="A34" s="32">
        <v>13</v>
      </c>
      <c r="B34" s="76" t="s">
        <v>107</v>
      </c>
      <c r="C34" s="77" t="s">
        <v>31</v>
      </c>
      <c r="D34" s="76" t="s">
        <v>63</v>
      </c>
      <c r="E34" s="83">
        <v>0.33333333333333331</v>
      </c>
      <c r="F34" s="79">
        <f>155/3</f>
        <v>51.666666666666664</v>
      </c>
      <c r="G34" s="79">
        <v>56.69</v>
      </c>
      <c r="H34" s="80">
        <f>SUM(G34*155/3/1000)</f>
        <v>2.9289833333333331</v>
      </c>
      <c r="I34" s="13">
        <f t="shared" si="2"/>
        <v>488.16388888888883</v>
      </c>
      <c r="J34" s="25"/>
      <c r="K34" s="8"/>
    </row>
    <row r="35" spans="1:14" ht="15.75" hidden="1" customHeight="1">
      <c r="A35" s="32"/>
      <c r="B35" s="76" t="s">
        <v>65</v>
      </c>
      <c r="C35" s="77" t="s">
        <v>33</v>
      </c>
      <c r="D35" s="76" t="s">
        <v>67</v>
      </c>
      <c r="E35" s="78"/>
      <c r="F35" s="79">
        <v>4</v>
      </c>
      <c r="G35" s="79">
        <v>180.15</v>
      </c>
      <c r="H35" s="80">
        <f t="shared" si="1"/>
        <v>0.72060000000000002</v>
      </c>
      <c r="I35" s="13">
        <v>0</v>
      </c>
      <c r="J35" s="26"/>
    </row>
    <row r="36" spans="1:14" ht="15.75" hidden="1" customHeight="1">
      <c r="A36" s="32"/>
      <c r="B36" s="76" t="s">
        <v>66</v>
      </c>
      <c r="C36" s="77" t="s">
        <v>32</v>
      </c>
      <c r="D36" s="76" t="s">
        <v>67</v>
      </c>
      <c r="E36" s="78"/>
      <c r="F36" s="79">
        <v>3</v>
      </c>
      <c r="G36" s="79">
        <v>1136.33</v>
      </c>
      <c r="H36" s="80">
        <f t="shared" si="1"/>
        <v>3.4089899999999997</v>
      </c>
      <c r="I36" s="13">
        <v>0</v>
      </c>
      <c r="J36" s="26"/>
    </row>
    <row r="37" spans="1:14" ht="15.75" customHeight="1">
      <c r="A37" s="32"/>
      <c r="B37" s="100" t="s">
        <v>5</v>
      </c>
      <c r="C37" s="77"/>
      <c r="D37" s="76"/>
      <c r="E37" s="78"/>
      <c r="F37" s="79"/>
      <c r="G37" s="79"/>
      <c r="H37" s="80" t="s">
        <v>150</v>
      </c>
      <c r="I37" s="13"/>
      <c r="J37" s="26"/>
    </row>
    <row r="38" spans="1:14" ht="15.75" customHeight="1">
      <c r="A38" s="32">
        <v>5</v>
      </c>
      <c r="B38" s="171" t="s">
        <v>26</v>
      </c>
      <c r="C38" s="122" t="s">
        <v>32</v>
      </c>
      <c r="D38" s="121"/>
      <c r="E38" s="158"/>
      <c r="F38" s="159">
        <v>5</v>
      </c>
      <c r="G38" s="159">
        <v>2083</v>
      </c>
      <c r="H38" s="80">
        <f t="shared" ref="H38:H43" si="3">SUM(F38*G38/1000)</f>
        <v>10.414999999999999</v>
      </c>
      <c r="I38" s="13">
        <f>F38/6*G38</f>
        <v>1735.8333333333335</v>
      </c>
      <c r="J38" s="26"/>
    </row>
    <row r="39" spans="1:14" ht="15.75" customHeight="1">
      <c r="A39" s="32">
        <v>6</v>
      </c>
      <c r="B39" s="171" t="s">
        <v>109</v>
      </c>
      <c r="C39" s="172" t="s">
        <v>29</v>
      </c>
      <c r="D39" s="121" t="s">
        <v>277</v>
      </c>
      <c r="E39" s="158">
        <v>153</v>
      </c>
      <c r="F39" s="173">
        <f>E39*30/1000</f>
        <v>4.59</v>
      </c>
      <c r="G39" s="159">
        <v>2868.09</v>
      </c>
      <c r="H39" s="80">
        <f>G39*F39/1000</f>
        <v>13.1645331</v>
      </c>
      <c r="I39" s="13">
        <f>F39/6*G39</f>
        <v>2194.0888500000001</v>
      </c>
      <c r="J39" s="26"/>
      <c r="L39" s="19"/>
      <c r="M39" s="20"/>
      <c r="N39" s="21"/>
    </row>
    <row r="40" spans="1:14" ht="15.75" customHeight="1">
      <c r="A40" s="32">
        <v>7</v>
      </c>
      <c r="B40" s="121" t="s">
        <v>68</v>
      </c>
      <c r="C40" s="122" t="s">
        <v>29</v>
      </c>
      <c r="D40" s="121" t="s">
        <v>90</v>
      </c>
      <c r="E40" s="159">
        <v>153</v>
      </c>
      <c r="F40" s="173">
        <f>SUM(E40*155/1000)</f>
        <v>23.715</v>
      </c>
      <c r="G40" s="159">
        <v>478.42</v>
      </c>
      <c r="H40" s="80">
        <f>G40*F40/1000</f>
        <v>11.345730300000001</v>
      </c>
      <c r="I40" s="13">
        <f>F40/6*G40</f>
        <v>1890.95505</v>
      </c>
      <c r="J40" s="26"/>
      <c r="L40" s="19"/>
      <c r="M40" s="20"/>
      <c r="N40" s="21"/>
    </row>
    <row r="41" spans="1:14" ht="48.75" customHeight="1">
      <c r="A41" s="32">
        <v>8</v>
      </c>
      <c r="B41" s="121" t="s">
        <v>84</v>
      </c>
      <c r="C41" s="122" t="s">
        <v>91</v>
      </c>
      <c r="D41" s="121" t="s">
        <v>278</v>
      </c>
      <c r="E41" s="159">
        <v>25</v>
      </c>
      <c r="F41" s="173">
        <f>SUM(E41*35/1000)</f>
        <v>0.875</v>
      </c>
      <c r="G41" s="159">
        <v>7915.6</v>
      </c>
      <c r="H41" s="80">
        <f>G41*F41/1000</f>
        <v>6.9261500000000007</v>
      </c>
      <c r="I41" s="13">
        <f>G41*F41/6</f>
        <v>1154.3583333333333</v>
      </c>
      <c r="J41" s="26"/>
      <c r="L41" s="19"/>
      <c r="M41" s="20"/>
      <c r="N41" s="21"/>
    </row>
    <row r="42" spans="1:14" ht="15.75" customHeight="1">
      <c r="A42" s="32">
        <v>9</v>
      </c>
      <c r="B42" s="121" t="s">
        <v>92</v>
      </c>
      <c r="C42" s="122" t="s">
        <v>91</v>
      </c>
      <c r="D42" s="121" t="s">
        <v>69</v>
      </c>
      <c r="E42" s="159">
        <v>153</v>
      </c>
      <c r="F42" s="173">
        <f>SUM(E42*45/1000)</f>
        <v>6.8849999999999998</v>
      </c>
      <c r="G42" s="159">
        <v>584.74</v>
      </c>
      <c r="H42" s="80">
        <f t="shared" si="3"/>
        <v>4.0259348999999993</v>
      </c>
      <c r="I42" s="13">
        <f>F42/7.5*1.5*G42</f>
        <v>805.18697999999983</v>
      </c>
      <c r="J42" s="26"/>
      <c r="L42" s="19"/>
      <c r="M42" s="20"/>
      <c r="N42" s="21"/>
    </row>
    <row r="43" spans="1:14" ht="15.75" customHeight="1">
      <c r="A43" s="133">
        <v>10</v>
      </c>
      <c r="B43" s="171" t="s">
        <v>70</v>
      </c>
      <c r="C43" s="172" t="s">
        <v>33</v>
      </c>
      <c r="D43" s="171"/>
      <c r="E43" s="161"/>
      <c r="F43" s="173">
        <v>0.9</v>
      </c>
      <c r="G43" s="173">
        <v>800</v>
      </c>
      <c r="H43" s="88">
        <f t="shared" si="3"/>
        <v>0.72</v>
      </c>
      <c r="I43" s="96">
        <f>F43/7.5*1.5*G43</f>
        <v>144.00000000000003</v>
      </c>
      <c r="J43" s="26"/>
      <c r="L43" s="19"/>
      <c r="M43" s="20"/>
      <c r="N43" s="21"/>
    </row>
    <row r="44" spans="1:14" ht="30.75" customHeight="1">
      <c r="A44" s="32">
        <v>11</v>
      </c>
      <c r="B44" s="171" t="s">
        <v>279</v>
      </c>
      <c r="C44" s="172" t="s">
        <v>29</v>
      </c>
      <c r="D44" s="171" t="s">
        <v>280</v>
      </c>
      <c r="E44" s="161">
        <v>4.2</v>
      </c>
      <c r="F44" s="173">
        <f>E44*12/1000</f>
        <v>5.0400000000000007E-2</v>
      </c>
      <c r="G44" s="173">
        <v>270.61</v>
      </c>
      <c r="H44" s="13"/>
      <c r="I44" s="13">
        <f>G44*F44/6</f>
        <v>2.2731240000000006</v>
      </c>
      <c r="J44" s="26"/>
      <c r="L44" s="19"/>
      <c r="M44" s="20"/>
      <c r="N44" s="21"/>
    </row>
    <row r="45" spans="1:14" ht="15" customHeight="1">
      <c r="A45" s="206" t="s">
        <v>146</v>
      </c>
      <c r="B45" s="207"/>
      <c r="C45" s="207"/>
      <c r="D45" s="207"/>
      <c r="E45" s="207"/>
      <c r="F45" s="207"/>
      <c r="G45" s="207"/>
      <c r="H45" s="207"/>
      <c r="I45" s="208"/>
      <c r="J45" s="26"/>
      <c r="L45" s="19"/>
      <c r="M45" s="20"/>
      <c r="N45" s="21"/>
    </row>
    <row r="46" spans="1:14" ht="15.75" hidden="1" customHeight="1">
      <c r="A46" s="32"/>
      <c r="B46" s="76" t="s">
        <v>130</v>
      </c>
      <c r="C46" s="77" t="s">
        <v>91</v>
      </c>
      <c r="D46" s="76" t="s">
        <v>42</v>
      </c>
      <c r="E46" s="78">
        <v>1895</v>
      </c>
      <c r="F46" s="79">
        <f>SUM(E46*2/1000)</f>
        <v>3.79</v>
      </c>
      <c r="G46" s="13">
        <v>849.49</v>
      </c>
      <c r="H46" s="80">
        <f t="shared" ref="H46:H54" si="4">SUM(F46*G46/1000)</f>
        <v>3.2195671000000003</v>
      </c>
      <c r="I46" s="13">
        <v>0</v>
      </c>
      <c r="J46" s="26"/>
      <c r="L46" s="19"/>
      <c r="M46" s="20"/>
      <c r="N46" s="21"/>
    </row>
    <row r="47" spans="1:14" ht="15.75" hidden="1" customHeight="1">
      <c r="A47" s="32"/>
      <c r="B47" s="76" t="s">
        <v>34</v>
      </c>
      <c r="C47" s="77" t="s">
        <v>91</v>
      </c>
      <c r="D47" s="76" t="s">
        <v>42</v>
      </c>
      <c r="E47" s="78">
        <v>118.2</v>
      </c>
      <c r="F47" s="79">
        <f>E47*2/1000</f>
        <v>0.2364</v>
      </c>
      <c r="G47" s="13">
        <v>579.48</v>
      </c>
      <c r="H47" s="80">
        <f t="shared" si="4"/>
        <v>0.13698907199999999</v>
      </c>
      <c r="I47" s="13">
        <v>0</v>
      </c>
      <c r="J47" s="26"/>
      <c r="L47" s="19"/>
      <c r="M47" s="20"/>
      <c r="N47" s="21"/>
    </row>
    <row r="48" spans="1:14" ht="15.75" hidden="1" customHeight="1">
      <c r="A48" s="32"/>
      <c r="B48" s="76" t="s">
        <v>35</v>
      </c>
      <c r="C48" s="77" t="s">
        <v>91</v>
      </c>
      <c r="D48" s="76" t="s">
        <v>42</v>
      </c>
      <c r="E48" s="78">
        <v>4675</v>
      </c>
      <c r="F48" s="79">
        <f>SUM(E48*2/1000)</f>
        <v>9.35</v>
      </c>
      <c r="G48" s="13">
        <v>579.48</v>
      </c>
      <c r="H48" s="80">
        <f t="shared" si="4"/>
        <v>5.4181379999999999</v>
      </c>
      <c r="I48" s="13">
        <v>0</v>
      </c>
      <c r="J48" s="26"/>
      <c r="L48" s="19"/>
      <c r="M48" s="20"/>
      <c r="N48" s="21"/>
    </row>
    <row r="49" spans="1:22" ht="15.75" hidden="1" customHeight="1">
      <c r="A49" s="32"/>
      <c r="B49" s="76" t="s">
        <v>36</v>
      </c>
      <c r="C49" s="77" t="s">
        <v>91</v>
      </c>
      <c r="D49" s="76" t="s">
        <v>42</v>
      </c>
      <c r="E49" s="78">
        <v>4675</v>
      </c>
      <c r="F49" s="79">
        <f>SUM(E49*2/1000)</f>
        <v>9.35</v>
      </c>
      <c r="G49" s="13">
        <v>606.77</v>
      </c>
      <c r="H49" s="80">
        <f t="shared" si="4"/>
        <v>5.6732994999999988</v>
      </c>
      <c r="I49" s="13">
        <v>0</v>
      </c>
      <c r="J49" s="26"/>
      <c r="L49" s="19"/>
      <c r="M49" s="20"/>
      <c r="N49" s="21"/>
    </row>
    <row r="50" spans="1:22" ht="15.75" customHeight="1">
      <c r="A50" s="32">
        <v>12</v>
      </c>
      <c r="B50" s="121" t="s">
        <v>56</v>
      </c>
      <c r="C50" s="122" t="s">
        <v>91</v>
      </c>
      <c r="D50" s="121" t="s">
        <v>281</v>
      </c>
      <c r="E50" s="158">
        <v>3988</v>
      </c>
      <c r="F50" s="159">
        <f>SUM(E50*5/1000)</f>
        <v>19.940000000000001</v>
      </c>
      <c r="G50" s="36">
        <v>1655.27</v>
      </c>
      <c r="H50" s="80">
        <f t="shared" si="4"/>
        <v>33.006083799999999</v>
      </c>
      <c r="I50" s="13">
        <f>F50/5*G50</f>
        <v>6601.2167600000002</v>
      </c>
      <c r="J50" s="26"/>
      <c r="L50" s="19"/>
      <c r="M50" s="20"/>
      <c r="N50" s="21"/>
    </row>
    <row r="51" spans="1:22" ht="31.5" hidden="1" customHeight="1">
      <c r="A51" s="32"/>
      <c r="B51" s="76" t="s">
        <v>93</v>
      </c>
      <c r="C51" s="77" t="s">
        <v>91</v>
      </c>
      <c r="D51" s="76" t="s">
        <v>42</v>
      </c>
      <c r="E51" s="78">
        <v>3988</v>
      </c>
      <c r="F51" s="79">
        <f>SUM(E51*2/1000)</f>
        <v>7.976</v>
      </c>
      <c r="G51" s="13">
        <v>1213.55</v>
      </c>
      <c r="H51" s="80">
        <f t="shared" si="4"/>
        <v>9.6792748</v>
      </c>
      <c r="I51" s="13">
        <v>0</v>
      </c>
      <c r="J51" s="26"/>
      <c r="L51" s="19"/>
      <c r="M51" s="20"/>
      <c r="N51" s="21"/>
    </row>
    <row r="52" spans="1:22" ht="31.5" hidden="1" customHeight="1">
      <c r="A52" s="32"/>
      <c r="B52" s="76" t="s">
        <v>94</v>
      </c>
      <c r="C52" s="77" t="s">
        <v>37</v>
      </c>
      <c r="D52" s="76" t="s">
        <v>42</v>
      </c>
      <c r="E52" s="78">
        <v>30</v>
      </c>
      <c r="F52" s="79">
        <f>SUM(E52*2/100)</f>
        <v>0.6</v>
      </c>
      <c r="G52" s="13">
        <v>2730.49</v>
      </c>
      <c r="H52" s="80">
        <f>SUM(F52*G52/1000)</f>
        <v>1.6382939999999999</v>
      </c>
      <c r="I52" s="13">
        <v>0</v>
      </c>
      <c r="J52" s="26"/>
      <c r="L52" s="19"/>
      <c r="M52" s="20"/>
      <c r="N52" s="21"/>
    </row>
    <row r="53" spans="1:22" ht="15.75" hidden="1" customHeight="1">
      <c r="A53" s="32"/>
      <c r="B53" s="76" t="s">
        <v>38</v>
      </c>
      <c r="C53" s="77" t="s">
        <v>39</v>
      </c>
      <c r="D53" s="76" t="s">
        <v>42</v>
      </c>
      <c r="E53" s="78">
        <v>1</v>
      </c>
      <c r="F53" s="79">
        <v>0.02</v>
      </c>
      <c r="G53" s="13">
        <v>5652.13</v>
      </c>
      <c r="H53" s="80">
        <f t="shared" si="4"/>
        <v>0.11304260000000001</v>
      </c>
      <c r="I53" s="13">
        <v>0</v>
      </c>
      <c r="J53" s="26"/>
      <c r="L53" s="19"/>
      <c r="M53" s="20"/>
      <c r="N53" s="21"/>
    </row>
    <row r="54" spans="1:22" ht="15.75" customHeight="1">
      <c r="A54" s="133">
        <v>13</v>
      </c>
      <c r="B54" s="121" t="s">
        <v>41</v>
      </c>
      <c r="C54" s="122" t="s">
        <v>110</v>
      </c>
      <c r="D54" s="121" t="s">
        <v>53</v>
      </c>
      <c r="E54" s="158">
        <v>240</v>
      </c>
      <c r="F54" s="159">
        <f>SUM(E54)*1</f>
        <v>240</v>
      </c>
      <c r="G54" s="37">
        <v>89.59</v>
      </c>
      <c r="H54" s="88">
        <f t="shared" si="4"/>
        <v>21.501600000000003</v>
      </c>
      <c r="I54" s="96">
        <f>E54*G54/3</f>
        <v>7167.2000000000007</v>
      </c>
      <c r="J54" s="26"/>
      <c r="L54" s="19"/>
      <c r="M54" s="20"/>
      <c r="N54" s="21"/>
    </row>
    <row r="55" spans="1:22" ht="15.75" customHeight="1">
      <c r="A55" s="32">
        <v>14</v>
      </c>
      <c r="B55" s="121" t="s">
        <v>282</v>
      </c>
      <c r="C55" s="122" t="s">
        <v>110</v>
      </c>
      <c r="D55" s="121" t="s">
        <v>30</v>
      </c>
      <c r="E55" s="158">
        <v>5</v>
      </c>
      <c r="F55" s="159">
        <v>60</v>
      </c>
      <c r="G55" s="164">
        <v>903.71</v>
      </c>
      <c r="H55" s="13"/>
      <c r="I55" s="13">
        <f>G55*F55/12</f>
        <v>4518.55</v>
      </c>
      <c r="J55" s="26"/>
      <c r="L55" s="19"/>
      <c r="M55" s="20"/>
      <c r="N55" s="21"/>
    </row>
    <row r="56" spans="1:22" ht="15.75" customHeight="1">
      <c r="A56" s="206" t="s">
        <v>147</v>
      </c>
      <c r="B56" s="207"/>
      <c r="C56" s="207"/>
      <c r="D56" s="207"/>
      <c r="E56" s="207"/>
      <c r="F56" s="207"/>
      <c r="G56" s="207"/>
      <c r="H56" s="207"/>
      <c r="I56" s="208"/>
      <c r="J56" s="26"/>
      <c r="L56" s="19"/>
      <c r="M56" s="20"/>
      <c r="N56" s="21"/>
    </row>
    <row r="57" spans="1:22" ht="15.75" hidden="1" customHeight="1">
      <c r="A57" s="32"/>
      <c r="B57" s="100" t="s">
        <v>43</v>
      </c>
      <c r="C57" s="77"/>
      <c r="D57" s="76"/>
      <c r="E57" s="78"/>
      <c r="F57" s="79"/>
      <c r="G57" s="79"/>
      <c r="H57" s="80"/>
      <c r="I57" s="13"/>
      <c r="J57" s="26"/>
      <c r="L57" s="19"/>
      <c r="M57" s="20"/>
      <c r="N57" s="21"/>
    </row>
    <row r="58" spans="1:22" ht="31.5" hidden="1" customHeight="1">
      <c r="A58" s="32">
        <v>19</v>
      </c>
      <c r="B58" s="76" t="s">
        <v>131</v>
      </c>
      <c r="C58" s="77" t="s">
        <v>89</v>
      </c>
      <c r="D58" s="76" t="s">
        <v>111</v>
      </c>
      <c r="E58" s="78">
        <v>30</v>
      </c>
      <c r="F58" s="79">
        <f>SUM(E58*6/100)</f>
        <v>1.8</v>
      </c>
      <c r="G58" s="13">
        <v>1547.28</v>
      </c>
      <c r="H58" s="80">
        <f>SUM(F58*G58/1000)</f>
        <v>2.785104</v>
      </c>
      <c r="I58" s="13">
        <f>F58/6*G58</f>
        <v>464.18399999999997</v>
      </c>
      <c r="J58" s="26"/>
      <c r="L58" s="19"/>
    </row>
    <row r="59" spans="1:22" ht="15.75" hidden="1" customHeight="1">
      <c r="A59" s="32">
        <v>20</v>
      </c>
      <c r="B59" s="85" t="s">
        <v>132</v>
      </c>
      <c r="C59" s="86" t="s">
        <v>133</v>
      </c>
      <c r="D59" s="85" t="s">
        <v>42</v>
      </c>
      <c r="E59" s="87">
        <v>6</v>
      </c>
      <c r="F59" s="88">
        <v>12</v>
      </c>
      <c r="G59" s="13">
        <v>180.78</v>
      </c>
      <c r="H59" s="89">
        <f>G59*F59/1000</f>
        <v>2.1693600000000002</v>
      </c>
      <c r="I59" s="13">
        <f>F59/2*G59</f>
        <v>1084.68</v>
      </c>
    </row>
    <row r="60" spans="1:22" ht="15.75" hidden="1" customHeight="1">
      <c r="A60" s="32">
        <v>21</v>
      </c>
      <c r="B60" s="85" t="s">
        <v>134</v>
      </c>
      <c r="C60" s="86" t="s">
        <v>52</v>
      </c>
      <c r="D60" s="85" t="s">
        <v>40</v>
      </c>
      <c r="E60" s="87">
        <v>6</v>
      </c>
      <c r="F60" s="88">
        <f>E60*4/100</f>
        <v>0.24</v>
      </c>
      <c r="G60" s="13">
        <v>1547.28</v>
      </c>
      <c r="H60" s="89">
        <f>G60*F60/1000</f>
        <v>0.37134719999999999</v>
      </c>
      <c r="I60" s="13">
        <f>F60/4*G60</f>
        <v>92.836799999999997</v>
      </c>
    </row>
    <row r="61" spans="1:22" ht="15.75" customHeight="1">
      <c r="A61" s="32"/>
      <c r="B61" s="101" t="s">
        <v>44</v>
      </c>
      <c r="C61" s="86"/>
      <c r="D61" s="85"/>
      <c r="E61" s="87"/>
      <c r="F61" s="88"/>
      <c r="G61" s="13"/>
      <c r="H61" s="89"/>
      <c r="I61" s="13"/>
    </row>
    <row r="62" spans="1:22" ht="15.75" hidden="1" customHeight="1">
      <c r="A62" s="32">
        <v>22</v>
      </c>
      <c r="B62" s="85" t="s">
        <v>135</v>
      </c>
      <c r="C62" s="86" t="s">
        <v>52</v>
      </c>
      <c r="D62" s="85" t="s">
        <v>53</v>
      </c>
      <c r="E62" s="87">
        <v>997</v>
      </c>
      <c r="F62" s="88">
        <v>9.9700000000000006</v>
      </c>
      <c r="G62" s="13">
        <v>793.61</v>
      </c>
      <c r="H62" s="89">
        <f>F62*G62/1000</f>
        <v>7.9122917000000008</v>
      </c>
      <c r="I62" s="13">
        <f>G62*F62</f>
        <v>7912.2917000000007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9"/>
    </row>
    <row r="63" spans="1:22" ht="15.75" customHeight="1">
      <c r="A63" s="32">
        <v>15</v>
      </c>
      <c r="B63" s="85" t="s">
        <v>136</v>
      </c>
      <c r="C63" s="86" t="s">
        <v>25</v>
      </c>
      <c r="D63" s="85" t="s">
        <v>30</v>
      </c>
      <c r="E63" s="87">
        <v>394</v>
      </c>
      <c r="F63" s="90">
        <v>2400</v>
      </c>
      <c r="G63" s="71">
        <v>1.2</v>
      </c>
      <c r="H63" s="88">
        <f>F63*G63/1000</f>
        <v>2.88</v>
      </c>
      <c r="I63" s="13">
        <f>F63/12*G63</f>
        <v>240</v>
      </c>
      <c r="J63" s="28"/>
      <c r="K63" s="28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15.75" hidden="1" customHeight="1">
      <c r="A64" s="32"/>
      <c r="B64" s="101" t="s">
        <v>45</v>
      </c>
      <c r="C64" s="86"/>
      <c r="D64" s="85"/>
      <c r="E64" s="87"/>
      <c r="F64" s="90"/>
      <c r="G64" s="90"/>
      <c r="H64" s="88" t="s">
        <v>150</v>
      </c>
      <c r="I64" s="13"/>
      <c r="J64" s="3"/>
      <c r="K64" s="3"/>
      <c r="L64" s="3"/>
      <c r="M64" s="3"/>
      <c r="N64" s="3"/>
      <c r="O64" s="3"/>
      <c r="P64" s="3"/>
      <c r="Q64" s="3"/>
      <c r="S64" s="3"/>
      <c r="T64" s="3"/>
      <c r="U64" s="3"/>
    </row>
    <row r="65" spans="1:21" ht="15.75" hidden="1" customHeight="1">
      <c r="A65" s="32">
        <v>21</v>
      </c>
      <c r="B65" s="14" t="s">
        <v>46</v>
      </c>
      <c r="C65" s="16" t="s">
        <v>110</v>
      </c>
      <c r="D65" s="76" t="s">
        <v>67</v>
      </c>
      <c r="E65" s="18">
        <v>15</v>
      </c>
      <c r="F65" s="79">
        <v>15</v>
      </c>
      <c r="G65" s="13">
        <v>222.4</v>
      </c>
      <c r="H65" s="91">
        <f t="shared" ref="H65:H81" si="5">SUM(F65*G65/1000)</f>
        <v>3.3359999999999999</v>
      </c>
      <c r="I65" s="13">
        <f>G65</f>
        <v>222.4</v>
      </c>
      <c r="J65" s="5"/>
      <c r="K65" s="5"/>
      <c r="L65" s="5"/>
      <c r="M65" s="5"/>
      <c r="N65" s="5"/>
      <c r="O65" s="5"/>
      <c r="P65" s="5"/>
      <c r="Q65" s="5"/>
      <c r="R65" s="188"/>
      <c r="S65" s="188"/>
      <c r="T65" s="188"/>
      <c r="U65" s="188"/>
    </row>
    <row r="66" spans="1:21" ht="15.75" hidden="1" customHeight="1">
      <c r="A66" s="32">
        <v>25</v>
      </c>
      <c r="B66" s="14" t="s">
        <v>47</v>
      </c>
      <c r="C66" s="16" t="s">
        <v>110</v>
      </c>
      <c r="D66" s="76" t="s">
        <v>67</v>
      </c>
      <c r="E66" s="18">
        <v>10</v>
      </c>
      <c r="F66" s="79">
        <v>10</v>
      </c>
      <c r="G66" s="13">
        <v>76.25</v>
      </c>
      <c r="H66" s="91">
        <f t="shared" si="5"/>
        <v>0.76249999999999996</v>
      </c>
      <c r="I66" s="13">
        <f>G66</f>
        <v>76.25</v>
      </c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1" ht="15.75" hidden="1" customHeight="1">
      <c r="A67" s="32"/>
      <c r="B67" s="14" t="s">
        <v>48</v>
      </c>
      <c r="C67" s="16" t="s">
        <v>112</v>
      </c>
      <c r="D67" s="14" t="s">
        <v>53</v>
      </c>
      <c r="E67" s="78">
        <v>28608</v>
      </c>
      <c r="F67" s="13">
        <f>SUM(E67/100)</f>
        <v>286.08</v>
      </c>
      <c r="G67" s="13">
        <v>199.77</v>
      </c>
      <c r="H67" s="91">
        <f t="shared" si="5"/>
        <v>57.150201600000003</v>
      </c>
      <c r="I67" s="13">
        <f>F67*G67</f>
        <v>57150.2016</v>
      </c>
    </row>
    <row r="68" spans="1:21" ht="15.75" hidden="1" customHeight="1">
      <c r="A68" s="32"/>
      <c r="B68" s="14" t="s">
        <v>49</v>
      </c>
      <c r="C68" s="16" t="s">
        <v>113</v>
      </c>
      <c r="D68" s="14"/>
      <c r="E68" s="78">
        <v>28608</v>
      </c>
      <c r="F68" s="13">
        <f>SUM(E68/1000)</f>
        <v>28.608000000000001</v>
      </c>
      <c r="G68" s="13">
        <v>155.57</v>
      </c>
      <c r="H68" s="91">
        <f t="shared" si="5"/>
        <v>4.4505465599999994</v>
      </c>
      <c r="I68" s="13">
        <f t="shared" ref="I68:I72" si="6">F68*G68</f>
        <v>4450.5465599999998</v>
      </c>
    </row>
    <row r="69" spans="1:21" ht="15.75" hidden="1" customHeight="1">
      <c r="A69" s="32"/>
      <c r="B69" s="14" t="s">
        <v>50</v>
      </c>
      <c r="C69" s="16" t="s">
        <v>77</v>
      </c>
      <c r="D69" s="14" t="s">
        <v>53</v>
      </c>
      <c r="E69" s="78">
        <v>4550</v>
      </c>
      <c r="F69" s="13">
        <f>SUM(E69/100)</f>
        <v>45.5</v>
      </c>
      <c r="G69" s="13">
        <v>2074.63</v>
      </c>
      <c r="H69" s="91">
        <f t="shared" si="5"/>
        <v>94.395665000000008</v>
      </c>
      <c r="I69" s="13">
        <f t="shared" si="6"/>
        <v>94395.665000000008</v>
      </c>
    </row>
    <row r="70" spans="1:21" ht="15.75" hidden="1" customHeight="1">
      <c r="A70" s="32"/>
      <c r="B70" s="92" t="s">
        <v>114</v>
      </c>
      <c r="C70" s="16" t="s">
        <v>33</v>
      </c>
      <c r="D70" s="14"/>
      <c r="E70" s="78">
        <v>58.5</v>
      </c>
      <c r="F70" s="13">
        <f>SUM(E70)</f>
        <v>58.5</v>
      </c>
      <c r="G70" s="13">
        <v>45.32</v>
      </c>
      <c r="H70" s="91">
        <f t="shared" si="5"/>
        <v>2.6512199999999999</v>
      </c>
      <c r="I70" s="13">
        <f t="shared" si="6"/>
        <v>2651.22</v>
      </c>
    </row>
    <row r="71" spans="1:21" ht="15.75" hidden="1" customHeight="1">
      <c r="A71" s="32"/>
      <c r="B71" s="92" t="s">
        <v>115</v>
      </c>
      <c r="C71" s="16" t="s">
        <v>33</v>
      </c>
      <c r="D71" s="14"/>
      <c r="E71" s="78">
        <v>58.5</v>
      </c>
      <c r="F71" s="13">
        <f>SUM(E71)</f>
        <v>58.5</v>
      </c>
      <c r="G71" s="13">
        <v>42.28</v>
      </c>
      <c r="H71" s="91">
        <f t="shared" si="5"/>
        <v>2.4733800000000001</v>
      </c>
      <c r="I71" s="13">
        <f t="shared" si="6"/>
        <v>2473.38</v>
      </c>
    </row>
    <row r="72" spans="1:21" ht="19.5" hidden="1" customHeight="1">
      <c r="A72" s="32"/>
      <c r="B72" s="14" t="s">
        <v>57</v>
      </c>
      <c r="C72" s="16" t="s">
        <v>58</v>
      </c>
      <c r="D72" s="14" t="s">
        <v>53</v>
      </c>
      <c r="E72" s="18">
        <v>5</v>
      </c>
      <c r="F72" s="79">
        <v>5</v>
      </c>
      <c r="G72" s="13">
        <v>49.88</v>
      </c>
      <c r="H72" s="91">
        <f t="shared" si="5"/>
        <v>0.24940000000000001</v>
      </c>
      <c r="I72" s="13">
        <f t="shared" si="6"/>
        <v>249.4</v>
      </c>
    </row>
    <row r="73" spans="1:21" ht="19.5" customHeight="1">
      <c r="A73" s="32"/>
      <c r="B73" s="167" t="s">
        <v>286</v>
      </c>
      <c r="C73" s="166"/>
      <c r="D73" s="39"/>
      <c r="E73" s="17"/>
      <c r="F73" s="119"/>
      <c r="G73" s="36"/>
      <c r="H73" s="91"/>
      <c r="I73" s="13"/>
    </row>
    <row r="74" spans="1:21" ht="30" customHeight="1">
      <c r="A74" s="32">
        <v>16</v>
      </c>
      <c r="B74" s="39" t="s">
        <v>287</v>
      </c>
      <c r="C74" s="168" t="s">
        <v>288</v>
      </c>
      <c r="D74" s="39" t="s">
        <v>276</v>
      </c>
      <c r="E74" s="17">
        <v>6980.3</v>
      </c>
      <c r="F74" s="36">
        <f>E74*12</f>
        <v>83763.600000000006</v>
      </c>
      <c r="G74" s="36">
        <v>2.37</v>
      </c>
      <c r="H74" s="91"/>
      <c r="I74" s="13">
        <f>G74*F74/12</f>
        <v>16543.311000000002</v>
      </c>
    </row>
    <row r="75" spans="1:21" ht="15.75" customHeight="1">
      <c r="A75" s="32"/>
      <c r="B75" s="185" t="s">
        <v>72</v>
      </c>
      <c r="C75" s="16"/>
      <c r="D75" s="14"/>
      <c r="E75" s="18"/>
      <c r="F75" s="13"/>
      <c r="G75" s="13"/>
      <c r="H75" s="91" t="s">
        <v>150</v>
      </c>
      <c r="I75" s="13"/>
    </row>
    <row r="76" spans="1:21" ht="15.75" hidden="1" customHeight="1">
      <c r="A76" s="32">
        <v>22</v>
      </c>
      <c r="B76" s="14" t="s">
        <v>73</v>
      </c>
      <c r="C76" s="16" t="s">
        <v>75</v>
      </c>
      <c r="D76" s="14"/>
      <c r="E76" s="18">
        <v>10</v>
      </c>
      <c r="F76" s="13">
        <v>1</v>
      </c>
      <c r="G76" s="13">
        <v>501.62</v>
      </c>
      <c r="H76" s="91">
        <f t="shared" si="5"/>
        <v>0.50161999999999995</v>
      </c>
      <c r="I76" s="13">
        <f>G76*1.2</f>
        <v>601.94399999999996</v>
      </c>
    </row>
    <row r="77" spans="1:21" ht="15.75" hidden="1" customHeight="1">
      <c r="A77" s="32"/>
      <c r="B77" s="14" t="s">
        <v>74</v>
      </c>
      <c r="C77" s="16" t="s">
        <v>31</v>
      </c>
      <c r="D77" s="14"/>
      <c r="E77" s="18">
        <v>3</v>
      </c>
      <c r="F77" s="71">
        <v>3</v>
      </c>
      <c r="G77" s="13">
        <v>852.99</v>
      </c>
      <c r="H77" s="91">
        <f>F77*G77/1000</f>
        <v>2.5589700000000004</v>
      </c>
      <c r="I77" s="13">
        <v>0</v>
      </c>
    </row>
    <row r="78" spans="1:21" ht="27.75" hidden="1" customHeight="1">
      <c r="A78" s="32"/>
      <c r="B78" s="14" t="s">
        <v>117</v>
      </c>
      <c r="C78" s="16" t="s">
        <v>31</v>
      </c>
      <c r="D78" s="14"/>
      <c r="E78" s="18">
        <v>1</v>
      </c>
      <c r="F78" s="13">
        <v>1</v>
      </c>
      <c r="G78" s="13">
        <v>358.51</v>
      </c>
      <c r="H78" s="91">
        <f>G78*F78/1000</f>
        <v>0.35851</v>
      </c>
      <c r="I78" s="13">
        <v>0</v>
      </c>
    </row>
    <row r="79" spans="1:21" ht="27.75" customHeight="1">
      <c r="A79" s="32">
        <v>17</v>
      </c>
      <c r="B79" s="39" t="s">
        <v>293</v>
      </c>
      <c r="C79" s="166" t="s">
        <v>110</v>
      </c>
      <c r="D79" s="39" t="s">
        <v>30</v>
      </c>
      <c r="E79" s="17">
        <v>2</v>
      </c>
      <c r="F79" s="36">
        <v>24</v>
      </c>
      <c r="G79" s="36">
        <v>55.55</v>
      </c>
      <c r="H79" s="91"/>
      <c r="I79" s="13">
        <f>G79*2</f>
        <v>111.1</v>
      </c>
    </row>
    <row r="80" spans="1:21" ht="28.5" hidden="1" customHeight="1">
      <c r="A80" s="32"/>
      <c r="B80" s="94" t="s">
        <v>76</v>
      </c>
      <c r="C80" s="16"/>
      <c r="D80" s="14"/>
      <c r="E80" s="18"/>
      <c r="F80" s="13"/>
      <c r="G80" s="13" t="s">
        <v>150</v>
      </c>
      <c r="H80" s="91" t="s">
        <v>150</v>
      </c>
      <c r="I80" s="13"/>
    </row>
    <row r="81" spans="1:9" ht="30.75" hidden="1" customHeight="1">
      <c r="A81" s="32"/>
      <c r="B81" s="47" t="s">
        <v>165</v>
      </c>
      <c r="C81" s="16" t="s">
        <v>77</v>
      </c>
      <c r="D81" s="14"/>
      <c r="E81" s="18"/>
      <c r="F81" s="13">
        <v>1.2</v>
      </c>
      <c r="G81" s="13">
        <v>2759.44</v>
      </c>
      <c r="H81" s="91">
        <f t="shared" si="5"/>
        <v>3.311328</v>
      </c>
      <c r="I81" s="13">
        <v>0</v>
      </c>
    </row>
    <row r="82" spans="1:9" ht="21.75" customHeight="1">
      <c r="A82" s="32"/>
      <c r="B82" s="70" t="s">
        <v>95</v>
      </c>
      <c r="C82" s="70"/>
      <c r="D82" s="70"/>
      <c r="E82" s="70"/>
      <c r="F82" s="70"/>
      <c r="G82" s="82"/>
      <c r="H82" s="95">
        <f>SUM(H58:H81)</f>
        <v>188.31744405999999</v>
      </c>
      <c r="I82" s="82"/>
    </row>
    <row r="83" spans="1:9" ht="19.5" customHeight="1">
      <c r="A83" s="32">
        <v>18</v>
      </c>
      <c r="B83" s="102" t="s">
        <v>116</v>
      </c>
      <c r="C83" s="23"/>
      <c r="D83" s="22"/>
      <c r="E83" s="72"/>
      <c r="F83" s="103">
        <v>1</v>
      </c>
      <c r="G83" s="13">
        <v>5243</v>
      </c>
      <c r="H83" s="91">
        <f>G83*F83/1000</f>
        <v>5.2430000000000003</v>
      </c>
      <c r="I83" s="13">
        <f>G83*1</f>
        <v>5243</v>
      </c>
    </row>
    <row r="84" spans="1:9" ht="15.75" customHeight="1">
      <c r="A84" s="189" t="s">
        <v>148</v>
      </c>
      <c r="B84" s="190"/>
      <c r="C84" s="190"/>
      <c r="D84" s="190"/>
      <c r="E84" s="190"/>
      <c r="F84" s="190"/>
      <c r="G84" s="190"/>
      <c r="H84" s="190"/>
      <c r="I84" s="191"/>
    </row>
    <row r="85" spans="1:9" ht="15.75" customHeight="1">
      <c r="A85" s="32">
        <v>19</v>
      </c>
      <c r="B85" s="121" t="s">
        <v>118</v>
      </c>
      <c r="C85" s="166" t="s">
        <v>54</v>
      </c>
      <c r="D85" s="51"/>
      <c r="E85" s="36">
        <v>6980.3</v>
      </c>
      <c r="F85" s="36">
        <f>SUM(E85*12)</f>
        <v>83763.600000000006</v>
      </c>
      <c r="G85" s="36">
        <v>3.22</v>
      </c>
      <c r="H85" s="91">
        <f>SUM(F85*G85/1000)</f>
        <v>269.71879200000001</v>
      </c>
      <c r="I85" s="13">
        <f>F85/12*G85</f>
        <v>22476.566000000003</v>
      </c>
    </row>
    <row r="86" spans="1:9" ht="31.5" customHeight="1">
      <c r="A86" s="32">
        <v>20</v>
      </c>
      <c r="B86" s="39" t="s">
        <v>78</v>
      </c>
      <c r="C86" s="166"/>
      <c r="D86" s="111"/>
      <c r="E86" s="158">
        <f>E85</f>
        <v>6980.3</v>
      </c>
      <c r="F86" s="36">
        <f>E86*12</f>
        <v>83763.600000000006</v>
      </c>
      <c r="G86" s="36">
        <v>3.64</v>
      </c>
      <c r="H86" s="91">
        <f>F86*G86/1000</f>
        <v>304.89950400000004</v>
      </c>
      <c r="I86" s="13">
        <f>F86/12*G86</f>
        <v>25408.292000000001</v>
      </c>
    </row>
    <row r="87" spans="1:9" ht="15.75" customHeight="1">
      <c r="A87" s="32"/>
      <c r="B87" s="40" t="s">
        <v>81</v>
      </c>
      <c r="C87" s="94"/>
      <c r="D87" s="93"/>
      <c r="E87" s="82"/>
      <c r="F87" s="82"/>
      <c r="G87" s="82"/>
      <c r="H87" s="95">
        <f>H86</f>
        <v>304.89950400000004</v>
      </c>
      <c r="I87" s="82">
        <f>I86+I85+I83+I79+I74+I63+I55+I54+I50+I44+I43+I42+I41+I40+I39+I38+I26+I18+I17+I16</f>
        <v>131200.449264</v>
      </c>
    </row>
    <row r="88" spans="1:9" ht="15.75" customHeight="1">
      <c r="A88" s="200" t="s">
        <v>60</v>
      </c>
      <c r="B88" s="201"/>
      <c r="C88" s="201"/>
      <c r="D88" s="201"/>
      <c r="E88" s="201"/>
      <c r="F88" s="201"/>
      <c r="G88" s="201"/>
      <c r="H88" s="201"/>
      <c r="I88" s="202"/>
    </row>
    <row r="89" spans="1:9" ht="31.5" customHeight="1">
      <c r="A89" s="32">
        <v>21</v>
      </c>
      <c r="B89" s="52" t="s">
        <v>335</v>
      </c>
      <c r="C89" s="53" t="s">
        <v>110</v>
      </c>
      <c r="D89" s="39"/>
      <c r="E89" s="17"/>
      <c r="F89" s="36"/>
      <c r="G89" s="36">
        <v>6062.01</v>
      </c>
      <c r="H89" s="110">
        <f t="shared" ref="H89" si="7">G89*F89/1000</f>
        <v>0</v>
      </c>
      <c r="I89" s="13">
        <f>G89*1</f>
        <v>6062.01</v>
      </c>
    </row>
    <row r="90" spans="1:9" ht="15.75" customHeight="1">
      <c r="A90" s="32">
        <v>22</v>
      </c>
      <c r="B90" s="52" t="s">
        <v>83</v>
      </c>
      <c r="C90" s="53" t="s">
        <v>110</v>
      </c>
      <c r="D90" s="14"/>
      <c r="E90" s="18"/>
      <c r="F90" s="13"/>
      <c r="G90" s="36">
        <v>197.48</v>
      </c>
      <c r="H90" s="91">
        <f t="shared" ref="H90" si="8">G90*F90/1000</f>
        <v>0</v>
      </c>
      <c r="I90" s="13">
        <f>G90*2</f>
        <v>394.96</v>
      </c>
    </row>
    <row r="91" spans="1:9" ht="15.75" customHeight="1">
      <c r="A91" s="32">
        <v>23</v>
      </c>
      <c r="B91" s="125" t="s">
        <v>336</v>
      </c>
      <c r="C91" s="114" t="s">
        <v>337</v>
      </c>
      <c r="D91" s="111"/>
      <c r="E91" s="36"/>
      <c r="F91" s="36">
        <f>(3+4+15+15+15+5+20+20+15+10+15+15+7+6+15+3+10+10+15+7+20+3)/3</f>
        <v>82.666666666666671</v>
      </c>
      <c r="G91" s="36">
        <v>356</v>
      </c>
      <c r="H91" s="110">
        <f t="shared" ref="H91:H96" si="9">G91*F91/1000</f>
        <v>29.429333333333336</v>
      </c>
      <c r="I91" s="13">
        <f>G91*20</f>
        <v>7120</v>
      </c>
    </row>
    <row r="92" spans="1:9" ht="36.75" customHeight="1">
      <c r="A92" s="32">
        <v>24</v>
      </c>
      <c r="B92" s="52" t="s">
        <v>151</v>
      </c>
      <c r="C92" s="53" t="s">
        <v>152</v>
      </c>
      <c r="D92" s="39"/>
      <c r="E92" s="17"/>
      <c r="F92" s="36">
        <v>13</v>
      </c>
      <c r="G92" s="36">
        <v>56.34</v>
      </c>
      <c r="H92" s="110">
        <f t="shared" si="9"/>
        <v>0.73242000000000007</v>
      </c>
      <c r="I92" s="13">
        <f>G92*1</f>
        <v>56.34</v>
      </c>
    </row>
    <row r="93" spans="1:9" ht="15.75" customHeight="1">
      <c r="A93" s="32">
        <v>25</v>
      </c>
      <c r="B93" s="125" t="s">
        <v>222</v>
      </c>
      <c r="C93" s="53" t="s">
        <v>110</v>
      </c>
      <c r="D93" s="111"/>
      <c r="E93" s="36"/>
      <c r="F93" s="36">
        <v>2</v>
      </c>
      <c r="G93" s="36">
        <v>197.26</v>
      </c>
      <c r="H93" s="36">
        <f t="shared" si="9"/>
        <v>0.39451999999999998</v>
      </c>
      <c r="I93" s="13">
        <f>G93*2</f>
        <v>394.52</v>
      </c>
    </row>
    <row r="94" spans="1:9" ht="15" customHeight="1">
      <c r="A94" s="32">
        <v>26</v>
      </c>
      <c r="B94" s="52" t="s">
        <v>199</v>
      </c>
      <c r="C94" s="53" t="s">
        <v>191</v>
      </c>
      <c r="D94" s="39"/>
      <c r="E94" s="17"/>
      <c r="F94" s="36">
        <v>0.05</v>
      </c>
      <c r="G94" s="13">
        <v>134.12</v>
      </c>
      <c r="H94" s="110">
        <f t="shared" si="9"/>
        <v>6.7060000000000002E-3</v>
      </c>
      <c r="I94" s="13">
        <f>G94*3</f>
        <v>402.36</v>
      </c>
    </row>
    <row r="95" spans="1:9" ht="31.5" customHeight="1">
      <c r="A95" s="32">
        <v>27</v>
      </c>
      <c r="B95" s="52" t="s">
        <v>338</v>
      </c>
      <c r="C95" s="53" t="s">
        <v>154</v>
      </c>
      <c r="D95" s="39"/>
      <c r="E95" s="17"/>
      <c r="F95" s="36">
        <v>3</v>
      </c>
      <c r="G95" s="13">
        <v>530.58000000000004</v>
      </c>
      <c r="H95" s="110">
        <f t="shared" si="9"/>
        <v>1.5917400000000002</v>
      </c>
      <c r="I95" s="13">
        <f>G95*1</f>
        <v>530.58000000000004</v>
      </c>
    </row>
    <row r="96" spans="1:9" ht="15.75" customHeight="1">
      <c r="A96" s="32">
        <v>28</v>
      </c>
      <c r="B96" s="52" t="s">
        <v>301</v>
      </c>
      <c r="C96" s="53" t="s">
        <v>110</v>
      </c>
      <c r="D96" s="47"/>
      <c r="E96" s="36"/>
      <c r="F96" s="36">
        <v>0.01</v>
      </c>
      <c r="G96" s="13">
        <v>89.59</v>
      </c>
      <c r="H96" s="110">
        <f t="shared" si="9"/>
        <v>8.9590000000000004E-4</v>
      </c>
      <c r="I96" s="13">
        <f>G96*1</f>
        <v>89.59</v>
      </c>
    </row>
    <row r="97" spans="1:9" ht="15.75" customHeight="1">
      <c r="A97" s="32">
        <v>29</v>
      </c>
      <c r="B97" s="170" t="s">
        <v>339</v>
      </c>
      <c r="C97" s="168" t="s">
        <v>97</v>
      </c>
      <c r="D97" s="47"/>
      <c r="E97" s="36"/>
      <c r="F97" s="36"/>
      <c r="G97" s="13">
        <v>3413.41</v>
      </c>
      <c r="H97" s="110"/>
      <c r="I97" s="13">
        <f>G97*0.15</f>
        <v>512.01149999999996</v>
      </c>
    </row>
    <row r="98" spans="1:9" ht="15.75" customHeight="1">
      <c r="A98" s="32">
        <v>30</v>
      </c>
      <c r="B98" s="52" t="s">
        <v>303</v>
      </c>
      <c r="C98" s="53" t="s">
        <v>85</v>
      </c>
      <c r="D98" s="47"/>
      <c r="E98" s="36"/>
      <c r="F98" s="36"/>
      <c r="G98" s="36">
        <v>203.68</v>
      </c>
      <c r="H98" s="110"/>
      <c r="I98" s="13">
        <f>G98*3</f>
        <v>611.04</v>
      </c>
    </row>
    <row r="99" spans="1:9" ht="33" customHeight="1">
      <c r="A99" s="32">
        <v>31</v>
      </c>
      <c r="B99" s="52" t="s">
        <v>340</v>
      </c>
      <c r="C99" s="53" t="s">
        <v>110</v>
      </c>
      <c r="D99" s="16" t="s">
        <v>345</v>
      </c>
      <c r="E99" s="36"/>
      <c r="F99" s="36"/>
      <c r="G99" s="36">
        <v>1078.9000000000001</v>
      </c>
      <c r="H99" s="110"/>
      <c r="I99" s="13">
        <f>G99*2</f>
        <v>2157.8000000000002</v>
      </c>
    </row>
    <row r="100" spans="1:9" ht="15.75" customHeight="1">
      <c r="A100" s="32">
        <v>32</v>
      </c>
      <c r="B100" s="52" t="s">
        <v>341</v>
      </c>
      <c r="C100" s="53" t="s">
        <v>110</v>
      </c>
      <c r="D100" s="47"/>
      <c r="E100" s="36"/>
      <c r="F100" s="36"/>
      <c r="G100" s="36">
        <v>86.15</v>
      </c>
      <c r="H100" s="110"/>
      <c r="I100" s="13">
        <f>G100*1</f>
        <v>86.15</v>
      </c>
    </row>
    <row r="101" spans="1:9" ht="15.75" customHeight="1">
      <c r="A101" s="32">
        <v>33</v>
      </c>
      <c r="B101" s="52" t="s">
        <v>342</v>
      </c>
      <c r="C101" s="53" t="s">
        <v>110</v>
      </c>
      <c r="D101" s="47"/>
      <c r="E101" s="36"/>
      <c r="F101" s="36"/>
      <c r="G101" s="36">
        <v>89.15</v>
      </c>
      <c r="H101" s="110"/>
      <c r="I101" s="13">
        <f>G101*1</f>
        <v>89.15</v>
      </c>
    </row>
    <row r="102" spans="1:9" ht="15.75" customHeight="1">
      <c r="A102" s="32">
        <v>34</v>
      </c>
      <c r="B102" s="52" t="s">
        <v>343</v>
      </c>
      <c r="C102" s="53" t="s">
        <v>110</v>
      </c>
      <c r="D102" s="47"/>
      <c r="E102" s="36"/>
      <c r="F102" s="36"/>
      <c r="G102" s="36">
        <v>78.89</v>
      </c>
      <c r="H102" s="110"/>
      <c r="I102" s="13">
        <f>G102*1</f>
        <v>78.89</v>
      </c>
    </row>
    <row r="103" spans="1:9" ht="15.75" customHeight="1">
      <c r="A103" s="32">
        <v>35</v>
      </c>
      <c r="B103" s="52" t="s">
        <v>344</v>
      </c>
      <c r="C103" s="53" t="s">
        <v>110</v>
      </c>
      <c r="D103" s="47"/>
      <c r="E103" s="36"/>
      <c r="F103" s="36"/>
      <c r="G103" s="36">
        <v>48.69</v>
      </c>
      <c r="H103" s="110"/>
      <c r="I103" s="13">
        <f>G103*1</f>
        <v>48.69</v>
      </c>
    </row>
    <row r="104" spans="1:9" ht="15.75" customHeight="1">
      <c r="A104" s="32">
        <v>36</v>
      </c>
      <c r="B104" s="52" t="s">
        <v>208</v>
      </c>
      <c r="C104" s="53" t="s">
        <v>110</v>
      </c>
      <c r="D104" s="47"/>
      <c r="E104" s="36"/>
      <c r="F104" s="36"/>
      <c r="G104" s="36">
        <v>53.17</v>
      </c>
      <c r="H104" s="110"/>
      <c r="I104" s="13">
        <f>G104*1</f>
        <v>53.17</v>
      </c>
    </row>
    <row r="105" spans="1:9" ht="15.75" customHeight="1">
      <c r="A105" s="32"/>
      <c r="B105" s="45" t="s">
        <v>51</v>
      </c>
      <c r="C105" s="41"/>
      <c r="D105" s="48"/>
      <c r="E105" s="41">
        <v>1</v>
      </c>
      <c r="F105" s="41"/>
      <c r="G105" s="41"/>
      <c r="H105" s="41"/>
      <c r="I105" s="34">
        <f>SUM(I89:I104)</f>
        <v>18687.261500000001</v>
      </c>
    </row>
    <row r="106" spans="1:9">
      <c r="A106" s="32"/>
      <c r="B106" s="47" t="s">
        <v>79</v>
      </c>
      <c r="C106" s="15"/>
      <c r="D106" s="15"/>
      <c r="E106" s="42"/>
      <c r="F106" s="42"/>
      <c r="G106" s="43"/>
      <c r="H106" s="43"/>
      <c r="I106" s="17">
        <v>0</v>
      </c>
    </row>
    <row r="107" spans="1:9">
      <c r="A107" s="49"/>
      <c r="B107" s="46" t="s">
        <v>179</v>
      </c>
      <c r="C107" s="35"/>
      <c r="D107" s="35"/>
      <c r="E107" s="35"/>
      <c r="F107" s="35"/>
      <c r="G107" s="35"/>
      <c r="H107" s="35"/>
      <c r="I107" s="44">
        <f>I87+I105</f>
        <v>149887.71076399999</v>
      </c>
    </row>
    <row r="108" spans="1:9" ht="15.75">
      <c r="A108" s="192" t="s">
        <v>346</v>
      </c>
      <c r="B108" s="192"/>
      <c r="C108" s="192"/>
      <c r="D108" s="192"/>
      <c r="E108" s="192"/>
      <c r="F108" s="192"/>
      <c r="G108" s="192"/>
      <c r="H108" s="192"/>
      <c r="I108" s="192"/>
    </row>
    <row r="109" spans="1:9" ht="15.75" customHeight="1">
      <c r="A109" s="60"/>
      <c r="B109" s="193" t="s">
        <v>347</v>
      </c>
      <c r="C109" s="193"/>
      <c r="D109" s="193"/>
      <c r="E109" s="193"/>
      <c r="F109" s="193"/>
      <c r="G109" s="193"/>
      <c r="H109" s="75"/>
      <c r="I109" s="3"/>
    </row>
    <row r="110" spans="1:9">
      <c r="A110" s="106"/>
      <c r="B110" s="194" t="s">
        <v>6</v>
      </c>
      <c r="C110" s="194"/>
      <c r="D110" s="194"/>
      <c r="E110" s="194"/>
      <c r="F110" s="194"/>
      <c r="G110" s="194"/>
      <c r="H110" s="27"/>
      <c r="I110" s="5"/>
    </row>
    <row r="111" spans="1:9">
      <c r="A111" s="10"/>
      <c r="B111" s="10"/>
      <c r="C111" s="10"/>
      <c r="D111" s="10"/>
      <c r="E111" s="10"/>
      <c r="F111" s="10"/>
      <c r="G111" s="10"/>
      <c r="H111" s="10"/>
      <c r="I111" s="10"/>
    </row>
    <row r="112" spans="1:9" ht="15.75">
      <c r="A112" s="195" t="s">
        <v>7</v>
      </c>
      <c r="B112" s="195"/>
      <c r="C112" s="195"/>
      <c r="D112" s="195"/>
      <c r="E112" s="195"/>
      <c r="F112" s="195"/>
      <c r="G112" s="195"/>
      <c r="H112" s="195"/>
      <c r="I112" s="195"/>
    </row>
    <row r="113" spans="1:9" ht="15.75">
      <c r="A113" s="195" t="s">
        <v>8</v>
      </c>
      <c r="B113" s="195"/>
      <c r="C113" s="195"/>
      <c r="D113" s="195"/>
      <c r="E113" s="195"/>
      <c r="F113" s="195"/>
      <c r="G113" s="195"/>
      <c r="H113" s="195"/>
      <c r="I113" s="195"/>
    </row>
    <row r="114" spans="1:9" ht="15.75">
      <c r="A114" s="196" t="s">
        <v>61</v>
      </c>
      <c r="B114" s="196"/>
      <c r="C114" s="196"/>
      <c r="D114" s="196"/>
      <c r="E114" s="196"/>
      <c r="F114" s="196"/>
      <c r="G114" s="196"/>
      <c r="H114" s="196"/>
      <c r="I114" s="196"/>
    </row>
    <row r="115" spans="1:9" ht="15.75">
      <c r="A115" s="11"/>
    </row>
    <row r="116" spans="1:9" ht="15.75">
      <c r="A116" s="197" t="s">
        <v>9</v>
      </c>
      <c r="B116" s="197"/>
      <c r="C116" s="197"/>
      <c r="D116" s="197"/>
      <c r="E116" s="197"/>
      <c r="F116" s="197"/>
      <c r="G116" s="197"/>
      <c r="H116" s="197"/>
      <c r="I116" s="197"/>
    </row>
    <row r="117" spans="1:9" ht="15.75" customHeight="1">
      <c r="A117" s="4"/>
    </row>
    <row r="118" spans="1:9" ht="15.75" customHeight="1">
      <c r="B118" s="108" t="s">
        <v>10</v>
      </c>
      <c r="C118" s="198" t="s">
        <v>142</v>
      </c>
      <c r="D118" s="198"/>
      <c r="E118" s="198"/>
      <c r="F118" s="73"/>
      <c r="I118" s="109"/>
    </row>
    <row r="119" spans="1:9" ht="15.75" customHeight="1">
      <c r="A119" s="106"/>
      <c r="C119" s="194" t="s">
        <v>11</v>
      </c>
      <c r="D119" s="194"/>
      <c r="E119" s="194"/>
      <c r="F119" s="27"/>
      <c r="I119" s="107" t="s">
        <v>12</v>
      </c>
    </row>
    <row r="120" spans="1:9" ht="15.75" customHeight="1">
      <c r="A120" s="28"/>
      <c r="C120" s="12"/>
      <c r="D120" s="12"/>
      <c r="G120" s="12"/>
      <c r="H120" s="12"/>
    </row>
    <row r="121" spans="1:9" ht="15.75">
      <c r="B121" s="108" t="s">
        <v>13</v>
      </c>
      <c r="C121" s="199"/>
      <c r="D121" s="199"/>
      <c r="E121" s="199"/>
      <c r="F121" s="74"/>
      <c r="I121" s="109"/>
    </row>
    <row r="122" spans="1:9">
      <c r="A122" s="106"/>
      <c r="C122" s="188" t="s">
        <v>11</v>
      </c>
      <c r="D122" s="188"/>
      <c r="E122" s="188"/>
      <c r="F122" s="106"/>
      <c r="I122" s="107" t="s">
        <v>12</v>
      </c>
    </row>
    <row r="123" spans="1:9" ht="15.75">
      <c r="A123" s="4" t="s">
        <v>14</v>
      </c>
    </row>
    <row r="124" spans="1:9">
      <c r="A124" s="186" t="s">
        <v>15</v>
      </c>
      <c r="B124" s="186"/>
      <c r="C124" s="186"/>
      <c r="D124" s="186"/>
      <c r="E124" s="186"/>
      <c r="F124" s="186"/>
      <c r="G124" s="186"/>
      <c r="H124" s="186"/>
      <c r="I124" s="186"/>
    </row>
    <row r="125" spans="1:9" ht="45" customHeight="1">
      <c r="A125" s="187" t="s">
        <v>16</v>
      </c>
      <c r="B125" s="187"/>
      <c r="C125" s="187"/>
      <c r="D125" s="187"/>
      <c r="E125" s="187"/>
      <c r="F125" s="187"/>
      <c r="G125" s="187"/>
      <c r="H125" s="187"/>
      <c r="I125" s="187"/>
    </row>
    <row r="126" spans="1:9" ht="30" customHeight="1">
      <c r="A126" s="187" t="s">
        <v>17</v>
      </c>
      <c r="B126" s="187"/>
      <c r="C126" s="187"/>
      <c r="D126" s="187"/>
      <c r="E126" s="187"/>
      <c r="F126" s="187"/>
      <c r="G126" s="187"/>
      <c r="H126" s="187"/>
      <c r="I126" s="187"/>
    </row>
    <row r="127" spans="1:9" ht="30" customHeight="1">
      <c r="A127" s="187" t="s">
        <v>21</v>
      </c>
      <c r="B127" s="187"/>
      <c r="C127" s="187"/>
      <c r="D127" s="187"/>
      <c r="E127" s="187"/>
      <c r="F127" s="187"/>
      <c r="G127" s="187"/>
      <c r="H127" s="187"/>
      <c r="I127" s="187"/>
    </row>
    <row r="128" spans="1:9" ht="15" customHeight="1">
      <c r="A128" s="187" t="s">
        <v>20</v>
      </c>
      <c r="B128" s="187"/>
      <c r="C128" s="187"/>
      <c r="D128" s="187"/>
      <c r="E128" s="187"/>
      <c r="F128" s="187"/>
      <c r="G128" s="187"/>
      <c r="H128" s="187"/>
      <c r="I128" s="187"/>
    </row>
  </sheetData>
  <autoFilter ref="I12:I60"/>
  <mergeCells count="29">
    <mergeCell ref="A124:I124"/>
    <mergeCell ref="A125:I125"/>
    <mergeCell ref="A126:I126"/>
    <mergeCell ref="A127:I127"/>
    <mergeCell ref="A128:I128"/>
    <mergeCell ref="R65:U65"/>
    <mergeCell ref="C122:E122"/>
    <mergeCell ref="A88:I88"/>
    <mergeCell ref="A108:I108"/>
    <mergeCell ref="B109:G109"/>
    <mergeCell ref="B110:G110"/>
    <mergeCell ref="A112:I112"/>
    <mergeCell ref="A113:I113"/>
    <mergeCell ref="A114:I114"/>
    <mergeCell ref="A116:I116"/>
    <mergeCell ref="C118:E118"/>
    <mergeCell ref="C119:E119"/>
    <mergeCell ref="C121:E121"/>
    <mergeCell ref="A84:I84"/>
    <mergeCell ref="A3:I3"/>
    <mergeCell ref="A4:I4"/>
    <mergeCell ref="A5:I5"/>
    <mergeCell ref="A8:I8"/>
    <mergeCell ref="A10:I10"/>
    <mergeCell ref="A14:I14"/>
    <mergeCell ref="A15:I15"/>
    <mergeCell ref="A28:I28"/>
    <mergeCell ref="A45:I45"/>
    <mergeCell ref="A56:I56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19"/>
  <sheetViews>
    <sheetView topLeftCell="A93" workbookViewId="0">
      <selection activeCell="B100" sqref="B100:G10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87</v>
      </c>
      <c r="I1" s="29"/>
      <c r="J1" s="1"/>
      <c r="K1" s="1"/>
      <c r="L1" s="1"/>
      <c r="M1" s="1"/>
    </row>
    <row r="2" spans="1:13" ht="15.75">
      <c r="A2" s="31" t="s">
        <v>62</v>
      </c>
      <c r="J2" s="2"/>
      <c r="K2" s="2"/>
      <c r="L2" s="2"/>
      <c r="M2" s="2"/>
    </row>
    <row r="3" spans="1:13" ht="15.75" customHeight="1">
      <c r="A3" s="210" t="s">
        <v>166</v>
      </c>
      <c r="B3" s="210"/>
      <c r="C3" s="210"/>
      <c r="D3" s="210"/>
      <c r="E3" s="210"/>
      <c r="F3" s="210"/>
      <c r="G3" s="210"/>
      <c r="H3" s="210"/>
      <c r="I3" s="210"/>
      <c r="J3" s="3"/>
      <c r="K3" s="3"/>
      <c r="L3" s="3"/>
    </row>
    <row r="4" spans="1:13" ht="31.5" customHeight="1">
      <c r="A4" s="211" t="s">
        <v>139</v>
      </c>
      <c r="B4" s="211"/>
      <c r="C4" s="211"/>
      <c r="D4" s="211"/>
      <c r="E4" s="211"/>
      <c r="F4" s="211"/>
      <c r="G4" s="211"/>
      <c r="H4" s="211"/>
      <c r="I4" s="211"/>
    </row>
    <row r="5" spans="1:13" ht="15.75">
      <c r="A5" s="210" t="s">
        <v>204</v>
      </c>
      <c r="B5" s="212"/>
      <c r="C5" s="212"/>
      <c r="D5" s="212"/>
      <c r="E5" s="212"/>
      <c r="F5" s="212"/>
      <c r="G5" s="212"/>
      <c r="H5" s="212"/>
      <c r="I5" s="212"/>
      <c r="J5" s="2"/>
      <c r="K5" s="2"/>
      <c r="L5" s="2"/>
      <c r="M5" s="2"/>
    </row>
    <row r="6" spans="1:13" ht="15.75">
      <c r="A6" s="2"/>
      <c r="B6" s="59"/>
      <c r="C6" s="59"/>
      <c r="D6" s="59"/>
      <c r="E6" s="59"/>
      <c r="F6" s="59"/>
      <c r="G6" s="59"/>
      <c r="H6" s="59"/>
      <c r="I6" s="33">
        <v>43159</v>
      </c>
      <c r="J6" s="2"/>
      <c r="K6" s="2"/>
      <c r="L6" s="2"/>
      <c r="M6" s="2"/>
    </row>
    <row r="7" spans="1:13" ht="15.75">
      <c r="B7" s="57"/>
      <c r="C7" s="57"/>
      <c r="D7" s="57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213" t="s">
        <v>145</v>
      </c>
      <c r="B8" s="213"/>
      <c r="C8" s="213"/>
      <c r="D8" s="213"/>
      <c r="E8" s="213"/>
      <c r="F8" s="213"/>
      <c r="G8" s="213"/>
      <c r="H8" s="213"/>
      <c r="I8" s="213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214" t="s">
        <v>175</v>
      </c>
      <c r="B10" s="214"/>
      <c r="C10" s="214"/>
      <c r="D10" s="214"/>
      <c r="E10" s="214"/>
      <c r="F10" s="214"/>
      <c r="G10" s="214"/>
      <c r="H10" s="214"/>
      <c r="I10" s="214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09" t="s">
        <v>59</v>
      </c>
      <c r="B14" s="209"/>
      <c r="C14" s="209"/>
      <c r="D14" s="209"/>
      <c r="E14" s="209"/>
      <c r="F14" s="209"/>
      <c r="G14" s="209"/>
      <c r="H14" s="209"/>
      <c r="I14" s="209"/>
      <c r="J14" s="8"/>
      <c r="K14" s="8"/>
      <c r="L14" s="8"/>
      <c r="M14" s="8"/>
    </row>
    <row r="15" spans="1:13" ht="15" customHeight="1">
      <c r="A15" s="205" t="s">
        <v>4</v>
      </c>
      <c r="B15" s="205"/>
      <c r="C15" s="205"/>
      <c r="D15" s="205"/>
      <c r="E15" s="205"/>
      <c r="F15" s="205"/>
      <c r="G15" s="205"/>
      <c r="H15" s="205"/>
      <c r="I15" s="205"/>
      <c r="J15" s="8"/>
      <c r="K15" s="8"/>
      <c r="L15" s="8"/>
      <c r="M15" s="8"/>
    </row>
    <row r="16" spans="1:13" ht="15.75" customHeight="1">
      <c r="A16" s="32">
        <v>1</v>
      </c>
      <c r="B16" s="76" t="s">
        <v>88</v>
      </c>
      <c r="C16" s="77" t="s">
        <v>89</v>
      </c>
      <c r="D16" s="76" t="s">
        <v>178</v>
      </c>
      <c r="E16" s="78">
        <v>208.08</v>
      </c>
      <c r="F16" s="79">
        <f>SUM(E16*156/100)</f>
        <v>324.60480000000001</v>
      </c>
      <c r="G16" s="79">
        <v>175.38</v>
      </c>
      <c r="H16" s="80">
        <f t="shared" ref="H16:H25" si="0">SUM(F16*G16/1000)</f>
        <v>56.929189823999998</v>
      </c>
      <c r="I16" s="13">
        <f>F16/12*G16</f>
        <v>4744.0991519999998</v>
      </c>
      <c r="J16" s="24"/>
      <c r="K16" s="8"/>
      <c r="L16" s="8"/>
      <c r="M16" s="8"/>
    </row>
    <row r="17" spans="1:13" ht="15.75" customHeight="1">
      <c r="A17" s="32">
        <v>2</v>
      </c>
      <c r="B17" s="76" t="s">
        <v>119</v>
      </c>
      <c r="C17" s="77" t="s">
        <v>89</v>
      </c>
      <c r="D17" s="76" t="s">
        <v>177</v>
      </c>
      <c r="E17" s="78">
        <v>832.32</v>
      </c>
      <c r="F17" s="79">
        <f>SUM(E17*104/100)</f>
        <v>865.61279999999999</v>
      </c>
      <c r="G17" s="79">
        <v>175.38</v>
      </c>
      <c r="H17" s="80">
        <f t="shared" si="0"/>
        <v>151.81117286399999</v>
      </c>
      <c r="I17" s="13">
        <f>F17/12*G17</f>
        <v>12650.931071999999</v>
      </c>
      <c r="J17" s="25"/>
      <c r="K17" s="8"/>
      <c r="L17" s="8"/>
      <c r="M17" s="8"/>
    </row>
    <row r="18" spans="1:13" ht="15.75" customHeight="1">
      <c r="A18" s="32">
        <v>3</v>
      </c>
      <c r="B18" s="76" t="s">
        <v>120</v>
      </c>
      <c r="C18" s="77" t="s">
        <v>89</v>
      </c>
      <c r="D18" s="76" t="s">
        <v>176</v>
      </c>
      <c r="E18" s="78">
        <v>1040.4000000000001</v>
      </c>
      <c r="F18" s="79">
        <f>SUM(E18*24/100)</f>
        <v>249.69600000000003</v>
      </c>
      <c r="G18" s="79">
        <v>504.5</v>
      </c>
      <c r="H18" s="80">
        <f t="shared" si="0"/>
        <v>125.97163200000001</v>
      </c>
      <c r="I18" s="13">
        <f>F18/12*G18</f>
        <v>10497.636000000002</v>
      </c>
      <c r="J18" s="25"/>
      <c r="K18" s="8"/>
      <c r="L18" s="8"/>
      <c r="M18" s="8"/>
    </row>
    <row r="19" spans="1:13" ht="15.75" hidden="1" customHeight="1">
      <c r="A19" s="32"/>
      <c r="B19" s="76" t="s">
        <v>96</v>
      </c>
      <c r="C19" s="77" t="s">
        <v>97</v>
      </c>
      <c r="D19" s="76" t="s">
        <v>98</v>
      </c>
      <c r="E19" s="78">
        <v>48</v>
      </c>
      <c r="F19" s="79">
        <f>SUM(E19/10)</f>
        <v>4.8</v>
      </c>
      <c r="G19" s="79">
        <v>170.16</v>
      </c>
      <c r="H19" s="80">
        <f t="shared" si="0"/>
        <v>0.81676799999999994</v>
      </c>
      <c r="I19" s="13">
        <v>0</v>
      </c>
      <c r="J19" s="25"/>
      <c r="K19" s="8"/>
      <c r="L19" s="8"/>
      <c r="M19" s="8"/>
    </row>
    <row r="20" spans="1:13" ht="15.75" customHeight="1">
      <c r="A20" s="32">
        <v>4</v>
      </c>
      <c r="B20" s="76" t="s">
        <v>99</v>
      </c>
      <c r="C20" s="77" t="s">
        <v>89</v>
      </c>
      <c r="D20" s="76" t="s">
        <v>121</v>
      </c>
      <c r="E20" s="78">
        <v>30.6</v>
      </c>
      <c r="F20" s="79">
        <f>SUM(E20*12/100)</f>
        <v>3.6720000000000006</v>
      </c>
      <c r="G20" s="79">
        <v>217.88</v>
      </c>
      <c r="H20" s="80">
        <f t="shared" si="0"/>
        <v>0.8000553600000001</v>
      </c>
      <c r="I20" s="13">
        <f>F20/12*G20</f>
        <v>66.67128000000001</v>
      </c>
      <c r="J20" s="25"/>
      <c r="K20" s="8"/>
      <c r="L20" s="8"/>
      <c r="M20" s="8"/>
    </row>
    <row r="21" spans="1:13" ht="15.75" customHeight="1">
      <c r="A21" s="32">
        <v>5</v>
      </c>
      <c r="B21" s="76" t="s">
        <v>100</v>
      </c>
      <c r="C21" s="77" t="s">
        <v>89</v>
      </c>
      <c r="D21" s="76" t="s">
        <v>30</v>
      </c>
      <c r="E21" s="78">
        <v>10.06</v>
      </c>
      <c r="F21" s="79">
        <f>SUM(E21*12/100)</f>
        <v>1.2072000000000001</v>
      </c>
      <c r="G21" s="79">
        <v>216.12</v>
      </c>
      <c r="H21" s="80">
        <f t="shared" si="0"/>
        <v>0.26090006400000004</v>
      </c>
      <c r="I21" s="13">
        <f>F21/12*G21</f>
        <v>21.741672000000001</v>
      </c>
      <c r="J21" s="25"/>
      <c r="K21" s="8"/>
      <c r="L21" s="8"/>
      <c r="M21" s="8"/>
    </row>
    <row r="22" spans="1:13" ht="15.75" hidden="1" customHeight="1">
      <c r="A22" s="32"/>
      <c r="B22" s="76" t="s">
        <v>101</v>
      </c>
      <c r="C22" s="77" t="s">
        <v>52</v>
      </c>
      <c r="D22" s="76" t="s">
        <v>98</v>
      </c>
      <c r="E22" s="78">
        <v>769.2</v>
      </c>
      <c r="F22" s="79">
        <f>SUM(E22/100)</f>
        <v>7.6920000000000002</v>
      </c>
      <c r="G22" s="79">
        <v>269.26</v>
      </c>
      <c r="H22" s="80">
        <f t="shared" si="0"/>
        <v>2.07114792</v>
      </c>
      <c r="I22" s="13">
        <v>0</v>
      </c>
      <c r="J22" s="25"/>
      <c r="K22" s="8"/>
      <c r="L22" s="8"/>
      <c r="M22" s="8"/>
    </row>
    <row r="23" spans="1:13" ht="15.75" hidden="1" customHeight="1">
      <c r="A23" s="32"/>
      <c r="B23" s="76" t="s">
        <v>102</v>
      </c>
      <c r="C23" s="77" t="s">
        <v>52</v>
      </c>
      <c r="D23" s="76" t="s">
        <v>98</v>
      </c>
      <c r="E23" s="81">
        <v>35.28</v>
      </c>
      <c r="F23" s="79">
        <f>SUM(E23/100)</f>
        <v>0.3528</v>
      </c>
      <c r="G23" s="79">
        <v>44.29</v>
      </c>
      <c r="H23" s="80">
        <f t="shared" si="0"/>
        <v>1.5625512000000001E-2</v>
      </c>
      <c r="I23" s="13">
        <v>0</v>
      </c>
      <c r="J23" s="25"/>
      <c r="K23" s="8"/>
      <c r="L23" s="8"/>
      <c r="M23" s="8"/>
    </row>
    <row r="24" spans="1:13" ht="15.75" customHeight="1">
      <c r="A24" s="32">
        <v>6</v>
      </c>
      <c r="B24" s="76" t="s">
        <v>103</v>
      </c>
      <c r="C24" s="77" t="s">
        <v>52</v>
      </c>
      <c r="D24" s="76" t="s">
        <v>30</v>
      </c>
      <c r="E24" s="78">
        <v>10.8</v>
      </c>
      <c r="F24" s="79">
        <f>E24*12/100</f>
        <v>1.2960000000000003</v>
      </c>
      <c r="G24" s="79">
        <v>389.72</v>
      </c>
      <c r="H24" s="80">
        <f t="shared" si="0"/>
        <v>0.50507712000000016</v>
      </c>
      <c r="I24" s="13">
        <f>F24/12*G24</f>
        <v>42.089760000000012</v>
      </c>
      <c r="J24" s="25"/>
      <c r="K24" s="8"/>
      <c r="L24" s="8"/>
      <c r="M24" s="8"/>
    </row>
    <row r="25" spans="1:13" ht="15.75" customHeight="1">
      <c r="A25" s="32">
        <v>7</v>
      </c>
      <c r="B25" s="76" t="s">
        <v>104</v>
      </c>
      <c r="C25" s="77" t="s">
        <v>52</v>
      </c>
      <c r="D25" s="76" t="s">
        <v>122</v>
      </c>
      <c r="E25" s="78">
        <v>21.6</v>
      </c>
      <c r="F25" s="79">
        <f>SUM(E25*12/100)</f>
        <v>2.5920000000000005</v>
      </c>
      <c r="G25" s="79">
        <v>520.79999999999995</v>
      </c>
      <c r="H25" s="80">
        <f t="shared" si="0"/>
        <v>1.3499136</v>
      </c>
      <c r="I25" s="13">
        <f>F25/12*G25</f>
        <v>112.49280000000002</v>
      </c>
      <c r="J25" s="25"/>
      <c r="K25" s="8"/>
      <c r="L25" s="8"/>
      <c r="M25" s="8"/>
    </row>
    <row r="26" spans="1:13" ht="15.75" customHeight="1">
      <c r="A26" s="32">
        <v>8</v>
      </c>
      <c r="B26" s="76" t="s">
        <v>64</v>
      </c>
      <c r="C26" s="77" t="s">
        <v>33</v>
      </c>
      <c r="D26" s="76"/>
      <c r="E26" s="78">
        <v>0.1</v>
      </c>
      <c r="F26" s="79">
        <f>SUM(E26*365)</f>
        <v>36.5</v>
      </c>
      <c r="G26" s="79">
        <v>147.03</v>
      </c>
      <c r="H26" s="80">
        <f>SUM(F26*G26/1000)</f>
        <v>5.3665950000000002</v>
      </c>
      <c r="I26" s="13">
        <f>F26/12*G26</f>
        <v>447.21625</v>
      </c>
      <c r="J26" s="26"/>
    </row>
    <row r="27" spans="1:13" ht="15.75" customHeight="1">
      <c r="A27" s="32">
        <v>9</v>
      </c>
      <c r="B27" s="84" t="s">
        <v>23</v>
      </c>
      <c r="C27" s="77" t="s">
        <v>24</v>
      </c>
      <c r="D27" s="76"/>
      <c r="E27" s="78">
        <v>6980.3</v>
      </c>
      <c r="F27" s="79">
        <f>SUM(E27*12)</f>
        <v>83763.600000000006</v>
      </c>
      <c r="G27" s="79">
        <v>4.4000000000000004</v>
      </c>
      <c r="H27" s="80">
        <f>SUM(F27*G27/1000)</f>
        <v>368.55984000000007</v>
      </c>
      <c r="I27" s="13">
        <f>F27/12*G27</f>
        <v>30713.320000000003</v>
      </c>
      <c r="J27" s="26"/>
    </row>
    <row r="28" spans="1:13" ht="15" customHeight="1">
      <c r="A28" s="205" t="s">
        <v>86</v>
      </c>
      <c r="B28" s="205"/>
      <c r="C28" s="205"/>
      <c r="D28" s="205"/>
      <c r="E28" s="205"/>
      <c r="F28" s="205"/>
      <c r="G28" s="205"/>
      <c r="H28" s="205"/>
      <c r="I28" s="205"/>
      <c r="J28" s="25"/>
      <c r="K28" s="8"/>
      <c r="L28" s="8"/>
      <c r="M28" s="8"/>
    </row>
    <row r="29" spans="1:13" ht="15.75" hidden="1" customHeight="1">
      <c r="A29" s="32"/>
      <c r="B29" s="100" t="s">
        <v>28</v>
      </c>
      <c r="C29" s="77"/>
      <c r="D29" s="76"/>
      <c r="E29" s="78"/>
      <c r="F29" s="79"/>
      <c r="G29" s="79"/>
      <c r="H29" s="80"/>
      <c r="I29" s="13"/>
      <c r="J29" s="25"/>
      <c r="K29" s="8"/>
      <c r="L29" s="8"/>
      <c r="M29" s="8"/>
    </row>
    <row r="30" spans="1:13" ht="31.5" hidden="1" customHeight="1">
      <c r="A30" s="32">
        <v>10</v>
      </c>
      <c r="B30" s="76" t="s">
        <v>108</v>
      </c>
      <c r="C30" s="77" t="s">
        <v>91</v>
      </c>
      <c r="D30" s="76" t="s">
        <v>105</v>
      </c>
      <c r="E30" s="79">
        <v>1168.05</v>
      </c>
      <c r="F30" s="79">
        <f>SUM(E30*52/1000)</f>
        <v>60.738599999999998</v>
      </c>
      <c r="G30" s="79">
        <v>155.88999999999999</v>
      </c>
      <c r="H30" s="80">
        <f t="shared" ref="H30:H36" si="1">SUM(F30*G30/1000)</f>
        <v>9.4685403539999982</v>
      </c>
      <c r="I30" s="13">
        <f>F30/6*G30</f>
        <v>1578.0900589999997</v>
      </c>
      <c r="J30" s="25"/>
      <c r="K30" s="8"/>
      <c r="L30" s="8"/>
      <c r="M30" s="8"/>
    </row>
    <row r="31" spans="1:13" ht="31.5" hidden="1" customHeight="1">
      <c r="A31" s="32">
        <v>11</v>
      </c>
      <c r="B31" s="76" t="s">
        <v>124</v>
      </c>
      <c r="C31" s="77" t="s">
        <v>91</v>
      </c>
      <c r="D31" s="76" t="s">
        <v>106</v>
      </c>
      <c r="E31" s="79">
        <v>1039.2</v>
      </c>
      <c r="F31" s="79">
        <f>SUM(E31*78/1000)</f>
        <v>81.057600000000008</v>
      </c>
      <c r="G31" s="79">
        <v>258.63</v>
      </c>
      <c r="H31" s="80">
        <f t="shared" si="1"/>
        <v>20.963927088000002</v>
      </c>
      <c r="I31" s="13">
        <f t="shared" ref="I31:I34" si="2">F31/6*G31</f>
        <v>3493.9878480000002</v>
      </c>
      <c r="J31" s="25"/>
      <c r="K31" s="8"/>
      <c r="L31" s="8"/>
      <c r="M31" s="8"/>
    </row>
    <row r="32" spans="1:13" ht="15.75" hidden="1" customHeight="1">
      <c r="A32" s="32">
        <v>16</v>
      </c>
      <c r="B32" s="76" t="s">
        <v>27</v>
      </c>
      <c r="C32" s="77" t="s">
        <v>91</v>
      </c>
      <c r="D32" s="76" t="s">
        <v>53</v>
      </c>
      <c r="E32" s="79">
        <v>584.03</v>
      </c>
      <c r="F32" s="79">
        <f>SUM(E32/1000)</f>
        <v>0.58402999999999994</v>
      </c>
      <c r="G32" s="79">
        <v>3020.33</v>
      </c>
      <c r="H32" s="80">
        <f t="shared" si="1"/>
        <v>1.7639633298999997</v>
      </c>
      <c r="I32" s="13">
        <f>F32*G32</f>
        <v>1763.9633298999997</v>
      </c>
      <c r="J32" s="25"/>
      <c r="K32" s="8"/>
      <c r="L32" s="8"/>
      <c r="M32" s="8"/>
    </row>
    <row r="33" spans="1:14" ht="15.75" hidden="1" customHeight="1">
      <c r="A33" s="32">
        <v>12</v>
      </c>
      <c r="B33" s="76" t="s">
        <v>123</v>
      </c>
      <c r="C33" s="77" t="s">
        <v>39</v>
      </c>
      <c r="D33" s="76" t="s">
        <v>63</v>
      </c>
      <c r="E33" s="79">
        <v>6</v>
      </c>
      <c r="F33" s="79">
        <f>E33*155/100</f>
        <v>9.3000000000000007</v>
      </c>
      <c r="G33" s="79">
        <v>1302.02</v>
      </c>
      <c r="H33" s="80">
        <f>G33*F33/1000</f>
        <v>12.108786</v>
      </c>
      <c r="I33" s="13">
        <f t="shared" si="2"/>
        <v>2018.1310000000001</v>
      </c>
      <c r="J33" s="25"/>
      <c r="K33" s="8"/>
      <c r="L33" s="8"/>
      <c r="M33" s="8"/>
    </row>
    <row r="34" spans="1:14" ht="15.75" hidden="1" customHeight="1">
      <c r="A34" s="32">
        <v>13</v>
      </c>
      <c r="B34" s="76" t="s">
        <v>107</v>
      </c>
      <c r="C34" s="77" t="s">
        <v>31</v>
      </c>
      <c r="D34" s="76" t="s">
        <v>63</v>
      </c>
      <c r="E34" s="83">
        <v>0.33333333333333331</v>
      </c>
      <c r="F34" s="79">
        <f>155/3</f>
        <v>51.666666666666664</v>
      </c>
      <c r="G34" s="79">
        <v>56.69</v>
      </c>
      <c r="H34" s="80">
        <f>SUM(G34*155/3/1000)</f>
        <v>2.9289833333333331</v>
      </c>
      <c r="I34" s="13">
        <f t="shared" si="2"/>
        <v>488.16388888888883</v>
      </c>
      <c r="J34" s="25"/>
      <c r="K34" s="8"/>
    </row>
    <row r="35" spans="1:14" ht="15.75" hidden="1" customHeight="1">
      <c r="A35" s="32"/>
      <c r="B35" s="76" t="s">
        <v>65</v>
      </c>
      <c r="C35" s="77" t="s">
        <v>33</v>
      </c>
      <c r="D35" s="76" t="s">
        <v>67</v>
      </c>
      <c r="E35" s="78"/>
      <c r="F35" s="79">
        <v>4</v>
      </c>
      <c r="G35" s="79">
        <v>180.15</v>
      </c>
      <c r="H35" s="80">
        <f t="shared" si="1"/>
        <v>0.72060000000000002</v>
      </c>
      <c r="I35" s="13">
        <v>0</v>
      </c>
      <c r="J35" s="26"/>
    </row>
    <row r="36" spans="1:14" ht="15.75" hidden="1" customHeight="1">
      <c r="A36" s="32"/>
      <c r="B36" s="76" t="s">
        <v>66</v>
      </c>
      <c r="C36" s="77" t="s">
        <v>32</v>
      </c>
      <c r="D36" s="76" t="s">
        <v>67</v>
      </c>
      <c r="E36" s="78"/>
      <c r="F36" s="79">
        <v>3</v>
      </c>
      <c r="G36" s="79">
        <v>1136.33</v>
      </c>
      <c r="H36" s="80">
        <f t="shared" si="1"/>
        <v>3.4089899999999997</v>
      </c>
      <c r="I36" s="13">
        <v>0</v>
      </c>
      <c r="J36" s="26"/>
    </row>
    <row r="37" spans="1:14" ht="15.75" customHeight="1">
      <c r="A37" s="32"/>
      <c r="B37" s="100" t="s">
        <v>5</v>
      </c>
      <c r="C37" s="77"/>
      <c r="D37" s="76"/>
      <c r="E37" s="78"/>
      <c r="F37" s="79"/>
      <c r="G37" s="79"/>
      <c r="H37" s="80" t="s">
        <v>150</v>
      </c>
      <c r="I37" s="13"/>
      <c r="J37" s="26"/>
    </row>
    <row r="38" spans="1:14" ht="15.75" customHeight="1">
      <c r="A38" s="32">
        <v>10</v>
      </c>
      <c r="B38" s="76" t="s">
        <v>26</v>
      </c>
      <c r="C38" s="77" t="s">
        <v>32</v>
      </c>
      <c r="D38" s="76"/>
      <c r="E38" s="78"/>
      <c r="F38" s="79">
        <v>10</v>
      </c>
      <c r="G38" s="79">
        <v>1527.22</v>
      </c>
      <c r="H38" s="80">
        <f t="shared" ref="H38:H45" si="3">SUM(F38*G38/1000)</f>
        <v>15.272200000000002</v>
      </c>
      <c r="I38" s="13">
        <f>F38/6*G38</f>
        <v>2545.3666666666668</v>
      </c>
      <c r="J38" s="26"/>
    </row>
    <row r="39" spans="1:14" ht="15.75" customHeight="1">
      <c r="A39" s="32">
        <v>11</v>
      </c>
      <c r="B39" s="76" t="s">
        <v>125</v>
      </c>
      <c r="C39" s="77" t="s">
        <v>33</v>
      </c>
      <c r="D39" s="76"/>
      <c r="E39" s="78"/>
      <c r="F39" s="79">
        <v>10</v>
      </c>
      <c r="G39" s="79">
        <v>77.94</v>
      </c>
      <c r="H39" s="80">
        <f>G39*F39/1000</f>
        <v>0.77939999999999998</v>
      </c>
      <c r="I39" s="13">
        <f>F39/6*G39</f>
        <v>129.9</v>
      </c>
      <c r="J39" s="26"/>
      <c r="L39" s="19"/>
      <c r="M39" s="20"/>
      <c r="N39" s="21"/>
    </row>
    <row r="40" spans="1:14" ht="15.75" customHeight="1">
      <c r="A40" s="32">
        <v>12</v>
      </c>
      <c r="B40" s="76" t="s">
        <v>109</v>
      </c>
      <c r="C40" s="77" t="s">
        <v>29</v>
      </c>
      <c r="D40" s="76" t="s">
        <v>126</v>
      </c>
      <c r="E40" s="78">
        <v>1039.2</v>
      </c>
      <c r="F40" s="79">
        <f>E40*25/1000</f>
        <v>25.98</v>
      </c>
      <c r="G40" s="79">
        <v>2102.71</v>
      </c>
      <c r="H40" s="80">
        <f>G40*F40/1000</f>
        <v>54.628405800000003</v>
      </c>
      <c r="I40" s="13">
        <f>F40/6*G40</f>
        <v>9104.7343000000001</v>
      </c>
      <c r="J40" s="26"/>
      <c r="L40" s="19"/>
      <c r="M40" s="20"/>
      <c r="N40" s="21"/>
    </row>
    <row r="41" spans="1:14" ht="15.75" hidden="1" customHeight="1">
      <c r="A41" s="32"/>
      <c r="B41" s="76" t="s">
        <v>127</v>
      </c>
      <c r="C41" s="77" t="s">
        <v>128</v>
      </c>
      <c r="D41" s="76" t="s">
        <v>67</v>
      </c>
      <c r="E41" s="78"/>
      <c r="F41" s="79">
        <v>50</v>
      </c>
      <c r="G41" s="79">
        <v>213.2</v>
      </c>
      <c r="H41" s="80">
        <f>G41*F41/1000</f>
        <v>10.66</v>
      </c>
      <c r="I41" s="13">
        <v>0</v>
      </c>
      <c r="J41" s="26"/>
      <c r="L41" s="19"/>
      <c r="M41" s="20"/>
      <c r="N41" s="21"/>
    </row>
    <row r="42" spans="1:14" ht="15.75" customHeight="1">
      <c r="A42" s="32">
        <v>13</v>
      </c>
      <c r="B42" s="76" t="s">
        <v>68</v>
      </c>
      <c r="C42" s="77" t="s">
        <v>29</v>
      </c>
      <c r="D42" s="76" t="s">
        <v>90</v>
      </c>
      <c r="E42" s="79">
        <v>153</v>
      </c>
      <c r="F42" s="79">
        <f>SUM(E42*155/1000)</f>
        <v>23.715</v>
      </c>
      <c r="G42" s="79">
        <v>350.75</v>
      </c>
      <c r="H42" s="80">
        <f t="shared" si="3"/>
        <v>8.3180362499999987</v>
      </c>
      <c r="I42" s="13">
        <f>F42/6*G42</f>
        <v>1386.339375</v>
      </c>
      <c r="J42" s="26"/>
      <c r="L42" s="19"/>
      <c r="M42" s="20"/>
      <c r="N42" s="21"/>
    </row>
    <row r="43" spans="1:14" ht="47.25" customHeight="1">
      <c r="A43" s="32">
        <v>14</v>
      </c>
      <c r="B43" s="76" t="s">
        <v>84</v>
      </c>
      <c r="C43" s="77" t="s">
        <v>91</v>
      </c>
      <c r="D43" s="76" t="s">
        <v>129</v>
      </c>
      <c r="E43" s="79">
        <v>24</v>
      </c>
      <c r="F43" s="79">
        <f>SUM(E43*50/1000)</f>
        <v>1.2</v>
      </c>
      <c r="G43" s="79">
        <v>5803.28</v>
      </c>
      <c r="H43" s="80">
        <f t="shared" si="3"/>
        <v>6.9639359999999995</v>
      </c>
      <c r="I43" s="13">
        <f>F43/6*G43</f>
        <v>1160.6559999999999</v>
      </c>
      <c r="J43" s="26"/>
      <c r="L43" s="19"/>
      <c r="M43" s="20"/>
      <c r="N43" s="21"/>
    </row>
    <row r="44" spans="1:14" ht="15.75" customHeight="1">
      <c r="A44" s="32">
        <v>15</v>
      </c>
      <c r="B44" s="76" t="s">
        <v>92</v>
      </c>
      <c r="C44" s="77" t="s">
        <v>91</v>
      </c>
      <c r="D44" s="76" t="s">
        <v>69</v>
      </c>
      <c r="E44" s="79">
        <v>153</v>
      </c>
      <c r="F44" s="79">
        <f>SUM(E44*45/1000)</f>
        <v>6.8849999999999998</v>
      </c>
      <c r="G44" s="79">
        <v>428.7</v>
      </c>
      <c r="H44" s="80">
        <f t="shared" si="3"/>
        <v>2.9515994999999999</v>
      </c>
      <c r="I44" s="13">
        <f>F44/7.5*G44</f>
        <v>393.54659999999996</v>
      </c>
      <c r="J44" s="26"/>
      <c r="L44" s="19"/>
      <c r="M44" s="20"/>
      <c r="N44" s="21"/>
    </row>
    <row r="45" spans="1:14" ht="15.75" customHeight="1">
      <c r="A45" s="32">
        <v>16</v>
      </c>
      <c r="B45" s="76" t="s">
        <v>70</v>
      </c>
      <c r="C45" s="77" t="s">
        <v>33</v>
      </c>
      <c r="D45" s="76"/>
      <c r="E45" s="78"/>
      <c r="F45" s="79">
        <v>0.9</v>
      </c>
      <c r="G45" s="79">
        <v>798</v>
      </c>
      <c r="H45" s="80">
        <f t="shared" si="3"/>
        <v>0.71820000000000006</v>
      </c>
      <c r="I45" s="13">
        <f>F45/7.5*G45</f>
        <v>95.76</v>
      </c>
      <c r="J45" s="26"/>
      <c r="L45" s="19"/>
      <c r="M45" s="20"/>
      <c r="N45" s="21"/>
    </row>
    <row r="46" spans="1:14" ht="15" customHeight="1">
      <c r="A46" s="206" t="s">
        <v>146</v>
      </c>
      <c r="B46" s="207"/>
      <c r="C46" s="207"/>
      <c r="D46" s="207"/>
      <c r="E46" s="207"/>
      <c r="F46" s="207"/>
      <c r="G46" s="207"/>
      <c r="H46" s="207"/>
      <c r="I46" s="208"/>
      <c r="J46" s="26"/>
      <c r="L46" s="19"/>
      <c r="M46" s="20"/>
      <c r="N46" s="21"/>
    </row>
    <row r="47" spans="1:14" ht="15.75" hidden="1" customHeight="1">
      <c r="A47" s="32"/>
      <c r="B47" s="76" t="s">
        <v>130</v>
      </c>
      <c r="C47" s="77" t="s">
        <v>91</v>
      </c>
      <c r="D47" s="76" t="s">
        <v>42</v>
      </c>
      <c r="E47" s="78">
        <v>1895</v>
      </c>
      <c r="F47" s="79">
        <f>SUM(E47*2/1000)</f>
        <v>3.79</v>
      </c>
      <c r="G47" s="13">
        <v>849.49</v>
      </c>
      <c r="H47" s="80">
        <f t="shared" ref="H47:H55" si="4">SUM(F47*G47/1000)</f>
        <v>3.2195671000000003</v>
      </c>
      <c r="I47" s="13">
        <v>0</v>
      </c>
      <c r="J47" s="26"/>
      <c r="L47" s="19"/>
      <c r="M47" s="20"/>
      <c r="N47" s="21"/>
    </row>
    <row r="48" spans="1:14" ht="15.75" hidden="1" customHeight="1">
      <c r="A48" s="32"/>
      <c r="B48" s="76" t="s">
        <v>34</v>
      </c>
      <c r="C48" s="77" t="s">
        <v>91</v>
      </c>
      <c r="D48" s="76" t="s">
        <v>42</v>
      </c>
      <c r="E48" s="78">
        <v>118.2</v>
      </c>
      <c r="F48" s="79">
        <f>E48*2/1000</f>
        <v>0.2364</v>
      </c>
      <c r="G48" s="13">
        <v>579.48</v>
      </c>
      <c r="H48" s="80">
        <f t="shared" si="4"/>
        <v>0.13698907199999999</v>
      </c>
      <c r="I48" s="13">
        <v>0</v>
      </c>
      <c r="J48" s="26"/>
      <c r="L48" s="19"/>
      <c r="M48" s="20"/>
      <c r="N48" s="21"/>
    </row>
    <row r="49" spans="1:22" ht="15.75" hidden="1" customHeight="1">
      <c r="A49" s="32"/>
      <c r="B49" s="76" t="s">
        <v>35</v>
      </c>
      <c r="C49" s="77" t="s">
        <v>91</v>
      </c>
      <c r="D49" s="76" t="s">
        <v>42</v>
      </c>
      <c r="E49" s="78">
        <v>4675</v>
      </c>
      <c r="F49" s="79">
        <f>SUM(E49*2/1000)</f>
        <v>9.35</v>
      </c>
      <c r="G49" s="13">
        <v>579.48</v>
      </c>
      <c r="H49" s="80">
        <f t="shared" si="4"/>
        <v>5.4181379999999999</v>
      </c>
      <c r="I49" s="13">
        <v>0</v>
      </c>
      <c r="J49" s="26"/>
      <c r="L49" s="19"/>
      <c r="M49" s="20"/>
      <c r="N49" s="21"/>
    </row>
    <row r="50" spans="1:22" ht="15.75" hidden="1" customHeight="1">
      <c r="A50" s="32"/>
      <c r="B50" s="76" t="s">
        <v>36</v>
      </c>
      <c r="C50" s="77" t="s">
        <v>91</v>
      </c>
      <c r="D50" s="76" t="s">
        <v>42</v>
      </c>
      <c r="E50" s="78">
        <v>4675</v>
      </c>
      <c r="F50" s="79">
        <f>SUM(E50*2/1000)</f>
        <v>9.35</v>
      </c>
      <c r="G50" s="13">
        <v>606.77</v>
      </c>
      <c r="H50" s="80">
        <f t="shared" si="4"/>
        <v>5.6732994999999988</v>
      </c>
      <c r="I50" s="13">
        <v>0</v>
      </c>
      <c r="J50" s="26"/>
      <c r="L50" s="19"/>
      <c r="M50" s="20"/>
      <c r="N50" s="21"/>
    </row>
    <row r="51" spans="1:22" ht="15.75" customHeight="1">
      <c r="A51" s="32">
        <v>17</v>
      </c>
      <c r="B51" s="76" t="s">
        <v>56</v>
      </c>
      <c r="C51" s="77" t="s">
        <v>91</v>
      </c>
      <c r="D51" s="76" t="s">
        <v>164</v>
      </c>
      <c r="E51" s="78">
        <v>3988</v>
      </c>
      <c r="F51" s="79">
        <f>SUM(E51*5/1000)</f>
        <v>19.940000000000001</v>
      </c>
      <c r="G51" s="13">
        <v>1142.7</v>
      </c>
      <c r="H51" s="80">
        <f t="shared" si="4"/>
        <v>22.785438000000003</v>
      </c>
      <c r="I51" s="13">
        <f>F51/5*G51</f>
        <v>4557.0876000000007</v>
      </c>
      <c r="J51" s="26"/>
      <c r="L51" s="19"/>
      <c r="M51" s="20"/>
      <c r="N51" s="21"/>
    </row>
    <row r="52" spans="1:22" ht="31.5" hidden="1" customHeight="1">
      <c r="A52" s="32"/>
      <c r="B52" s="76" t="s">
        <v>93</v>
      </c>
      <c r="C52" s="77" t="s">
        <v>91</v>
      </c>
      <c r="D52" s="76" t="s">
        <v>42</v>
      </c>
      <c r="E52" s="78">
        <v>3988</v>
      </c>
      <c r="F52" s="79">
        <f>SUM(E52*2/1000)</f>
        <v>7.976</v>
      </c>
      <c r="G52" s="13">
        <v>1213.55</v>
      </c>
      <c r="H52" s="80">
        <f t="shared" si="4"/>
        <v>9.6792748</v>
      </c>
      <c r="I52" s="13">
        <f t="shared" ref="I52:I53" si="5">F52/5*G52</f>
        <v>1935.8549599999999</v>
      </c>
      <c r="J52" s="26"/>
      <c r="L52" s="19"/>
      <c r="M52" s="20"/>
      <c r="N52" s="21"/>
    </row>
    <row r="53" spans="1:22" ht="31.5" hidden="1" customHeight="1">
      <c r="A53" s="32"/>
      <c r="B53" s="76" t="s">
        <v>94</v>
      </c>
      <c r="C53" s="77" t="s">
        <v>37</v>
      </c>
      <c r="D53" s="76" t="s">
        <v>42</v>
      </c>
      <c r="E53" s="78">
        <v>30</v>
      </c>
      <c r="F53" s="79">
        <f>SUM(E53*2/100)</f>
        <v>0.6</v>
      </c>
      <c r="G53" s="13">
        <v>2730.49</v>
      </c>
      <c r="H53" s="80">
        <f>SUM(F53*G53/1000)</f>
        <v>1.6382939999999999</v>
      </c>
      <c r="I53" s="13">
        <f t="shared" si="5"/>
        <v>327.65879999999999</v>
      </c>
      <c r="J53" s="26"/>
      <c r="L53" s="19"/>
      <c r="M53" s="20"/>
      <c r="N53" s="21"/>
    </row>
    <row r="54" spans="1:22" ht="15.75" hidden="1" customHeight="1">
      <c r="A54" s="32">
        <v>18</v>
      </c>
      <c r="B54" s="76" t="s">
        <v>38</v>
      </c>
      <c r="C54" s="77" t="s">
        <v>39</v>
      </c>
      <c r="D54" s="76" t="s">
        <v>42</v>
      </c>
      <c r="E54" s="78">
        <v>1</v>
      </c>
      <c r="F54" s="79">
        <v>0.02</v>
      </c>
      <c r="G54" s="13">
        <v>5652.13</v>
      </c>
      <c r="H54" s="80">
        <f t="shared" si="4"/>
        <v>0.11304260000000001</v>
      </c>
      <c r="I54" s="13">
        <f>F54/2*G54</f>
        <v>56.521300000000004</v>
      </c>
      <c r="J54" s="26"/>
      <c r="L54" s="19"/>
      <c r="M54" s="20"/>
      <c r="N54" s="21"/>
    </row>
    <row r="55" spans="1:22" ht="15.75" hidden="1" customHeight="1">
      <c r="A55" s="32">
        <v>18</v>
      </c>
      <c r="B55" s="76" t="s">
        <v>41</v>
      </c>
      <c r="C55" s="77" t="s">
        <v>110</v>
      </c>
      <c r="D55" s="76" t="s">
        <v>71</v>
      </c>
      <c r="E55" s="78">
        <v>236</v>
      </c>
      <c r="F55" s="79">
        <f>SUM(E55)*3</f>
        <v>708</v>
      </c>
      <c r="G55" s="13">
        <v>65.67</v>
      </c>
      <c r="H55" s="80">
        <f t="shared" si="4"/>
        <v>46.49436</v>
      </c>
      <c r="I55" s="13">
        <f>E55*G55</f>
        <v>15498.12</v>
      </c>
      <c r="J55" s="26"/>
      <c r="L55" s="19"/>
      <c r="M55" s="20"/>
      <c r="N55" s="21"/>
    </row>
    <row r="56" spans="1:22" ht="15.75" customHeight="1">
      <c r="A56" s="206" t="s">
        <v>147</v>
      </c>
      <c r="B56" s="207"/>
      <c r="C56" s="207"/>
      <c r="D56" s="207"/>
      <c r="E56" s="207"/>
      <c r="F56" s="207"/>
      <c r="G56" s="207"/>
      <c r="H56" s="207"/>
      <c r="I56" s="208"/>
      <c r="J56" s="26"/>
      <c r="L56" s="19"/>
      <c r="M56" s="20"/>
      <c r="N56" s="21"/>
    </row>
    <row r="57" spans="1:22" ht="15.75" customHeight="1">
      <c r="A57" s="32"/>
      <c r="B57" s="100" t="s">
        <v>43</v>
      </c>
      <c r="C57" s="77"/>
      <c r="D57" s="76"/>
      <c r="E57" s="78"/>
      <c r="F57" s="79"/>
      <c r="G57" s="79"/>
      <c r="H57" s="80"/>
      <c r="I57" s="13"/>
      <c r="J57" s="26"/>
      <c r="L57" s="19"/>
      <c r="M57" s="20"/>
      <c r="N57" s="21"/>
    </row>
    <row r="58" spans="1:22" ht="31.5" customHeight="1">
      <c r="A58" s="32">
        <v>18</v>
      </c>
      <c r="B58" s="76" t="s">
        <v>131</v>
      </c>
      <c r="C58" s="77" t="s">
        <v>89</v>
      </c>
      <c r="D58" s="76" t="s">
        <v>111</v>
      </c>
      <c r="E58" s="78">
        <v>30</v>
      </c>
      <c r="F58" s="79">
        <f>SUM(E58*6/100)</f>
        <v>1.8</v>
      </c>
      <c r="G58" s="13">
        <v>1547.28</v>
      </c>
      <c r="H58" s="80">
        <f>SUM(F58*G58/1000)</f>
        <v>2.785104</v>
      </c>
      <c r="I58" s="13">
        <f>G58*0.315</f>
        <v>487.39319999999998</v>
      </c>
      <c r="J58" s="26"/>
      <c r="L58" s="19"/>
    </row>
    <row r="59" spans="1:22" ht="15.75" hidden="1" customHeight="1">
      <c r="A59" s="32">
        <v>20</v>
      </c>
      <c r="B59" s="85" t="s">
        <v>132</v>
      </c>
      <c r="C59" s="86" t="s">
        <v>133</v>
      </c>
      <c r="D59" s="85" t="s">
        <v>42</v>
      </c>
      <c r="E59" s="87">
        <v>6</v>
      </c>
      <c r="F59" s="88">
        <v>12</v>
      </c>
      <c r="G59" s="13">
        <v>180.78</v>
      </c>
      <c r="H59" s="89">
        <f>G59*F59/1000</f>
        <v>2.1693600000000002</v>
      </c>
      <c r="I59" s="13">
        <f>F59/2*G59</f>
        <v>1084.68</v>
      </c>
    </row>
    <row r="60" spans="1:22" ht="15.75" customHeight="1">
      <c r="A60" s="32">
        <v>19</v>
      </c>
      <c r="B60" s="85" t="s">
        <v>134</v>
      </c>
      <c r="C60" s="86" t="s">
        <v>52</v>
      </c>
      <c r="D60" s="85" t="s">
        <v>40</v>
      </c>
      <c r="E60" s="87">
        <v>6</v>
      </c>
      <c r="F60" s="88">
        <f>E60*4/100</f>
        <v>0.24</v>
      </c>
      <c r="G60" s="13">
        <v>1547.28</v>
      </c>
      <c r="H60" s="89">
        <f>G60*F60/1000</f>
        <v>0.37134719999999999</v>
      </c>
      <c r="I60" s="13">
        <f>F60/4*G60</f>
        <v>92.836799999999997</v>
      </c>
    </row>
    <row r="61" spans="1:22" ht="15.75" customHeight="1">
      <c r="A61" s="32"/>
      <c r="B61" s="101" t="s">
        <v>44</v>
      </c>
      <c r="C61" s="86"/>
      <c r="D61" s="85"/>
      <c r="E61" s="87"/>
      <c r="F61" s="88"/>
      <c r="G61" s="13"/>
      <c r="H61" s="89"/>
      <c r="I61" s="13"/>
    </row>
    <row r="62" spans="1:22" ht="15.75" hidden="1" customHeight="1">
      <c r="A62" s="32">
        <v>22</v>
      </c>
      <c r="B62" s="85" t="s">
        <v>135</v>
      </c>
      <c r="C62" s="86" t="s">
        <v>52</v>
      </c>
      <c r="D62" s="85" t="s">
        <v>53</v>
      </c>
      <c r="E62" s="87">
        <v>997</v>
      </c>
      <c r="F62" s="88">
        <v>9.9700000000000006</v>
      </c>
      <c r="G62" s="13">
        <v>793.61</v>
      </c>
      <c r="H62" s="89">
        <f>F62*G62/1000</f>
        <v>7.9122917000000008</v>
      </c>
      <c r="I62" s="13">
        <f>G62*F62</f>
        <v>7912.2917000000007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9"/>
    </row>
    <row r="63" spans="1:22" ht="15.75" customHeight="1">
      <c r="A63" s="32">
        <v>20</v>
      </c>
      <c r="B63" s="115" t="s">
        <v>136</v>
      </c>
      <c r="C63" s="116" t="s">
        <v>25</v>
      </c>
      <c r="D63" s="115" t="s">
        <v>30</v>
      </c>
      <c r="E63" s="117">
        <v>200</v>
      </c>
      <c r="F63" s="118">
        <f>E63*12</f>
        <v>2400</v>
      </c>
      <c r="G63" s="119">
        <v>1.2</v>
      </c>
      <c r="H63" s="88">
        <f>F63*G63/1000</f>
        <v>2.88</v>
      </c>
      <c r="I63" s="13">
        <f>F63/12*G63</f>
        <v>240</v>
      </c>
      <c r="J63" s="28"/>
      <c r="K63" s="28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15.75" customHeight="1">
      <c r="A64" s="32"/>
      <c r="B64" s="101" t="s">
        <v>45</v>
      </c>
      <c r="C64" s="86"/>
      <c r="D64" s="85"/>
      <c r="E64" s="87"/>
      <c r="F64" s="90"/>
      <c r="G64" s="90"/>
      <c r="H64" s="88" t="s">
        <v>150</v>
      </c>
      <c r="I64" s="13"/>
      <c r="J64" s="3"/>
      <c r="K64" s="3"/>
      <c r="L64" s="3"/>
      <c r="M64" s="3"/>
      <c r="N64" s="3"/>
      <c r="O64" s="3"/>
      <c r="P64" s="3"/>
      <c r="Q64" s="3"/>
      <c r="S64" s="3"/>
      <c r="T64" s="3"/>
      <c r="U64" s="3"/>
    </row>
    <row r="65" spans="1:21" ht="15.75" customHeight="1">
      <c r="A65" s="32">
        <v>21</v>
      </c>
      <c r="B65" s="14" t="s">
        <v>46</v>
      </c>
      <c r="C65" s="16" t="s">
        <v>110</v>
      </c>
      <c r="D65" s="76" t="s">
        <v>67</v>
      </c>
      <c r="E65" s="18">
        <v>15</v>
      </c>
      <c r="F65" s="79">
        <v>15</v>
      </c>
      <c r="G65" s="13">
        <v>222.4</v>
      </c>
      <c r="H65" s="91">
        <f t="shared" ref="H65:H78" si="6">SUM(F65*G65/1000)</f>
        <v>3.3359999999999999</v>
      </c>
      <c r="I65" s="13">
        <f>G65*5</f>
        <v>1112</v>
      </c>
      <c r="J65" s="5"/>
      <c r="K65" s="5"/>
      <c r="L65" s="5"/>
      <c r="M65" s="5"/>
      <c r="N65" s="5"/>
      <c r="O65" s="5"/>
      <c r="P65" s="5"/>
      <c r="Q65" s="5"/>
      <c r="R65" s="188"/>
      <c r="S65" s="188"/>
      <c r="T65" s="188"/>
      <c r="U65" s="188"/>
    </row>
    <row r="66" spans="1:21" ht="15.75" hidden="1" customHeight="1">
      <c r="A66" s="32">
        <v>25</v>
      </c>
      <c r="B66" s="14" t="s">
        <v>47</v>
      </c>
      <c r="C66" s="16" t="s">
        <v>110</v>
      </c>
      <c r="D66" s="76" t="s">
        <v>67</v>
      </c>
      <c r="E66" s="18">
        <v>10</v>
      </c>
      <c r="F66" s="79">
        <v>10</v>
      </c>
      <c r="G66" s="13">
        <v>76.25</v>
      </c>
      <c r="H66" s="91">
        <f t="shared" si="6"/>
        <v>0.76249999999999996</v>
      </c>
      <c r="I66" s="13">
        <f>G66</f>
        <v>76.25</v>
      </c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1" ht="15.75" hidden="1" customHeight="1">
      <c r="A67" s="32"/>
      <c r="B67" s="14" t="s">
        <v>48</v>
      </c>
      <c r="C67" s="16" t="s">
        <v>112</v>
      </c>
      <c r="D67" s="14" t="s">
        <v>53</v>
      </c>
      <c r="E67" s="78">
        <v>28608</v>
      </c>
      <c r="F67" s="13">
        <f>SUM(E67/100)</f>
        <v>286.08</v>
      </c>
      <c r="G67" s="13">
        <v>199.77</v>
      </c>
      <c r="H67" s="91">
        <f t="shared" si="6"/>
        <v>57.150201600000003</v>
      </c>
      <c r="I67" s="13">
        <f>F67*G67</f>
        <v>57150.2016</v>
      </c>
    </row>
    <row r="68" spans="1:21" ht="15.75" hidden="1" customHeight="1">
      <c r="A68" s="32"/>
      <c r="B68" s="14" t="s">
        <v>49</v>
      </c>
      <c r="C68" s="16" t="s">
        <v>113</v>
      </c>
      <c r="D68" s="14"/>
      <c r="E68" s="78">
        <v>28608</v>
      </c>
      <c r="F68" s="13">
        <f>SUM(E68/1000)</f>
        <v>28.608000000000001</v>
      </c>
      <c r="G68" s="13">
        <v>155.57</v>
      </c>
      <c r="H68" s="91">
        <f t="shared" si="6"/>
        <v>4.4505465599999994</v>
      </c>
      <c r="I68" s="13">
        <f t="shared" ref="I68:I72" si="7">F68*G68</f>
        <v>4450.5465599999998</v>
      </c>
    </row>
    <row r="69" spans="1:21" ht="15.75" hidden="1" customHeight="1">
      <c r="A69" s="32"/>
      <c r="B69" s="14" t="s">
        <v>50</v>
      </c>
      <c r="C69" s="16" t="s">
        <v>77</v>
      </c>
      <c r="D69" s="14" t="s">
        <v>53</v>
      </c>
      <c r="E69" s="78">
        <v>4550</v>
      </c>
      <c r="F69" s="13">
        <f>SUM(E69/100)</f>
        <v>45.5</v>
      </c>
      <c r="G69" s="13">
        <v>2074.63</v>
      </c>
      <c r="H69" s="91">
        <f t="shared" si="6"/>
        <v>94.395665000000008</v>
      </c>
      <c r="I69" s="13">
        <f t="shared" si="7"/>
        <v>94395.665000000008</v>
      </c>
    </row>
    <row r="70" spans="1:21" ht="15.75" hidden="1" customHeight="1">
      <c r="A70" s="32"/>
      <c r="B70" s="92" t="s">
        <v>114</v>
      </c>
      <c r="C70" s="16" t="s">
        <v>33</v>
      </c>
      <c r="D70" s="14"/>
      <c r="E70" s="78">
        <v>58.5</v>
      </c>
      <c r="F70" s="13">
        <f>SUM(E70)</f>
        <v>58.5</v>
      </c>
      <c r="G70" s="13">
        <v>45.32</v>
      </c>
      <c r="H70" s="91">
        <f t="shared" si="6"/>
        <v>2.6512199999999999</v>
      </c>
      <c r="I70" s="13">
        <f t="shared" si="7"/>
        <v>2651.22</v>
      </c>
    </row>
    <row r="71" spans="1:21" ht="15.75" hidden="1" customHeight="1">
      <c r="A71" s="32"/>
      <c r="B71" s="92" t="s">
        <v>115</v>
      </c>
      <c r="C71" s="16" t="s">
        <v>33</v>
      </c>
      <c r="D71" s="14"/>
      <c r="E71" s="78">
        <v>58.5</v>
      </c>
      <c r="F71" s="13">
        <f>SUM(E71)</f>
        <v>58.5</v>
      </c>
      <c r="G71" s="13">
        <v>42.28</v>
      </c>
      <c r="H71" s="91">
        <f t="shared" si="6"/>
        <v>2.4733800000000001</v>
      </c>
      <c r="I71" s="13">
        <f t="shared" si="7"/>
        <v>2473.38</v>
      </c>
    </row>
    <row r="72" spans="1:21" ht="15.75" hidden="1" customHeight="1">
      <c r="A72" s="32"/>
      <c r="B72" s="14" t="s">
        <v>57</v>
      </c>
      <c r="C72" s="16" t="s">
        <v>58</v>
      </c>
      <c r="D72" s="14" t="s">
        <v>53</v>
      </c>
      <c r="E72" s="18">
        <v>5</v>
      </c>
      <c r="F72" s="79">
        <v>5</v>
      </c>
      <c r="G72" s="13">
        <v>49.88</v>
      </c>
      <c r="H72" s="91">
        <f t="shared" si="6"/>
        <v>0.24940000000000001</v>
      </c>
      <c r="I72" s="13">
        <f t="shared" si="7"/>
        <v>249.4</v>
      </c>
    </row>
    <row r="73" spans="1:21" ht="15.75" hidden="1" customHeight="1">
      <c r="A73" s="32"/>
      <c r="B73" s="58" t="s">
        <v>72</v>
      </c>
      <c r="C73" s="16"/>
      <c r="D73" s="14"/>
      <c r="E73" s="18"/>
      <c r="F73" s="13"/>
      <c r="G73" s="13"/>
      <c r="H73" s="91" t="s">
        <v>150</v>
      </c>
      <c r="I73" s="13"/>
    </row>
    <row r="74" spans="1:21" ht="15.75" hidden="1" customHeight="1">
      <c r="A74" s="32"/>
      <c r="B74" s="14" t="s">
        <v>73</v>
      </c>
      <c r="C74" s="16" t="s">
        <v>75</v>
      </c>
      <c r="D74" s="14"/>
      <c r="E74" s="18">
        <v>10</v>
      </c>
      <c r="F74" s="13">
        <v>1</v>
      </c>
      <c r="G74" s="13">
        <v>501.62</v>
      </c>
      <c r="H74" s="91">
        <f t="shared" si="6"/>
        <v>0.50161999999999995</v>
      </c>
      <c r="I74" s="13">
        <v>0</v>
      </c>
    </row>
    <row r="75" spans="1:21" ht="15.75" hidden="1" customHeight="1">
      <c r="A75" s="32"/>
      <c r="B75" s="14" t="s">
        <v>74</v>
      </c>
      <c r="C75" s="16" t="s">
        <v>31</v>
      </c>
      <c r="D75" s="14"/>
      <c r="E75" s="18">
        <v>3</v>
      </c>
      <c r="F75" s="71">
        <v>3</v>
      </c>
      <c r="G75" s="13">
        <v>852.99</v>
      </c>
      <c r="H75" s="91">
        <f>F75*G75/1000</f>
        <v>2.5589700000000004</v>
      </c>
      <c r="I75" s="13">
        <v>0</v>
      </c>
    </row>
    <row r="76" spans="1:21" ht="15.75" hidden="1" customHeight="1">
      <c r="A76" s="32"/>
      <c r="B76" s="14" t="s">
        <v>117</v>
      </c>
      <c r="C76" s="16" t="s">
        <v>31</v>
      </c>
      <c r="D76" s="14"/>
      <c r="E76" s="18">
        <v>1</v>
      </c>
      <c r="F76" s="13">
        <v>1</v>
      </c>
      <c r="G76" s="13">
        <v>358.51</v>
      </c>
      <c r="H76" s="91">
        <f>G76*F76/1000</f>
        <v>0.35851</v>
      </c>
      <c r="I76" s="13">
        <v>0</v>
      </c>
    </row>
    <row r="77" spans="1:21" ht="15.75" hidden="1" customHeight="1">
      <c r="A77" s="32"/>
      <c r="B77" s="94" t="s">
        <v>76</v>
      </c>
      <c r="C77" s="16"/>
      <c r="D77" s="14"/>
      <c r="E77" s="18"/>
      <c r="F77" s="13"/>
      <c r="G77" s="13" t="s">
        <v>150</v>
      </c>
      <c r="H77" s="91" t="s">
        <v>150</v>
      </c>
      <c r="I77" s="13"/>
    </row>
    <row r="78" spans="1:21" ht="15.75" hidden="1" customHeight="1">
      <c r="A78" s="32"/>
      <c r="B78" s="47" t="s">
        <v>165</v>
      </c>
      <c r="C78" s="16" t="s">
        <v>77</v>
      </c>
      <c r="D78" s="14"/>
      <c r="E78" s="18"/>
      <c r="F78" s="13">
        <v>1.2</v>
      </c>
      <c r="G78" s="13">
        <v>2759.44</v>
      </c>
      <c r="H78" s="91">
        <f t="shared" si="6"/>
        <v>3.311328</v>
      </c>
      <c r="I78" s="13">
        <v>0</v>
      </c>
    </row>
    <row r="79" spans="1:21" ht="15.75" hidden="1" customHeight="1">
      <c r="A79" s="32"/>
      <c r="B79" s="70" t="s">
        <v>95</v>
      </c>
      <c r="C79" s="70"/>
      <c r="D79" s="70"/>
      <c r="E79" s="70"/>
      <c r="F79" s="70"/>
      <c r="G79" s="82"/>
      <c r="H79" s="95">
        <f>SUM(H58:H78)</f>
        <v>188.31744405999999</v>
      </c>
      <c r="I79" s="82"/>
    </row>
    <row r="80" spans="1:21" ht="15.75" hidden="1" customHeight="1">
      <c r="A80" s="32"/>
      <c r="B80" s="102" t="s">
        <v>116</v>
      </c>
      <c r="C80" s="23"/>
      <c r="D80" s="22"/>
      <c r="E80" s="72"/>
      <c r="F80" s="103">
        <v>1</v>
      </c>
      <c r="G80" s="13">
        <v>23072.1</v>
      </c>
      <c r="H80" s="91">
        <f>G80*F80/1000</f>
        <v>23.072099999999999</v>
      </c>
      <c r="I80" s="13">
        <v>0</v>
      </c>
    </row>
    <row r="81" spans="1:9" ht="15.75" customHeight="1">
      <c r="A81" s="189" t="s">
        <v>148</v>
      </c>
      <c r="B81" s="190"/>
      <c r="C81" s="190"/>
      <c r="D81" s="190"/>
      <c r="E81" s="190"/>
      <c r="F81" s="190"/>
      <c r="G81" s="190"/>
      <c r="H81" s="190"/>
      <c r="I81" s="191"/>
    </row>
    <row r="82" spans="1:9" ht="15.75" customHeight="1">
      <c r="A82" s="32">
        <v>22</v>
      </c>
      <c r="B82" s="76" t="s">
        <v>118</v>
      </c>
      <c r="C82" s="16" t="s">
        <v>54</v>
      </c>
      <c r="D82" s="51" t="s">
        <v>55</v>
      </c>
      <c r="E82" s="13">
        <v>6980.3</v>
      </c>
      <c r="F82" s="13">
        <f>SUM(E82*12)</f>
        <v>83763.600000000006</v>
      </c>
      <c r="G82" s="13">
        <v>2.1</v>
      </c>
      <c r="H82" s="91">
        <f>SUM(F82*G82/1000)</f>
        <v>175.90356000000003</v>
      </c>
      <c r="I82" s="13">
        <f>F82/12*G82</f>
        <v>14658.630000000001</v>
      </c>
    </row>
    <row r="83" spans="1:9" ht="31.5" customHeight="1">
      <c r="A83" s="32">
        <v>23</v>
      </c>
      <c r="B83" s="14" t="s">
        <v>78</v>
      </c>
      <c r="C83" s="16"/>
      <c r="D83" s="51" t="s">
        <v>55</v>
      </c>
      <c r="E83" s="78">
        <f>E82</f>
        <v>6980.3</v>
      </c>
      <c r="F83" s="13">
        <f>E83*12</f>
        <v>83763.600000000006</v>
      </c>
      <c r="G83" s="13">
        <v>1.63</v>
      </c>
      <c r="H83" s="91">
        <f>F83*G83/1000</f>
        <v>136.53466800000001</v>
      </c>
      <c r="I83" s="13">
        <f>F83/12*G83</f>
        <v>11377.888999999999</v>
      </c>
    </row>
    <row r="84" spans="1:9" ht="15.75" customHeight="1">
      <c r="A84" s="32"/>
      <c r="B84" s="40" t="s">
        <v>81</v>
      </c>
      <c r="C84" s="94"/>
      <c r="D84" s="93"/>
      <c r="E84" s="82"/>
      <c r="F84" s="82"/>
      <c r="G84" s="82"/>
      <c r="H84" s="95">
        <f>H83</f>
        <v>136.53466800000001</v>
      </c>
      <c r="I84" s="82">
        <f>I16+I17+I18+I20+I21+I24+I25+I26+I27+I38+I39+I40+I42+I43+I44+I45+I51+I58+I60+I63+I65+I82+I83</f>
        <v>106638.33752766668</v>
      </c>
    </row>
    <row r="85" spans="1:9" ht="15.75" customHeight="1">
      <c r="A85" s="200" t="s">
        <v>60</v>
      </c>
      <c r="B85" s="201"/>
      <c r="C85" s="201"/>
      <c r="D85" s="201"/>
      <c r="E85" s="201"/>
      <c r="F85" s="201"/>
      <c r="G85" s="201"/>
      <c r="H85" s="201"/>
      <c r="I85" s="202"/>
    </row>
    <row r="86" spans="1:9" ht="15.75" customHeight="1">
      <c r="A86" s="32">
        <v>24</v>
      </c>
      <c r="B86" s="52" t="s">
        <v>199</v>
      </c>
      <c r="C86" s="53" t="s">
        <v>191</v>
      </c>
      <c r="D86" s="39"/>
      <c r="E86" s="17"/>
      <c r="F86" s="36">
        <v>37</v>
      </c>
      <c r="G86" s="36">
        <v>134.12</v>
      </c>
      <c r="H86" s="110">
        <f t="shared" ref="H86:H93" si="8">G86*F86/1000</f>
        <v>4.9624400000000009</v>
      </c>
      <c r="I86" s="13">
        <f>G86*(15+5+(15+5)+15+(15*2))</f>
        <v>11400.2</v>
      </c>
    </row>
    <row r="87" spans="1:9" ht="31.5" customHeight="1">
      <c r="A87" s="32">
        <v>25</v>
      </c>
      <c r="B87" s="52" t="s">
        <v>180</v>
      </c>
      <c r="C87" s="53" t="s">
        <v>154</v>
      </c>
      <c r="D87" s="111"/>
      <c r="E87" s="36"/>
      <c r="F87" s="36">
        <v>7</v>
      </c>
      <c r="G87" s="36">
        <v>1078.9000000000001</v>
      </c>
      <c r="H87" s="110">
        <f t="shared" si="8"/>
        <v>7.5523000000000007</v>
      </c>
      <c r="I87" s="13">
        <f>G87</f>
        <v>1078.9000000000001</v>
      </c>
    </row>
    <row r="88" spans="1:9" ht="15.75" customHeight="1">
      <c r="A88" s="32">
        <v>26</v>
      </c>
      <c r="B88" s="50" t="s">
        <v>182</v>
      </c>
      <c r="C88" s="62" t="s">
        <v>110</v>
      </c>
      <c r="D88" s="39"/>
      <c r="E88" s="17"/>
      <c r="F88" s="36">
        <v>3</v>
      </c>
      <c r="G88" s="36">
        <v>140</v>
      </c>
      <c r="H88" s="110">
        <f t="shared" si="8"/>
        <v>0.42</v>
      </c>
      <c r="I88" s="13">
        <f>G88</f>
        <v>140</v>
      </c>
    </row>
    <row r="89" spans="1:9" ht="15.75" customHeight="1">
      <c r="A89" s="32" t="s">
        <v>239</v>
      </c>
      <c r="B89" s="50" t="s">
        <v>137</v>
      </c>
      <c r="C89" s="62" t="s">
        <v>110</v>
      </c>
      <c r="D89" s="14"/>
      <c r="E89" s="18"/>
      <c r="F89" s="13">
        <v>240</v>
      </c>
      <c r="G89" s="13">
        <v>55.55</v>
      </c>
      <c r="H89" s="91">
        <f t="shared" si="8"/>
        <v>13.332000000000001</v>
      </c>
      <c r="I89" s="13">
        <f>G89*120</f>
        <v>6666</v>
      </c>
    </row>
    <row r="90" spans="1:9" ht="15.75" customHeight="1">
      <c r="A90" s="32">
        <v>28</v>
      </c>
      <c r="B90" s="50" t="s">
        <v>205</v>
      </c>
      <c r="C90" s="62" t="s">
        <v>110</v>
      </c>
      <c r="D90" s="111"/>
      <c r="E90" s="36"/>
      <c r="F90" s="36">
        <v>1</v>
      </c>
      <c r="G90" s="36">
        <v>63</v>
      </c>
      <c r="H90" s="110">
        <f t="shared" si="8"/>
        <v>6.3E-2</v>
      </c>
      <c r="I90" s="13">
        <f>G90</f>
        <v>63</v>
      </c>
    </row>
    <row r="91" spans="1:9" ht="15.75" customHeight="1">
      <c r="A91" s="32">
        <v>29</v>
      </c>
      <c r="B91" s="52" t="s">
        <v>187</v>
      </c>
      <c r="C91" s="53" t="s">
        <v>110</v>
      </c>
      <c r="D91" s="111"/>
      <c r="E91" s="36"/>
      <c r="F91" s="36">
        <v>1</v>
      </c>
      <c r="G91" s="36">
        <v>118</v>
      </c>
      <c r="H91" s="110">
        <f t="shared" si="8"/>
        <v>0.11799999999999999</v>
      </c>
      <c r="I91" s="13">
        <f t="shared" ref="I91" si="9">G91</f>
        <v>118</v>
      </c>
    </row>
    <row r="92" spans="1:9" ht="31.5" customHeight="1">
      <c r="A92" s="32">
        <v>30</v>
      </c>
      <c r="B92" s="61" t="s">
        <v>160</v>
      </c>
      <c r="C92" s="32" t="s">
        <v>82</v>
      </c>
      <c r="D92" s="39"/>
      <c r="E92" s="17"/>
      <c r="F92" s="36">
        <v>8</v>
      </c>
      <c r="G92" s="13">
        <v>1187</v>
      </c>
      <c r="H92" s="110">
        <f t="shared" si="8"/>
        <v>9.4960000000000004</v>
      </c>
      <c r="I92" s="13">
        <f>G92*8</f>
        <v>9496</v>
      </c>
    </row>
    <row r="93" spans="1:9" ht="31.5" customHeight="1">
      <c r="A93" s="32">
        <v>31</v>
      </c>
      <c r="B93" s="50" t="s">
        <v>80</v>
      </c>
      <c r="C93" s="62" t="s">
        <v>110</v>
      </c>
      <c r="D93" s="39"/>
      <c r="E93" s="17"/>
      <c r="F93" s="36">
        <v>1</v>
      </c>
      <c r="G93" s="36">
        <v>86.69</v>
      </c>
      <c r="H93" s="110">
        <f t="shared" si="8"/>
        <v>8.6690000000000003E-2</v>
      </c>
      <c r="I93" s="13">
        <f>G93</f>
        <v>86.69</v>
      </c>
    </row>
    <row r="94" spans="1:9" ht="15.75" customHeight="1">
      <c r="A94" s="32">
        <v>32</v>
      </c>
      <c r="B94" s="61" t="s">
        <v>162</v>
      </c>
      <c r="C94" s="32" t="s">
        <v>110</v>
      </c>
      <c r="D94" s="47"/>
      <c r="E94" s="13"/>
      <c r="F94" s="13">
        <v>2</v>
      </c>
      <c r="G94" s="13">
        <v>470</v>
      </c>
      <c r="H94" s="110">
        <f>G94*F94/1000</f>
        <v>0.94</v>
      </c>
      <c r="I94" s="13">
        <f>G94*2</f>
        <v>940</v>
      </c>
    </row>
    <row r="95" spans="1:9" ht="15.75" customHeight="1">
      <c r="A95" s="32"/>
      <c r="B95" s="45" t="s">
        <v>51</v>
      </c>
      <c r="C95" s="41"/>
      <c r="D95" s="48"/>
      <c r="E95" s="41">
        <v>1</v>
      </c>
      <c r="F95" s="41"/>
      <c r="G95" s="41"/>
      <c r="H95" s="41"/>
      <c r="I95" s="34">
        <f>SUM(I86:I94)-I89</f>
        <v>23322.789999999997</v>
      </c>
    </row>
    <row r="96" spans="1:9">
      <c r="A96" s="32"/>
      <c r="B96" s="47" t="s">
        <v>79</v>
      </c>
      <c r="C96" s="15"/>
      <c r="D96" s="15"/>
      <c r="E96" s="42"/>
      <c r="F96" s="42"/>
      <c r="G96" s="43"/>
      <c r="H96" s="43"/>
      <c r="I96" s="17">
        <v>0</v>
      </c>
    </row>
    <row r="97" spans="1:9">
      <c r="A97" s="49"/>
      <c r="B97" s="46" t="s">
        <v>179</v>
      </c>
      <c r="C97" s="35"/>
      <c r="D97" s="35"/>
      <c r="E97" s="35"/>
      <c r="F97" s="35"/>
      <c r="G97" s="35"/>
      <c r="H97" s="35"/>
      <c r="I97" s="44">
        <f>I84+I95</f>
        <v>129961.12752766667</v>
      </c>
    </row>
    <row r="98" spans="1:9">
      <c r="A98" s="203" t="s">
        <v>240</v>
      </c>
      <c r="B98" s="204"/>
      <c r="C98" s="204"/>
      <c r="D98" s="204"/>
      <c r="E98" s="204"/>
      <c r="F98" s="204"/>
      <c r="G98" s="204"/>
      <c r="H98" s="204"/>
      <c r="I98" s="204"/>
    </row>
    <row r="99" spans="1:9" ht="15.75">
      <c r="A99" s="192" t="s">
        <v>253</v>
      </c>
      <c r="B99" s="192"/>
      <c r="C99" s="192"/>
      <c r="D99" s="192"/>
      <c r="E99" s="192"/>
      <c r="F99" s="192"/>
      <c r="G99" s="192"/>
      <c r="H99" s="192"/>
      <c r="I99" s="192"/>
    </row>
    <row r="100" spans="1:9" ht="15.75" customHeight="1">
      <c r="A100" s="60"/>
      <c r="B100" s="193" t="s">
        <v>254</v>
      </c>
      <c r="C100" s="193"/>
      <c r="D100" s="193"/>
      <c r="E100" s="193"/>
      <c r="F100" s="193"/>
      <c r="G100" s="193"/>
      <c r="H100" s="75"/>
      <c r="I100" s="3"/>
    </row>
    <row r="101" spans="1:9">
      <c r="A101" s="56"/>
      <c r="B101" s="194" t="s">
        <v>6</v>
      </c>
      <c r="C101" s="194"/>
      <c r="D101" s="194"/>
      <c r="E101" s="194"/>
      <c r="F101" s="194"/>
      <c r="G101" s="194"/>
      <c r="H101" s="27"/>
      <c r="I101" s="5"/>
    </row>
    <row r="102" spans="1:9">
      <c r="A102" s="10"/>
      <c r="B102" s="10"/>
      <c r="C102" s="10"/>
      <c r="D102" s="10"/>
      <c r="E102" s="10"/>
      <c r="F102" s="10"/>
      <c r="G102" s="10"/>
      <c r="H102" s="10"/>
      <c r="I102" s="10"/>
    </row>
    <row r="103" spans="1:9" ht="15.75">
      <c r="A103" s="195" t="s">
        <v>7</v>
      </c>
      <c r="B103" s="195"/>
      <c r="C103" s="195"/>
      <c r="D103" s="195"/>
      <c r="E103" s="195"/>
      <c r="F103" s="195"/>
      <c r="G103" s="195"/>
      <c r="H103" s="195"/>
      <c r="I103" s="195"/>
    </row>
    <row r="104" spans="1:9" ht="15.75">
      <c r="A104" s="195" t="s">
        <v>8</v>
      </c>
      <c r="B104" s="195"/>
      <c r="C104" s="195"/>
      <c r="D104" s="195"/>
      <c r="E104" s="195"/>
      <c r="F104" s="195"/>
      <c r="G104" s="195"/>
      <c r="H104" s="195"/>
      <c r="I104" s="195"/>
    </row>
    <row r="105" spans="1:9" ht="15.75">
      <c r="A105" s="196" t="s">
        <v>61</v>
      </c>
      <c r="B105" s="196"/>
      <c r="C105" s="196"/>
      <c r="D105" s="196"/>
      <c r="E105" s="196"/>
      <c r="F105" s="196"/>
      <c r="G105" s="196"/>
      <c r="H105" s="196"/>
      <c r="I105" s="196"/>
    </row>
    <row r="106" spans="1:9" ht="15.75">
      <c r="A106" s="11"/>
    </row>
    <row r="107" spans="1:9" ht="15.75">
      <c r="A107" s="197" t="s">
        <v>9</v>
      </c>
      <c r="B107" s="197"/>
      <c r="C107" s="197"/>
      <c r="D107" s="197"/>
      <c r="E107" s="197"/>
      <c r="F107" s="197"/>
      <c r="G107" s="197"/>
      <c r="H107" s="197"/>
      <c r="I107" s="197"/>
    </row>
    <row r="108" spans="1:9" ht="15.75" customHeight="1">
      <c r="A108" s="4"/>
    </row>
    <row r="109" spans="1:9" ht="15.75" customHeight="1">
      <c r="B109" s="57" t="s">
        <v>10</v>
      </c>
      <c r="C109" s="198" t="s">
        <v>142</v>
      </c>
      <c r="D109" s="198"/>
      <c r="E109" s="198"/>
      <c r="F109" s="73"/>
      <c r="I109" s="55"/>
    </row>
    <row r="110" spans="1:9" ht="15.75" customHeight="1">
      <c r="A110" s="56"/>
      <c r="C110" s="194" t="s">
        <v>11</v>
      </c>
      <c r="D110" s="194"/>
      <c r="E110" s="194"/>
      <c r="F110" s="27"/>
      <c r="I110" s="54" t="s">
        <v>12</v>
      </c>
    </row>
    <row r="111" spans="1:9" ht="15.75" customHeight="1">
      <c r="A111" s="28"/>
      <c r="C111" s="12"/>
      <c r="D111" s="12"/>
      <c r="G111" s="12"/>
      <c r="H111" s="12"/>
    </row>
    <row r="112" spans="1:9" ht="15.75">
      <c r="B112" s="57" t="s">
        <v>13</v>
      </c>
      <c r="C112" s="199"/>
      <c r="D112" s="199"/>
      <c r="E112" s="199"/>
      <c r="F112" s="74"/>
      <c r="I112" s="55"/>
    </row>
    <row r="113" spans="1:9">
      <c r="A113" s="56"/>
      <c r="C113" s="188" t="s">
        <v>11</v>
      </c>
      <c r="D113" s="188"/>
      <c r="E113" s="188"/>
      <c r="F113" s="56"/>
      <c r="I113" s="54" t="s">
        <v>12</v>
      </c>
    </row>
    <row r="114" spans="1:9" ht="15.75">
      <c r="A114" s="4" t="s">
        <v>14</v>
      </c>
    </row>
    <row r="115" spans="1:9">
      <c r="A115" s="186" t="s">
        <v>15</v>
      </c>
      <c r="B115" s="186"/>
      <c r="C115" s="186"/>
      <c r="D115" s="186"/>
      <c r="E115" s="186"/>
      <c r="F115" s="186"/>
      <c r="G115" s="186"/>
      <c r="H115" s="186"/>
      <c r="I115" s="186"/>
    </row>
    <row r="116" spans="1:9" ht="45" customHeight="1">
      <c r="A116" s="187" t="s">
        <v>16</v>
      </c>
      <c r="B116" s="187"/>
      <c r="C116" s="187"/>
      <c r="D116" s="187"/>
      <c r="E116" s="187"/>
      <c r="F116" s="187"/>
      <c r="G116" s="187"/>
      <c r="H116" s="187"/>
      <c r="I116" s="187"/>
    </row>
    <row r="117" spans="1:9" ht="30" customHeight="1">
      <c r="A117" s="187" t="s">
        <v>17</v>
      </c>
      <c r="B117" s="187"/>
      <c r="C117" s="187"/>
      <c r="D117" s="187"/>
      <c r="E117" s="187"/>
      <c r="F117" s="187"/>
      <c r="G117" s="187"/>
      <c r="H117" s="187"/>
      <c r="I117" s="187"/>
    </row>
    <row r="118" spans="1:9" ht="30" customHeight="1">
      <c r="A118" s="187" t="s">
        <v>21</v>
      </c>
      <c r="B118" s="187"/>
      <c r="C118" s="187"/>
      <c r="D118" s="187"/>
      <c r="E118" s="187"/>
      <c r="F118" s="187"/>
      <c r="G118" s="187"/>
      <c r="H118" s="187"/>
      <c r="I118" s="187"/>
    </row>
    <row r="119" spans="1:9" ht="15" customHeight="1">
      <c r="A119" s="187" t="s">
        <v>20</v>
      </c>
      <c r="B119" s="187"/>
      <c r="C119" s="187"/>
      <c r="D119" s="187"/>
      <c r="E119" s="187"/>
      <c r="F119" s="187"/>
      <c r="G119" s="187"/>
      <c r="H119" s="187"/>
      <c r="I119" s="187"/>
    </row>
  </sheetData>
  <autoFilter ref="I12:I60"/>
  <mergeCells count="30">
    <mergeCell ref="R65:U65"/>
    <mergeCell ref="A81:I81"/>
    <mergeCell ref="A3:I3"/>
    <mergeCell ref="A4:I4"/>
    <mergeCell ref="A5:I5"/>
    <mergeCell ref="A8:I8"/>
    <mergeCell ref="A10:I10"/>
    <mergeCell ref="A14:I14"/>
    <mergeCell ref="A105:I105"/>
    <mergeCell ref="A15:I15"/>
    <mergeCell ref="A28:I28"/>
    <mergeCell ref="A46:I46"/>
    <mergeCell ref="A56:I56"/>
    <mergeCell ref="A99:I99"/>
    <mergeCell ref="B100:G100"/>
    <mergeCell ref="B101:G101"/>
    <mergeCell ref="A103:I103"/>
    <mergeCell ref="A104:I104"/>
    <mergeCell ref="A85:I85"/>
    <mergeCell ref="A98:I98"/>
    <mergeCell ref="A116:I116"/>
    <mergeCell ref="A117:I117"/>
    <mergeCell ref="A118:I118"/>
    <mergeCell ref="A119:I119"/>
    <mergeCell ref="A107:I107"/>
    <mergeCell ref="C109:E109"/>
    <mergeCell ref="C110:E110"/>
    <mergeCell ref="C112:E112"/>
    <mergeCell ref="C113:E113"/>
    <mergeCell ref="A115:I115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rowBreaks count="1" manualBreakCount="1">
    <brk id="106" max="8" man="1"/>
  </rowBreaks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35"/>
  <sheetViews>
    <sheetView topLeftCell="A111" workbookViewId="0">
      <selection activeCell="J117" sqref="J117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87</v>
      </c>
      <c r="I1" s="29"/>
      <c r="J1" s="1"/>
      <c r="K1" s="1"/>
      <c r="L1" s="1"/>
      <c r="M1" s="1"/>
    </row>
    <row r="2" spans="1:13" ht="15.75">
      <c r="A2" s="31" t="s">
        <v>62</v>
      </c>
      <c r="J2" s="2"/>
      <c r="K2" s="2"/>
      <c r="L2" s="2"/>
      <c r="M2" s="2"/>
    </row>
    <row r="3" spans="1:13" ht="15.75" customHeight="1">
      <c r="A3" s="210" t="s">
        <v>167</v>
      </c>
      <c r="B3" s="210"/>
      <c r="C3" s="210"/>
      <c r="D3" s="210"/>
      <c r="E3" s="210"/>
      <c r="F3" s="210"/>
      <c r="G3" s="210"/>
      <c r="H3" s="210"/>
      <c r="I3" s="210"/>
      <c r="J3" s="3"/>
      <c r="K3" s="3"/>
      <c r="L3" s="3"/>
    </row>
    <row r="4" spans="1:13" ht="31.5" customHeight="1">
      <c r="A4" s="211" t="s">
        <v>139</v>
      </c>
      <c r="B4" s="211"/>
      <c r="C4" s="211"/>
      <c r="D4" s="211"/>
      <c r="E4" s="211"/>
      <c r="F4" s="211"/>
      <c r="G4" s="211"/>
      <c r="H4" s="211"/>
      <c r="I4" s="211"/>
    </row>
    <row r="5" spans="1:13" ht="15.75">
      <c r="A5" s="210" t="s">
        <v>206</v>
      </c>
      <c r="B5" s="212"/>
      <c r="C5" s="212"/>
      <c r="D5" s="212"/>
      <c r="E5" s="212"/>
      <c r="F5" s="212"/>
      <c r="G5" s="212"/>
      <c r="H5" s="212"/>
      <c r="I5" s="212"/>
      <c r="J5" s="2"/>
      <c r="K5" s="2"/>
      <c r="L5" s="2"/>
      <c r="M5" s="2"/>
    </row>
    <row r="6" spans="1:13" ht="15.75">
      <c r="A6" s="2"/>
      <c r="B6" s="65"/>
      <c r="C6" s="65"/>
      <c r="D6" s="65"/>
      <c r="E6" s="65"/>
      <c r="F6" s="65"/>
      <c r="G6" s="65"/>
      <c r="H6" s="65"/>
      <c r="I6" s="33">
        <v>43190</v>
      </c>
      <c r="J6" s="2"/>
      <c r="K6" s="2"/>
      <c r="L6" s="2"/>
      <c r="M6" s="2"/>
    </row>
    <row r="7" spans="1:13" ht="15.75">
      <c r="B7" s="66"/>
      <c r="C7" s="66"/>
      <c r="D7" s="66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213" t="s">
        <v>145</v>
      </c>
      <c r="B8" s="213"/>
      <c r="C8" s="213"/>
      <c r="D8" s="213"/>
      <c r="E8" s="213"/>
      <c r="F8" s="213"/>
      <c r="G8" s="213"/>
      <c r="H8" s="213"/>
      <c r="I8" s="213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214" t="s">
        <v>175</v>
      </c>
      <c r="B10" s="214"/>
      <c r="C10" s="214"/>
      <c r="D10" s="214"/>
      <c r="E10" s="214"/>
      <c r="F10" s="214"/>
      <c r="G10" s="214"/>
      <c r="H10" s="214"/>
      <c r="I10" s="214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09" t="s">
        <v>59</v>
      </c>
      <c r="B14" s="209"/>
      <c r="C14" s="209"/>
      <c r="D14" s="209"/>
      <c r="E14" s="209"/>
      <c r="F14" s="209"/>
      <c r="G14" s="209"/>
      <c r="H14" s="209"/>
      <c r="I14" s="209"/>
      <c r="J14" s="8"/>
      <c r="K14" s="8"/>
      <c r="L14" s="8"/>
      <c r="M14" s="8"/>
    </row>
    <row r="15" spans="1:13" ht="15" customHeight="1">
      <c r="A15" s="205" t="s">
        <v>4</v>
      </c>
      <c r="B15" s="205"/>
      <c r="C15" s="205"/>
      <c r="D15" s="205"/>
      <c r="E15" s="205"/>
      <c r="F15" s="205"/>
      <c r="G15" s="205"/>
      <c r="H15" s="205"/>
      <c r="I15" s="205"/>
      <c r="J15" s="8"/>
      <c r="K15" s="8"/>
      <c r="L15" s="8"/>
      <c r="M15" s="8"/>
    </row>
    <row r="16" spans="1:13" ht="15.75" customHeight="1">
      <c r="A16" s="32">
        <v>1</v>
      </c>
      <c r="B16" s="76" t="s">
        <v>88</v>
      </c>
      <c r="C16" s="77" t="s">
        <v>89</v>
      </c>
      <c r="D16" s="76" t="s">
        <v>178</v>
      </c>
      <c r="E16" s="78">
        <v>208.08</v>
      </c>
      <c r="F16" s="79">
        <f>SUM(E16*156/100)</f>
        <v>324.60480000000001</v>
      </c>
      <c r="G16" s="79">
        <v>175.38</v>
      </c>
      <c r="H16" s="80">
        <f t="shared" ref="H16:H25" si="0">SUM(F16*G16/1000)</f>
        <v>56.929189823999998</v>
      </c>
      <c r="I16" s="13">
        <f>F16/12*G16</f>
        <v>4744.0991519999998</v>
      </c>
      <c r="J16" s="24"/>
      <c r="K16" s="8"/>
      <c r="L16" s="8"/>
      <c r="M16" s="8"/>
    </row>
    <row r="17" spans="1:13" ht="15.75" customHeight="1">
      <c r="A17" s="32">
        <v>2</v>
      </c>
      <c r="B17" s="76" t="s">
        <v>119</v>
      </c>
      <c r="C17" s="77" t="s">
        <v>89</v>
      </c>
      <c r="D17" s="76" t="s">
        <v>177</v>
      </c>
      <c r="E17" s="78">
        <v>832.32</v>
      </c>
      <c r="F17" s="79">
        <f>SUM(E17*104/100)</f>
        <v>865.61279999999999</v>
      </c>
      <c r="G17" s="79">
        <v>175.38</v>
      </c>
      <c r="H17" s="80">
        <f t="shared" si="0"/>
        <v>151.81117286399999</v>
      </c>
      <c r="I17" s="13">
        <f>F17/12*G17</f>
        <v>12650.931071999999</v>
      </c>
      <c r="J17" s="25"/>
      <c r="K17" s="8"/>
      <c r="L17" s="8"/>
      <c r="M17" s="8"/>
    </row>
    <row r="18" spans="1:13" ht="15.75" customHeight="1">
      <c r="A18" s="32">
        <v>3</v>
      </c>
      <c r="B18" s="76" t="s">
        <v>120</v>
      </c>
      <c r="C18" s="77" t="s">
        <v>89</v>
      </c>
      <c r="D18" s="76" t="s">
        <v>176</v>
      </c>
      <c r="E18" s="78">
        <v>1040.4000000000001</v>
      </c>
      <c r="F18" s="79">
        <f>SUM(E18*24/100)</f>
        <v>249.69600000000003</v>
      </c>
      <c r="G18" s="79">
        <v>504.5</v>
      </c>
      <c r="H18" s="80">
        <f t="shared" si="0"/>
        <v>125.97163200000001</v>
      </c>
      <c r="I18" s="13">
        <f>F18/12*G18</f>
        <v>10497.636000000002</v>
      </c>
      <c r="J18" s="25"/>
      <c r="K18" s="8"/>
      <c r="L18" s="8"/>
      <c r="M18" s="8"/>
    </row>
    <row r="19" spans="1:13" ht="15.75" hidden="1" customHeight="1">
      <c r="A19" s="32"/>
      <c r="B19" s="76" t="s">
        <v>96</v>
      </c>
      <c r="C19" s="77" t="s">
        <v>97</v>
      </c>
      <c r="D19" s="76" t="s">
        <v>98</v>
      </c>
      <c r="E19" s="78">
        <v>48</v>
      </c>
      <c r="F19" s="79">
        <f>SUM(E19/10)</f>
        <v>4.8</v>
      </c>
      <c r="G19" s="79">
        <v>170.16</v>
      </c>
      <c r="H19" s="80">
        <f t="shared" si="0"/>
        <v>0.81676799999999994</v>
      </c>
      <c r="I19" s="13">
        <v>0</v>
      </c>
      <c r="J19" s="25"/>
      <c r="K19" s="8"/>
      <c r="L19" s="8"/>
      <c r="M19" s="8"/>
    </row>
    <row r="20" spans="1:13" ht="15.75" customHeight="1">
      <c r="A20" s="32">
        <v>4</v>
      </c>
      <c r="B20" s="76" t="s">
        <v>99</v>
      </c>
      <c r="C20" s="77" t="s">
        <v>89</v>
      </c>
      <c r="D20" s="76" t="s">
        <v>121</v>
      </c>
      <c r="E20" s="78">
        <v>30.6</v>
      </c>
      <c r="F20" s="79">
        <f>SUM(E20*12/100)</f>
        <v>3.6720000000000006</v>
      </c>
      <c r="G20" s="79">
        <v>217.88</v>
      </c>
      <c r="H20" s="80">
        <f t="shared" si="0"/>
        <v>0.8000553600000001</v>
      </c>
      <c r="I20" s="13">
        <f>F20/12*G20</f>
        <v>66.67128000000001</v>
      </c>
      <c r="J20" s="25"/>
      <c r="K20" s="8"/>
      <c r="L20" s="8"/>
      <c r="M20" s="8"/>
    </row>
    <row r="21" spans="1:13" ht="15.75" customHeight="1">
      <c r="A21" s="32">
        <v>5</v>
      </c>
      <c r="B21" s="76" t="s">
        <v>100</v>
      </c>
      <c r="C21" s="77" t="s">
        <v>89</v>
      </c>
      <c r="D21" s="76" t="s">
        <v>30</v>
      </c>
      <c r="E21" s="78">
        <v>10.06</v>
      </c>
      <c r="F21" s="79">
        <f>SUM(E21*12/100)</f>
        <v>1.2072000000000001</v>
      </c>
      <c r="G21" s="79">
        <v>216.12</v>
      </c>
      <c r="H21" s="80">
        <f t="shared" si="0"/>
        <v>0.26090006400000004</v>
      </c>
      <c r="I21" s="13">
        <f>F21/12*G21</f>
        <v>21.741672000000001</v>
      </c>
      <c r="J21" s="25"/>
      <c r="K21" s="8"/>
      <c r="L21" s="8"/>
      <c r="M21" s="8"/>
    </row>
    <row r="22" spans="1:13" ht="15.75" hidden="1" customHeight="1">
      <c r="A22" s="32"/>
      <c r="B22" s="76" t="s">
        <v>101</v>
      </c>
      <c r="C22" s="77" t="s">
        <v>52</v>
      </c>
      <c r="D22" s="76" t="s">
        <v>98</v>
      </c>
      <c r="E22" s="78">
        <v>769.2</v>
      </c>
      <c r="F22" s="79">
        <f>SUM(E22/100)</f>
        <v>7.6920000000000002</v>
      </c>
      <c r="G22" s="79">
        <v>269.26</v>
      </c>
      <c r="H22" s="80">
        <f t="shared" si="0"/>
        <v>2.07114792</v>
      </c>
      <c r="I22" s="13">
        <v>0</v>
      </c>
      <c r="J22" s="25"/>
      <c r="K22" s="8"/>
      <c r="L22" s="8"/>
      <c r="M22" s="8"/>
    </row>
    <row r="23" spans="1:13" ht="15.75" hidden="1" customHeight="1">
      <c r="A23" s="32"/>
      <c r="B23" s="76" t="s">
        <v>102</v>
      </c>
      <c r="C23" s="77" t="s">
        <v>52</v>
      </c>
      <c r="D23" s="76" t="s">
        <v>98</v>
      </c>
      <c r="E23" s="81">
        <v>35.28</v>
      </c>
      <c r="F23" s="79">
        <f>SUM(E23/100)</f>
        <v>0.3528</v>
      </c>
      <c r="G23" s="79">
        <v>44.29</v>
      </c>
      <c r="H23" s="80">
        <f t="shared" si="0"/>
        <v>1.5625512000000001E-2</v>
      </c>
      <c r="I23" s="13">
        <v>0</v>
      </c>
      <c r="J23" s="25"/>
      <c r="K23" s="8"/>
      <c r="L23" s="8"/>
      <c r="M23" s="8"/>
    </row>
    <row r="24" spans="1:13" ht="15.75" customHeight="1">
      <c r="A24" s="32">
        <v>6</v>
      </c>
      <c r="B24" s="76" t="s">
        <v>103</v>
      </c>
      <c r="C24" s="77" t="s">
        <v>52</v>
      </c>
      <c r="D24" s="76" t="s">
        <v>30</v>
      </c>
      <c r="E24" s="78">
        <v>10.8</v>
      </c>
      <c r="F24" s="79">
        <f>E24*12/100</f>
        <v>1.2960000000000003</v>
      </c>
      <c r="G24" s="79">
        <v>389.72</v>
      </c>
      <c r="H24" s="80">
        <f t="shared" si="0"/>
        <v>0.50507712000000016</v>
      </c>
      <c r="I24" s="13">
        <f>F24/12*G24</f>
        <v>42.089760000000012</v>
      </c>
      <c r="J24" s="25"/>
      <c r="K24" s="8"/>
      <c r="L24" s="8"/>
      <c r="M24" s="8"/>
    </row>
    <row r="25" spans="1:13" ht="15.75" customHeight="1">
      <c r="A25" s="32">
        <v>7</v>
      </c>
      <c r="B25" s="76" t="s">
        <v>104</v>
      </c>
      <c r="C25" s="77" t="s">
        <v>52</v>
      </c>
      <c r="D25" s="76" t="s">
        <v>122</v>
      </c>
      <c r="E25" s="78">
        <v>21.6</v>
      </c>
      <c r="F25" s="79">
        <f>SUM(E25*12/100)</f>
        <v>2.5920000000000005</v>
      </c>
      <c r="G25" s="79">
        <v>520.79999999999995</v>
      </c>
      <c r="H25" s="80">
        <f t="shared" si="0"/>
        <v>1.3499136</v>
      </c>
      <c r="I25" s="13">
        <f>F25/12*G25</f>
        <v>112.49280000000002</v>
      </c>
      <c r="J25" s="25"/>
      <c r="K25" s="8"/>
      <c r="L25" s="8"/>
      <c r="M25" s="8"/>
    </row>
    <row r="26" spans="1:13" ht="15.75" customHeight="1">
      <c r="A26" s="32">
        <v>8</v>
      </c>
      <c r="B26" s="76" t="s">
        <v>64</v>
      </c>
      <c r="C26" s="77" t="s">
        <v>33</v>
      </c>
      <c r="D26" s="76"/>
      <c r="E26" s="78">
        <v>0.1</v>
      </c>
      <c r="F26" s="79">
        <f>SUM(E26*365)</f>
        <v>36.5</v>
      </c>
      <c r="G26" s="79">
        <v>147.03</v>
      </c>
      <c r="H26" s="80">
        <f>SUM(F26*G26/1000)</f>
        <v>5.3665950000000002</v>
      </c>
      <c r="I26" s="13">
        <f>F26/12*G26</f>
        <v>447.21625</v>
      </c>
      <c r="J26" s="26"/>
    </row>
    <row r="27" spans="1:13" ht="15.75" customHeight="1">
      <c r="A27" s="32">
        <v>9</v>
      </c>
      <c r="B27" s="84" t="s">
        <v>23</v>
      </c>
      <c r="C27" s="77" t="s">
        <v>24</v>
      </c>
      <c r="D27" s="76"/>
      <c r="E27" s="78">
        <v>6980.3</v>
      </c>
      <c r="F27" s="79">
        <f>SUM(E27*12)</f>
        <v>83763.600000000006</v>
      </c>
      <c r="G27" s="79">
        <v>4.4000000000000004</v>
      </c>
      <c r="H27" s="80">
        <f>SUM(F27*G27/1000)</f>
        <v>368.55984000000007</v>
      </c>
      <c r="I27" s="13">
        <f>F27/12*G27</f>
        <v>30713.320000000003</v>
      </c>
      <c r="J27" s="26"/>
    </row>
    <row r="28" spans="1:13" ht="15" customHeight="1">
      <c r="A28" s="205" t="s">
        <v>86</v>
      </c>
      <c r="B28" s="205"/>
      <c r="C28" s="205"/>
      <c r="D28" s="205"/>
      <c r="E28" s="205"/>
      <c r="F28" s="205"/>
      <c r="G28" s="205"/>
      <c r="H28" s="205"/>
      <c r="I28" s="205"/>
      <c r="J28" s="25"/>
      <c r="K28" s="8"/>
      <c r="L28" s="8"/>
      <c r="M28" s="8"/>
    </row>
    <row r="29" spans="1:13" ht="15.75" hidden="1" customHeight="1">
      <c r="A29" s="32"/>
      <c r="B29" s="100" t="s">
        <v>28</v>
      </c>
      <c r="C29" s="77"/>
      <c r="D29" s="76"/>
      <c r="E29" s="78"/>
      <c r="F29" s="79"/>
      <c r="G29" s="79"/>
      <c r="H29" s="80"/>
      <c r="I29" s="13"/>
      <c r="J29" s="25"/>
      <c r="K29" s="8"/>
      <c r="L29" s="8"/>
      <c r="M29" s="8"/>
    </row>
    <row r="30" spans="1:13" ht="31.5" hidden="1" customHeight="1">
      <c r="A30" s="32">
        <v>10</v>
      </c>
      <c r="B30" s="76" t="s">
        <v>108</v>
      </c>
      <c r="C30" s="77" t="s">
        <v>91</v>
      </c>
      <c r="D30" s="76" t="s">
        <v>105</v>
      </c>
      <c r="E30" s="79">
        <v>1168.05</v>
      </c>
      <c r="F30" s="79">
        <f>SUM(E30*52/1000)</f>
        <v>60.738599999999998</v>
      </c>
      <c r="G30" s="79">
        <v>155.88999999999999</v>
      </c>
      <c r="H30" s="80">
        <f t="shared" ref="H30:H36" si="1">SUM(F30*G30/1000)</f>
        <v>9.4685403539999982</v>
      </c>
      <c r="I30" s="13">
        <f>F30/6*G30</f>
        <v>1578.0900589999997</v>
      </c>
      <c r="J30" s="25"/>
      <c r="K30" s="8"/>
      <c r="L30" s="8"/>
      <c r="M30" s="8"/>
    </row>
    <row r="31" spans="1:13" ht="31.5" hidden="1" customHeight="1">
      <c r="A31" s="32">
        <v>11</v>
      </c>
      <c r="B31" s="76" t="s">
        <v>124</v>
      </c>
      <c r="C31" s="77" t="s">
        <v>91</v>
      </c>
      <c r="D31" s="76" t="s">
        <v>106</v>
      </c>
      <c r="E31" s="79">
        <v>1039.2</v>
      </c>
      <c r="F31" s="79">
        <f>SUM(E31*78/1000)</f>
        <v>81.057600000000008</v>
      </c>
      <c r="G31" s="79">
        <v>258.63</v>
      </c>
      <c r="H31" s="80">
        <f t="shared" si="1"/>
        <v>20.963927088000002</v>
      </c>
      <c r="I31" s="13">
        <f t="shared" ref="I31:I34" si="2">F31/6*G31</f>
        <v>3493.9878480000002</v>
      </c>
      <c r="J31" s="25"/>
      <c r="K31" s="8"/>
      <c r="L31" s="8"/>
      <c r="M31" s="8"/>
    </row>
    <row r="32" spans="1:13" ht="15.75" hidden="1" customHeight="1">
      <c r="A32" s="32">
        <v>16</v>
      </c>
      <c r="B32" s="76" t="s">
        <v>27</v>
      </c>
      <c r="C32" s="77" t="s">
        <v>91</v>
      </c>
      <c r="D32" s="76" t="s">
        <v>53</v>
      </c>
      <c r="E32" s="79">
        <v>584.03</v>
      </c>
      <c r="F32" s="79">
        <f>SUM(E32/1000)</f>
        <v>0.58402999999999994</v>
      </c>
      <c r="G32" s="79">
        <v>3020.33</v>
      </c>
      <c r="H32" s="80">
        <f t="shared" si="1"/>
        <v>1.7639633298999997</v>
      </c>
      <c r="I32" s="13">
        <f>F32*G32</f>
        <v>1763.9633298999997</v>
      </c>
      <c r="J32" s="25"/>
      <c r="K32" s="8"/>
      <c r="L32" s="8"/>
      <c r="M32" s="8"/>
    </row>
    <row r="33" spans="1:14" ht="15.75" hidden="1" customHeight="1">
      <c r="A33" s="32">
        <v>12</v>
      </c>
      <c r="B33" s="76" t="s">
        <v>123</v>
      </c>
      <c r="C33" s="77" t="s">
        <v>39</v>
      </c>
      <c r="D33" s="76" t="s">
        <v>63</v>
      </c>
      <c r="E33" s="79">
        <v>6</v>
      </c>
      <c r="F33" s="79">
        <f>E33*155/100</f>
        <v>9.3000000000000007</v>
      </c>
      <c r="G33" s="79">
        <v>1302.02</v>
      </c>
      <c r="H33" s="80">
        <f>G33*F33/1000</f>
        <v>12.108786</v>
      </c>
      <c r="I33" s="13">
        <f t="shared" si="2"/>
        <v>2018.1310000000001</v>
      </c>
      <c r="J33" s="25"/>
      <c r="K33" s="8"/>
      <c r="L33" s="8"/>
      <c r="M33" s="8"/>
    </row>
    <row r="34" spans="1:14" ht="15.75" hidden="1" customHeight="1">
      <c r="A34" s="32">
        <v>13</v>
      </c>
      <c r="B34" s="76" t="s">
        <v>107</v>
      </c>
      <c r="C34" s="77" t="s">
        <v>31</v>
      </c>
      <c r="D34" s="76" t="s">
        <v>63</v>
      </c>
      <c r="E34" s="83">
        <v>0.33333333333333331</v>
      </c>
      <c r="F34" s="79">
        <f>155/3</f>
        <v>51.666666666666664</v>
      </c>
      <c r="G34" s="79">
        <v>56.69</v>
      </c>
      <c r="H34" s="80">
        <f>SUM(G34*155/3/1000)</f>
        <v>2.9289833333333331</v>
      </c>
      <c r="I34" s="13">
        <f t="shared" si="2"/>
        <v>488.16388888888883</v>
      </c>
      <c r="J34" s="25"/>
      <c r="K34" s="8"/>
    </row>
    <row r="35" spans="1:14" ht="15.75" hidden="1" customHeight="1">
      <c r="A35" s="32"/>
      <c r="B35" s="76" t="s">
        <v>65</v>
      </c>
      <c r="C35" s="77" t="s">
        <v>33</v>
      </c>
      <c r="D35" s="76" t="s">
        <v>67</v>
      </c>
      <c r="E35" s="78"/>
      <c r="F35" s="79">
        <v>4</v>
      </c>
      <c r="G35" s="79">
        <v>180.15</v>
      </c>
      <c r="H35" s="80">
        <f t="shared" si="1"/>
        <v>0.72060000000000002</v>
      </c>
      <c r="I35" s="13">
        <v>0</v>
      </c>
      <c r="J35" s="26"/>
    </row>
    <row r="36" spans="1:14" ht="15.75" hidden="1" customHeight="1">
      <c r="A36" s="32"/>
      <c r="B36" s="76" t="s">
        <v>66</v>
      </c>
      <c r="C36" s="77" t="s">
        <v>32</v>
      </c>
      <c r="D36" s="76" t="s">
        <v>67</v>
      </c>
      <c r="E36" s="78"/>
      <c r="F36" s="79">
        <v>3</v>
      </c>
      <c r="G36" s="79">
        <v>1136.33</v>
      </c>
      <c r="H36" s="80">
        <f t="shared" si="1"/>
        <v>3.4089899999999997</v>
      </c>
      <c r="I36" s="13">
        <v>0</v>
      </c>
      <c r="J36" s="26"/>
    </row>
    <row r="37" spans="1:14" ht="15.75" customHeight="1">
      <c r="A37" s="32"/>
      <c r="B37" s="100" t="s">
        <v>5</v>
      </c>
      <c r="C37" s="77"/>
      <c r="D37" s="76"/>
      <c r="E37" s="78"/>
      <c r="F37" s="79"/>
      <c r="G37" s="79"/>
      <c r="H37" s="80" t="s">
        <v>150</v>
      </c>
      <c r="I37" s="13"/>
      <c r="J37" s="26"/>
    </row>
    <row r="38" spans="1:14" ht="15.75" customHeight="1">
      <c r="A38" s="32">
        <v>10</v>
      </c>
      <c r="B38" s="76" t="s">
        <v>26</v>
      </c>
      <c r="C38" s="77" t="s">
        <v>32</v>
      </c>
      <c r="D38" s="76"/>
      <c r="E38" s="78"/>
      <c r="F38" s="79">
        <v>10</v>
      </c>
      <c r="G38" s="79">
        <v>1527.22</v>
      </c>
      <c r="H38" s="80">
        <f t="shared" ref="H38:H45" si="3">SUM(F38*G38/1000)</f>
        <v>15.272200000000002</v>
      </c>
      <c r="I38" s="13">
        <f>F38/6*G38</f>
        <v>2545.3666666666668</v>
      </c>
      <c r="J38" s="26"/>
    </row>
    <row r="39" spans="1:14" ht="15.75" customHeight="1">
      <c r="A39" s="32">
        <v>11</v>
      </c>
      <c r="B39" s="76" t="s">
        <v>125</v>
      </c>
      <c r="C39" s="77" t="s">
        <v>33</v>
      </c>
      <c r="D39" s="76"/>
      <c r="E39" s="78"/>
      <c r="F39" s="79">
        <v>10</v>
      </c>
      <c r="G39" s="79">
        <v>77.94</v>
      </c>
      <c r="H39" s="80">
        <f>G39*F39/1000</f>
        <v>0.77939999999999998</v>
      </c>
      <c r="I39" s="13">
        <f>F39/6*G39</f>
        <v>129.9</v>
      </c>
      <c r="J39" s="26"/>
      <c r="L39" s="19"/>
      <c r="M39" s="20"/>
      <c r="N39" s="21"/>
    </row>
    <row r="40" spans="1:14" ht="15.75" customHeight="1">
      <c r="A40" s="32">
        <v>12</v>
      </c>
      <c r="B40" s="76" t="s">
        <v>109</v>
      </c>
      <c r="C40" s="77" t="s">
        <v>29</v>
      </c>
      <c r="D40" s="76" t="s">
        <v>126</v>
      </c>
      <c r="E40" s="78">
        <v>1039.2</v>
      </c>
      <c r="F40" s="79">
        <f>E40*25/1000</f>
        <v>25.98</v>
      </c>
      <c r="G40" s="79">
        <v>2102.71</v>
      </c>
      <c r="H40" s="80">
        <f>G40*F40/1000</f>
        <v>54.628405800000003</v>
      </c>
      <c r="I40" s="13">
        <f>F40/6*G40</f>
        <v>9104.7343000000001</v>
      </c>
      <c r="J40" s="26"/>
      <c r="L40" s="19"/>
      <c r="M40" s="20"/>
      <c r="N40" s="21"/>
    </row>
    <row r="41" spans="1:14" ht="15.75" hidden="1" customHeight="1">
      <c r="A41" s="32"/>
      <c r="B41" s="76" t="s">
        <v>127</v>
      </c>
      <c r="C41" s="77" t="s">
        <v>128</v>
      </c>
      <c r="D41" s="76" t="s">
        <v>67</v>
      </c>
      <c r="E41" s="78"/>
      <c r="F41" s="79">
        <v>50</v>
      </c>
      <c r="G41" s="79">
        <v>213.2</v>
      </c>
      <c r="H41" s="80">
        <f>G41*F41/1000</f>
        <v>10.66</v>
      </c>
      <c r="I41" s="13">
        <v>0</v>
      </c>
      <c r="J41" s="26"/>
      <c r="L41" s="19"/>
      <c r="M41" s="20"/>
      <c r="N41" s="21"/>
    </row>
    <row r="42" spans="1:14" ht="15.75" customHeight="1">
      <c r="A42" s="32">
        <v>13</v>
      </c>
      <c r="B42" s="76" t="s">
        <v>68</v>
      </c>
      <c r="C42" s="77" t="s">
        <v>29</v>
      </c>
      <c r="D42" s="76" t="s">
        <v>90</v>
      </c>
      <c r="E42" s="79">
        <v>153</v>
      </c>
      <c r="F42" s="79">
        <f>SUM(E42*155/1000)</f>
        <v>23.715</v>
      </c>
      <c r="G42" s="79">
        <v>350.75</v>
      </c>
      <c r="H42" s="80">
        <f t="shared" si="3"/>
        <v>8.3180362499999987</v>
      </c>
      <c r="I42" s="13">
        <f>F42/6*G42</f>
        <v>1386.339375</v>
      </c>
      <c r="J42" s="26"/>
      <c r="L42" s="19"/>
      <c r="M42" s="20"/>
      <c r="N42" s="21"/>
    </row>
    <row r="43" spans="1:14" ht="47.25" customHeight="1">
      <c r="A43" s="32">
        <v>14</v>
      </c>
      <c r="B43" s="76" t="s">
        <v>84</v>
      </c>
      <c r="C43" s="77" t="s">
        <v>91</v>
      </c>
      <c r="D43" s="76" t="s">
        <v>129</v>
      </c>
      <c r="E43" s="79">
        <v>24</v>
      </c>
      <c r="F43" s="79">
        <f>SUM(E43*50/1000)</f>
        <v>1.2</v>
      </c>
      <c r="G43" s="79">
        <v>5803.28</v>
      </c>
      <c r="H43" s="80">
        <f t="shared" si="3"/>
        <v>6.9639359999999995</v>
      </c>
      <c r="I43" s="13">
        <f>F43/6*G43</f>
        <v>1160.6559999999999</v>
      </c>
      <c r="J43" s="26"/>
      <c r="L43" s="19"/>
      <c r="M43" s="20"/>
      <c r="N43" s="21"/>
    </row>
    <row r="44" spans="1:14" ht="15.75" customHeight="1">
      <c r="A44" s="32">
        <v>15</v>
      </c>
      <c r="B44" s="76" t="s">
        <v>92</v>
      </c>
      <c r="C44" s="77" t="s">
        <v>91</v>
      </c>
      <c r="D44" s="76" t="s">
        <v>69</v>
      </c>
      <c r="E44" s="79">
        <v>153</v>
      </c>
      <c r="F44" s="79">
        <f>SUM(E44*45/1000)</f>
        <v>6.8849999999999998</v>
      </c>
      <c r="G44" s="79">
        <v>428.7</v>
      </c>
      <c r="H44" s="80">
        <f t="shared" si="3"/>
        <v>2.9515994999999999</v>
      </c>
      <c r="I44" s="13">
        <f>(F44/7.5*1.5)*G44</f>
        <v>590.31989999999985</v>
      </c>
      <c r="J44" s="26"/>
      <c r="L44" s="19"/>
      <c r="M44" s="20"/>
      <c r="N44" s="21"/>
    </row>
    <row r="45" spans="1:14" ht="15.75" customHeight="1">
      <c r="A45" s="32">
        <v>16</v>
      </c>
      <c r="B45" s="76" t="s">
        <v>70</v>
      </c>
      <c r="C45" s="77" t="s">
        <v>33</v>
      </c>
      <c r="D45" s="76"/>
      <c r="E45" s="78"/>
      <c r="F45" s="79">
        <v>0.9</v>
      </c>
      <c r="G45" s="79">
        <v>798</v>
      </c>
      <c r="H45" s="80">
        <f t="shared" si="3"/>
        <v>0.71820000000000006</v>
      </c>
      <c r="I45" s="13">
        <f>(F45/7.5*1.5)*G45</f>
        <v>143.64000000000001</v>
      </c>
      <c r="J45" s="26"/>
      <c r="L45" s="19"/>
      <c r="M45" s="20"/>
      <c r="N45" s="21"/>
    </row>
    <row r="46" spans="1:14" ht="19.5" customHeight="1">
      <c r="A46" s="206" t="s">
        <v>146</v>
      </c>
      <c r="B46" s="207"/>
      <c r="C46" s="207"/>
      <c r="D46" s="207"/>
      <c r="E46" s="207"/>
      <c r="F46" s="207"/>
      <c r="G46" s="207"/>
      <c r="H46" s="207"/>
      <c r="I46" s="208"/>
      <c r="J46" s="26"/>
      <c r="L46" s="19"/>
      <c r="M46" s="20"/>
      <c r="N46" s="21"/>
    </row>
    <row r="47" spans="1:14" ht="21.75" hidden="1" customHeight="1">
      <c r="A47" s="32"/>
      <c r="B47" s="76" t="s">
        <v>130</v>
      </c>
      <c r="C47" s="77" t="s">
        <v>91</v>
      </c>
      <c r="D47" s="76" t="s">
        <v>42</v>
      </c>
      <c r="E47" s="78">
        <v>1895</v>
      </c>
      <c r="F47" s="79">
        <f>SUM(E47*2/1000)</f>
        <v>3.79</v>
      </c>
      <c r="G47" s="13">
        <v>849.49</v>
      </c>
      <c r="H47" s="80">
        <f t="shared" ref="H47:H55" si="4">SUM(F47*G47/1000)</f>
        <v>3.2195671000000003</v>
      </c>
      <c r="I47" s="13">
        <v>0</v>
      </c>
      <c r="J47" s="26"/>
      <c r="L47" s="19"/>
      <c r="M47" s="20"/>
      <c r="N47" s="21"/>
    </row>
    <row r="48" spans="1:14" ht="14.25" hidden="1" customHeight="1">
      <c r="A48" s="32"/>
      <c r="B48" s="76" t="s">
        <v>34</v>
      </c>
      <c r="C48" s="77" t="s">
        <v>91</v>
      </c>
      <c r="D48" s="76" t="s">
        <v>42</v>
      </c>
      <c r="E48" s="78">
        <v>118.2</v>
      </c>
      <c r="F48" s="79">
        <f>E48*2/1000</f>
        <v>0.2364</v>
      </c>
      <c r="G48" s="13">
        <v>579.48</v>
      </c>
      <c r="H48" s="80">
        <f t="shared" si="4"/>
        <v>0.13698907199999999</v>
      </c>
      <c r="I48" s="13">
        <v>0</v>
      </c>
      <c r="J48" s="26"/>
      <c r="L48" s="19"/>
      <c r="M48" s="20"/>
      <c r="N48" s="21"/>
    </row>
    <row r="49" spans="1:22" ht="26.25" hidden="1" customHeight="1">
      <c r="A49" s="32"/>
      <c r="B49" s="76" t="s">
        <v>35</v>
      </c>
      <c r="C49" s="77" t="s">
        <v>91</v>
      </c>
      <c r="D49" s="76" t="s">
        <v>42</v>
      </c>
      <c r="E49" s="78">
        <v>4675</v>
      </c>
      <c r="F49" s="79">
        <f>SUM(E49*2/1000)</f>
        <v>9.35</v>
      </c>
      <c r="G49" s="13">
        <v>579.48</v>
      </c>
      <c r="H49" s="80">
        <f t="shared" si="4"/>
        <v>5.4181379999999999</v>
      </c>
      <c r="I49" s="13">
        <v>0</v>
      </c>
      <c r="J49" s="26"/>
      <c r="L49" s="19"/>
      <c r="M49" s="20"/>
      <c r="N49" s="21"/>
    </row>
    <row r="50" spans="1:22" ht="21" hidden="1" customHeight="1">
      <c r="A50" s="32"/>
      <c r="B50" s="76" t="s">
        <v>36</v>
      </c>
      <c r="C50" s="77" t="s">
        <v>91</v>
      </c>
      <c r="D50" s="76" t="s">
        <v>42</v>
      </c>
      <c r="E50" s="78">
        <v>4675</v>
      </c>
      <c r="F50" s="79">
        <f>SUM(E50*2/1000)</f>
        <v>9.35</v>
      </c>
      <c r="G50" s="13">
        <v>606.77</v>
      </c>
      <c r="H50" s="80">
        <f t="shared" si="4"/>
        <v>5.6732994999999988</v>
      </c>
      <c r="I50" s="13">
        <v>0</v>
      </c>
      <c r="J50" s="26"/>
      <c r="L50" s="19"/>
      <c r="M50" s="20"/>
      <c r="N50" s="21"/>
    </row>
    <row r="51" spans="1:22" ht="21.75" hidden="1" customHeight="1">
      <c r="A51" s="32">
        <v>17</v>
      </c>
      <c r="B51" s="76" t="s">
        <v>56</v>
      </c>
      <c r="C51" s="77" t="s">
        <v>91</v>
      </c>
      <c r="D51" s="76" t="s">
        <v>164</v>
      </c>
      <c r="E51" s="78">
        <v>3988</v>
      </c>
      <c r="F51" s="79">
        <f>SUM(E51*5/1000)</f>
        <v>19.940000000000001</v>
      </c>
      <c r="G51" s="13">
        <v>1142.7</v>
      </c>
      <c r="H51" s="80">
        <f t="shared" si="4"/>
        <v>22.785438000000003</v>
      </c>
      <c r="I51" s="13">
        <f>F51/5*G51</f>
        <v>4557.0876000000007</v>
      </c>
      <c r="J51" s="26"/>
      <c r="L51" s="19"/>
      <c r="M51" s="20"/>
      <c r="N51" s="21"/>
    </row>
    <row r="52" spans="1:22" ht="18.75" hidden="1" customHeight="1">
      <c r="A52" s="32"/>
      <c r="B52" s="76" t="s">
        <v>93</v>
      </c>
      <c r="C52" s="77" t="s">
        <v>91</v>
      </c>
      <c r="D52" s="76" t="s">
        <v>42</v>
      </c>
      <c r="E52" s="78">
        <v>3988</v>
      </c>
      <c r="F52" s="79">
        <f>SUM(E52*2/1000)</f>
        <v>7.976</v>
      </c>
      <c r="G52" s="13">
        <v>1213.55</v>
      </c>
      <c r="H52" s="80">
        <f t="shared" si="4"/>
        <v>9.6792748</v>
      </c>
      <c r="I52" s="13">
        <v>0</v>
      </c>
      <c r="J52" s="26"/>
      <c r="L52" s="19"/>
      <c r="M52" s="20"/>
      <c r="N52" s="21"/>
    </row>
    <row r="53" spans="1:22" ht="23.25" hidden="1" customHeight="1">
      <c r="A53" s="32"/>
      <c r="B53" s="76" t="s">
        <v>94</v>
      </c>
      <c r="C53" s="77" t="s">
        <v>37</v>
      </c>
      <c r="D53" s="76" t="s">
        <v>42</v>
      </c>
      <c r="E53" s="78">
        <v>30</v>
      </c>
      <c r="F53" s="79">
        <f>SUM(E53*2/100)</f>
        <v>0.6</v>
      </c>
      <c r="G53" s="13">
        <v>2730.49</v>
      </c>
      <c r="H53" s="80">
        <f>SUM(F53*G53/1000)</f>
        <v>1.6382939999999999</v>
      </c>
      <c r="I53" s="13">
        <v>0</v>
      </c>
      <c r="J53" s="26"/>
      <c r="L53" s="19"/>
      <c r="M53" s="20"/>
      <c r="N53" s="21"/>
    </row>
    <row r="54" spans="1:22" ht="18.75" hidden="1" customHeight="1">
      <c r="A54" s="32">
        <v>17</v>
      </c>
      <c r="B54" s="76" t="s">
        <v>38</v>
      </c>
      <c r="C54" s="77" t="s">
        <v>39</v>
      </c>
      <c r="D54" s="76" t="s">
        <v>42</v>
      </c>
      <c r="E54" s="78">
        <v>1</v>
      </c>
      <c r="F54" s="79">
        <v>0.02</v>
      </c>
      <c r="G54" s="13">
        <v>5652.13</v>
      </c>
      <c r="H54" s="80">
        <f t="shared" si="4"/>
        <v>0.11304260000000001</v>
      </c>
      <c r="I54" s="13">
        <f>F54/2*G54</f>
        <v>56.521300000000004</v>
      </c>
      <c r="J54" s="26"/>
      <c r="L54" s="19"/>
      <c r="M54" s="20"/>
      <c r="N54" s="21"/>
    </row>
    <row r="55" spans="1:22" ht="22.5" customHeight="1">
      <c r="A55" s="32">
        <v>17</v>
      </c>
      <c r="B55" s="76" t="s">
        <v>41</v>
      </c>
      <c r="C55" s="77" t="s">
        <v>110</v>
      </c>
      <c r="D55" s="76" t="s">
        <v>71</v>
      </c>
      <c r="E55" s="78">
        <v>236</v>
      </c>
      <c r="F55" s="79">
        <f>SUM(E55)*3</f>
        <v>708</v>
      </c>
      <c r="G55" s="13">
        <v>65.67</v>
      </c>
      <c r="H55" s="80">
        <f t="shared" si="4"/>
        <v>46.49436</v>
      </c>
      <c r="I55" s="13">
        <f>E55*G55</f>
        <v>15498.12</v>
      </c>
      <c r="J55" s="26"/>
      <c r="L55" s="19"/>
      <c r="M55" s="20"/>
      <c r="N55" s="21"/>
    </row>
    <row r="56" spans="1:22" ht="15.75" customHeight="1">
      <c r="A56" s="206" t="s">
        <v>144</v>
      </c>
      <c r="B56" s="207"/>
      <c r="C56" s="207"/>
      <c r="D56" s="207"/>
      <c r="E56" s="207"/>
      <c r="F56" s="207"/>
      <c r="G56" s="207"/>
      <c r="H56" s="207"/>
      <c r="I56" s="208"/>
      <c r="J56" s="26"/>
      <c r="L56" s="19"/>
      <c r="M56" s="20"/>
      <c r="N56" s="21"/>
    </row>
    <row r="57" spans="1:22" ht="15.75" customHeight="1">
      <c r="A57" s="32"/>
      <c r="B57" s="100" t="s">
        <v>43</v>
      </c>
      <c r="C57" s="77"/>
      <c r="D57" s="76"/>
      <c r="E57" s="78"/>
      <c r="F57" s="79"/>
      <c r="G57" s="79"/>
      <c r="H57" s="80"/>
      <c r="I57" s="13"/>
      <c r="J57" s="26"/>
      <c r="L57" s="19"/>
      <c r="M57" s="20"/>
      <c r="N57" s="21"/>
    </row>
    <row r="58" spans="1:22" ht="31.5" hidden="1" customHeight="1">
      <c r="A58" s="32">
        <v>18</v>
      </c>
      <c r="B58" s="76" t="s">
        <v>131</v>
      </c>
      <c r="C58" s="77" t="s">
        <v>89</v>
      </c>
      <c r="D58" s="76" t="s">
        <v>111</v>
      </c>
      <c r="E58" s="78">
        <v>30</v>
      </c>
      <c r="F58" s="79">
        <f>SUM(E58*6/100)</f>
        <v>1.8</v>
      </c>
      <c r="G58" s="13">
        <v>1547.28</v>
      </c>
      <c r="H58" s="80">
        <f>SUM(F58*G58/1000)</f>
        <v>2.785104</v>
      </c>
      <c r="I58" s="13">
        <f>F58/6*G58</f>
        <v>464.18399999999997</v>
      </c>
      <c r="J58" s="26"/>
      <c r="L58" s="19"/>
    </row>
    <row r="59" spans="1:22" ht="15.75" customHeight="1">
      <c r="A59" s="32">
        <v>18</v>
      </c>
      <c r="B59" s="85" t="s">
        <v>132</v>
      </c>
      <c r="C59" s="86" t="s">
        <v>133</v>
      </c>
      <c r="D59" s="85" t="s">
        <v>42</v>
      </c>
      <c r="E59" s="87">
        <v>6</v>
      </c>
      <c r="F59" s="88">
        <v>12</v>
      </c>
      <c r="G59" s="13">
        <v>180.78</v>
      </c>
      <c r="H59" s="89">
        <f>G59*F59/1000</f>
        <v>2.1693600000000002</v>
      </c>
      <c r="I59" s="13">
        <f>F59/2*G59</f>
        <v>1084.68</v>
      </c>
    </row>
    <row r="60" spans="1:22" ht="15.75" customHeight="1">
      <c r="A60" s="32">
        <v>19</v>
      </c>
      <c r="B60" s="85" t="s">
        <v>134</v>
      </c>
      <c r="C60" s="86" t="s">
        <v>52</v>
      </c>
      <c r="D60" s="85" t="s">
        <v>40</v>
      </c>
      <c r="E60" s="87">
        <v>6</v>
      </c>
      <c r="F60" s="88">
        <f>E60*4/100</f>
        <v>0.24</v>
      </c>
      <c r="G60" s="13">
        <v>1547.28</v>
      </c>
      <c r="H60" s="89">
        <f>G60*F60/1000</f>
        <v>0.37134719999999999</v>
      </c>
      <c r="I60" s="13">
        <f>F60/4*G60</f>
        <v>92.836799999999997</v>
      </c>
    </row>
    <row r="61" spans="1:22" ht="15.75" customHeight="1">
      <c r="A61" s="32"/>
      <c r="B61" s="101" t="s">
        <v>44</v>
      </c>
      <c r="C61" s="86"/>
      <c r="D61" s="85"/>
      <c r="E61" s="87"/>
      <c r="F61" s="88"/>
      <c r="G61" s="13"/>
      <c r="H61" s="89"/>
      <c r="I61" s="13"/>
    </row>
    <row r="62" spans="1:22" ht="15.75" hidden="1" customHeight="1">
      <c r="A62" s="32">
        <v>22</v>
      </c>
      <c r="B62" s="85" t="s">
        <v>135</v>
      </c>
      <c r="C62" s="86" t="s">
        <v>52</v>
      </c>
      <c r="D62" s="85" t="s">
        <v>53</v>
      </c>
      <c r="E62" s="87">
        <v>997</v>
      </c>
      <c r="F62" s="88">
        <v>9.9700000000000006</v>
      </c>
      <c r="G62" s="13">
        <v>793.61</v>
      </c>
      <c r="H62" s="89">
        <f>F62*G62/1000</f>
        <v>7.9122917000000008</v>
      </c>
      <c r="I62" s="13">
        <f>G62*F62</f>
        <v>7912.2917000000007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9"/>
    </row>
    <row r="63" spans="1:22" ht="15.75" customHeight="1">
      <c r="A63" s="32">
        <v>20</v>
      </c>
      <c r="B63" s="85" t="s">
        <v>136</v>
      </c>
      <c r="C63" s="86" t="s">
        <v>25</v>
      </c>
      <c r="D63" s="115" t="s">
        <v>30</v>
      </c>
      <c r="E63" s="117">
        <v>200</v>
      </c>
      <c r="F63" s="118">
        <f>E63*12</f>
        <v>2400</v>
      </c>
      <c r="G63" s="119">
        <v>1.2</v>
      </c>
      <c r="H63" s="88">
        <f>F63*G63/1000</f>
        <v>2.88</v>
      </c>
      <c r="I63" s="13">
        <f>F63/12*G63</f>
        <v>240</v>
      </c>
      <c r="J63" s="28"/>
      <c r="K63" s="28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15.75" customHeight="1">
      <c r="A64" s="32"/>
      <c r="B64" s="101" t="s">
        <v>45</v>
      </c>
      <c r="C64" s="86"/>
      <c r="D64" s="85"/>
      <c r="E64" s="87"/>
      <c r="F64" s="90"/>
      <c r="G64" s="90"/>
      <c r="H64" s="88" t="s">
        <v>150</v>
      </c>
      <c r="I64" s="13"/>
      <c r="J64" s="3"/>
      <c r="K64" s="3"/>
      <c r="L64" s="3"/>
      <c r="M64" s="3"/>
      <c r="N64" s="3"/>
      <c r="O64" s="3"/>
      <c r="P64" s="3"/>
      <c r="Q64" s="3"/>
      <c r="S64" s="3"/>
      <c r="T64" s="3"/>
      <c r="U64" s="3"/>
    </row>
    <row r="65" spans="1:21" ht="15.75" customHeight="1">
      <c r="A65" s="32">
        <v>21</v>
      </c>
      <c r="B65" s="14" t="s">
        <v>46</v>
      </c>
      <c r="C65" s="16" t="s">
        <v>110</v>
      </c>
      <c r="D65" s="76" t="s">
        <v>67</v>
      </c>
      <c r="E65" s="18">
        <v>15</v>
      </c>
      <c r="F65" s="79">
        <v>15</v>
      </c>
      <c r="G65" s="13">
        <v>222.4</v>
      </c>
      <c r="H65" s="91">
        <f t="shared" ref="H65:H78" si="5">SUM(F65*G65/1000)</f>
        <v>3.3359999999999999</v>
      </c>
      <c r="I65" s="13">
        <f>G65*2</f>
        <v>444.8</v>
      </c>
      <c r="J65" s="5"/>
      <c r="K65" s="5"/>
      <c r="L65" s="5"/>
      <c r="M65" s="5"/>
      <c r="N65" s="5"/>
      <c r="O65" s="5"/>
      <c r="P65" s="5"/>
      <c r="Q65" s="5"/>
      <c r="R65" s="188"/>
      <c r="S65" s="188"/>
      <c r="T65" s="188"/>
      <c r="U65" s="188"/>
    </row>
    <row r="66" spans="1:21" ht="15.75" hidden="1" customHeight="1">
      <c r="A66" s="32">
        <v>25</v>
      </c>
      <c r="B66" s="14" t="s">
        <v>47</v>
      </c>
      <c r="C66" s="16" t="s">
        <v>110</v>
      </c>
      <c r="D66" s="76" t="s">
        <v>67</v>
      </c>
      <c r="E66" s="18">
        <v>10</v>
      </c>
      <c r="F66" s="79">
        <v>10</v>
      </c>
      <c r="G66" s="13">
        <v>76.25</v>
      </c>
      <c r="H66" s="91">
        <f t="shared" si="5"/>
        <v>0.76249999999999996</v>
      </c>
      <c r="I66" s="13">
        <f>G66</f>
        <v>76.25</v>
      </c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1" ht="15.75" hidden="1" customHeight="1">
      <c r="A67" s="32"/>
      <c r="B67" s="14" t="s">
        <v>48</v>
      </c>
      <c r="C67" s="16" t="s">
        <v>112</v>
      </c>
      <c r="D67" s="14" t="s">
        <v>53</v>
      </c>
      <c r="E67" s="78">
        <v>28608</v>
      </c>
      <c r="F67" s="13">
        <f>SUM(E67/100)</f>
        <v>286.08</v>
      </c>
      <c r="G67" s="13">
        <v>199.77</v>
      </c>
      <c r="H67" s="91">
        <f t="shared" si="5"/>
        <v>57.150201600000003</v>
      </c>
      <c r="I67" s="13">
        <f>F67*G67</f>
        <v>57150.2016</v>
      </c>
    </row>
    <row r="68" spans="1:21" ht="15.75" hidden="1" customHeight="1">
      <c r="A68" s="32"/>
      <c r="B68" s="14" t="s">
        <v>49</v>
      </c>
      <c r="C68" s="16" t="s">
        <v>113</v>
      </c>
      <c r="D68" s="14"/>
      <c r="E68" s="78">
        <v>28608</v>
      </c>
      <c r="F68" s="13">
        <f>SUM(E68/1000)</f>
        <v>28.608000000000001</v>
      </c>
      <c r="G68" s="13">
        <v>155.57</v>
      </c>
      <c r="H68" s="91">
        <f t="shared" si="5"/>
        <v>4.4505465599999994</v>
      </c>
      <c r="I68" s="13">
        <f t="shared" ref="I68:I72" si="6">F68*G68</f>
        <v>4450.5465599999998</v>
      </c>
    </row>
    <row r="69" spans="1:21" ht="15.75" hidden="1" customHeight="1">
      <c r="A69" s="32"/>
      <c r="B69" s="14" t="s">
        <v>50</v>
      </c>
      <c r="C69" s="16" t="s">
        <v>77</v>
      </c>
      <c r="D69" s="14" t="s">
        <v>53</v>
      </c>
      <c r="E69" s="78">
        <v>4550</v>
      </c>
      <c r="F69" s="13">
        <f>SUM(E69/100)</f>
        <v>45.5</v>
      </c>
      <c r="G69" s="13">
        <v>2074.63</v>
      </c>
      <c r="H69" s="91">
        <f t="shared" si="5"/>
        <v>94.395665000000008</v>
      </c>
      <c r="I69" s="13">
        <f t="shared" si="6"/>
        <v>94395.665000000008</v>
      </c>
    </row>
    <row r="70" spans="1:21" ht="15.75" hidden="1" customHeight="1">
      <c r="A70" s="32"/>
      <c r="B70" s="92" t="s">
        <v>114</v>
      </c>
      <c r="C70" s="16" t="s">
        <v>33</v>
      </c>
      <c r="D70" s="14"/>
      <c r="E70" s="78">
        <v>58.5</v>
      </c>
      <c r="F70" s="13">
        <f>SUM(E70)</f>
        <v>58.5</v>
      </c>
      <c r="G70" s="13">
        <v>45.32</v>
      </c>
      <c r="H70" s="91">
        <f t="shared" si="5"/>
        <v>2.6512199999999999</v>
      </c>
      <c r="I70" s="13">
        <f t="shared" si="6"/>
        <v>2651.22</v>
      </c>
    </row>
    <row r="71" spans="1:21" ht="15.75" hidden="1" customHeight="1">
      <c r="A71" s="32"/>
      <c r="B71" s="92" t="s">
        <v>115</v>
      </c>
      <c r="C71" s="16" t="s">
        <v>33</v>
      </c>
      <c r="D71" s="14"/>
      <c r="E71" s="78">
        <v>58.5</v>
      </c>
      <c r="F71" s="13">
        <f>SUM(E71)</f>
        <v>58.5</v>
      </c>
      <c r="G71" s="13">
        <v>42.28</v>
      </c>
      <c r="H71" s="91">
        <f t="shared" si="5"/>
        <v>2.4733800000000001</v>
      </c>
      <c r="I71" s="13">
        <f t="shared" si="6"/>
        <v>2473.38</v>
      </c>
    </row>
    <row r="72" spans="1:21" ht="15.75" hidden="1" customHeight="1">
      <c r="A72" s="32"/>
      <c r="B72" s="14" t="s">
        <v>57</v>
      </c>
      <c r="C72" s="16" t="s">
        <v>58</v>
      </c>
      <c r="D72" s="14" t="s">
        <v>53</v>
      </c>
      <c r="E72" s="18">
        <v>5</v>
      </c>
      <c r="F72" s="79">
        <v>5</v>
      </c>
      <c r="G72" s="13">
        <v>49.88</v>
      </c>
      <c r="H72" s="91">
        <f t="shared" si="5"/>
        <v>0.24940000000000001</v>
      </c>
      <c r="I72" s="13">
        <f t="shared" si="6"/>
        <v>249.4</v>
      </c>
    </row>
    <row r="73" spans="1:21" ht="15.75" hidden="1" customHeight="1">
      <c r="A73" s="32"/>
      <c r="B73" s="64" t="s">
        <v>72</v>
      </c>
      <c r="C73" s="16"/>
      <c r="D73" s="14"/>
      <c r="E73" s="18"/>
      <c r="F73" s="13"/>
      <c r="G73" s="13"/>
      <c r="H73" s="91" t="s">
        <v>150</v>
      </c>
      <c r="I73" s="13"/>
    </row>
    <row r="74" spans="1:21" ht="15.75" hidden="1" customHeight="1">
      <c r="A74" s="32">
        <v>19</v>
      </c>
      <c r="B74" s="14" t="s">
        <v>73</v>
      </c>
      <c r="C74" s="16" t="s">
        <v>75</v>
      </c>
      <c r="D74" s="14"/>
      <c r="E74" s="18">
        <v>10</v>
      </c>
      <c r="F74" s="13">
        <v>1</v>
      </c>
      <c r="G74" s="13">
        <v>501.62</v>
      </c>
      <c r="H74" s="91">
        <f t="shared" si="5"/>
        <v>0.50161999999999995</v>
      </c>
      <c r="I74" s="13">
        <f>G74*1.3</f>
        <v>652.10599999999999</v>
      </c>
    </row>
    <row r="75" spans="1:21" ht="15.75" hidden="1" customHeight="1">
      <c r="A75" s="32"/>
      <c r="B75" s="14" t="s">
        <v>74</v>
      </c>
      <c r="C75" s="16" t="s">
        <v>31</v>
      </c>
      <c r="D75" s="14"/>
      <c r="E75" s="18">
        <v>3</v>
      </c>
      <c r="F75" s="71">
        <v>3</v>
      </c>
      <c r="G75" s="13">
        <v>852.99</v>
      </c>
      <c r="H75" s="91">
        <f>F75*G75/1000</f>
        <v>2.5589700000000004</v>
      </c>
      <c r="I75" s="13">
        <v>0</v>
      </c>
    </row>
    <row r="76" spans="1:21" ht="15.75" hidden="1" customHeight="1">
      <c r="A76" s="32"/>
      <c r="B76" s="14" t="s">
        <v>117</v>
      </c>
      <c r="C76" s="16" t="s">
        <v>31</v>
      </c>
      <c r="D76" s="14"/>
      <c r="E76" s="18">
        <v>1</v>
      </c>
      <c r="F76" s="13">
        <v>1</v>
      </c>
      <c r="G76" s="13">
        <v>358.51</v>
      </c>
      <c r="H76" s="91">
        <f>G76*F76/1000</f>
        <v>0.35851</v>
      </c>
      <c r="I76" s="13">
        <v>0</v>
      </c>
    </row>
    <row r="77" spans="1:21" ht="15.75" hidden="1" customHeight="1">
      <c r="A77" s="32"/>
      <c r="B77" s="94" t="s">
        <v>76</v>
      </c>
      <c r="C77" s="16"/>
      <c r="D77" s="14"/>
      <c r="E77" s="18"/>
      <c r="F77" s="13"/>
      <c r="G77" s="13" t="s">
        <v>150</v>
      </c>
      <c r="H77" s="91" t="s">
        <v>150</v>
      </c>
      <c r="I77" s="13"/>
    </row>
    <row r="78" spans="1:21" ht="15.75" hidden="1" customHeight="1">
      <c r="A78" s="32"/>
      <c r="B78" s="47" t="s">
        <v>165</v>
      </c>
      <c r="C78" s="16" t="s">
        <v>77</v>
      </c>
      <c r="D78" s="14"/>
      <c r="E78" s="18"/>
      <c r="F78" s="13">
        <v>1.2</v>
      </c>
      <c r="G78" s="13">
        <v>2759.44</v>
      </c>
      <c r="H78" s="91">
        <f t="shared" si="5"/>
        <v>3.311328</v>
      </c>
      <c r="I78" s="13">
        <v>0</v>
      </c>
    </row>
    <row r="79" spans="1:21" ht="15.75" hidden="1" customHeight="1">
      <c r="A79" s="32"/>
      <c r="B79" s="70" t="s">
        <v>95</v>
      </c>
      <c r="C79" s="70"/>
      <c r="D79" s="70"/>
      <c r="E79" s="70"/>
      <c r="F79" s="70"/>
      <c r="G79" s="82"/>
      <c r="H79" s="95">
        <f>SUM(H58:H78)</f>
        <v>188.31744405999999</v>
      </c>
      <c r="I79" s="82"/>
    </row>
    <row r="80" spans="1:21" ht="15.75" hidden="1" customHeight="1">
      <c r="A80" s="32"/>
      <c r="B80" s="102" t="s">
        <v>116</v>
      </c>
      <c r="C80" s="23"/>
      <c r="D80" s="22"/>
      <c r="E80" s="72"/>
      <c r="F80" s="103">
        <v>1</v>
      </c>
      <c r="G80" s="13">
        <v>23072.1</v>
      </c>
      <c r="H80" s="91">
        <f>G80*F80/1000</f>
        <v>23.072099999999999</v>
      </c>
      <c r="I80" s="13">
        <v>0</v>
      </c>
    </row>
    <row r="81" spans="1:9" ht="15.75" customHeight="1">
      <c r="A81" s="189" t="s">
        <v>143</v>
      </c>
      <c r="B81" s="190"/>
      <c r="C81" s="190"/>
      <c r="D81" s="190"/>
      <c r="E81" s="190"/>
      <c r="F81" s="190"/>
      <c r="G81" s="190"/>
      <c r="H81" s="190"/>
      <c r="I81" s="191"/>
    </row>
    <row r="82" spans="1:9" ht="15.75" customHeight="1">
      <c r="A82" s="32">
        <v>22</v>
      </c>
      <c r="B82" s="76" t="s">
        <v>118</v>
      </c>
      <c r="C82" s="16" t="s">
        <v>54</v>
      </c>
      <c r="D82" s="51" t="s">
        <v>55</v>
      </c>
      <c r="E82" s="13">
        <v>6980.3</v>
      </c>
      <c r="F82" s="13">
        <f>SUM(E82*12)</f>
        <v>83763.600000000006</v>
      </c>
      <c r="G82" s="13">
        <v>2.1</v>
      </c>
      <c r="H82" s="91">
        <f>SUM(F82*G82/1000)</f>
        <v>175.90356000000003</v>
      </c>
      <c r="I82" s="13">
        <f>F82/12*G82</f>
        <v>14658.630000000001</v>
      </c>
    </row>
    <row r="83" spans="1:9" ht="31.5" customHeight="1">
      <c r="A83" s="32">
        <v>23</v>
      </c>
      <c r="B83" s="14" t="s">
        <v>78</v>
      </c>
      <c r="C83" s="16"/>
      <c r="D83" s="51" t="s">
        <v>55</v>
      </c>
      <c r="E83" s="78">
        <f>E82</f>
        <v>6980.3</v>
      </c>
      <c r="F83" s="13">
        <f>E83*12</f>
        <v>83763.600000000006</v>
      </c>
      <c r="G83" s="13">
        <v>1.63</v>
      </c>
      <c r="H83" s="91">
        <f>F83*G83/1000</f>
        <v>136.53466800000001</v>
      </c>
      <c r="I83" s="13">
        <f>F83/12*G83</f>
        <v>11377.888999999999</v>
      </c>
    </row>
    <row r="84" spans="1:9" ht="15.75" customHeight="1">
      <c r="A84" s="32"/>
      <c r="B84" s="40" t="s">
        <v>81</v>
      </c>
      <c r="C84" s="94"/>
      <c r="D84" s="93"/>
      <c r="E84" s="82"/>
      <c r="F84" s="82"/>
      <c r="G84" s="82"/>
      <c r="H84" s="95">
        <f>H83</f>
        <v>136.53466800000001</v>
      </c>
      <c r="I84" s="82">
        <f>I83+I82+I65+I63+I60+I59+I55+I45+I44+I43+I42+I40+I39+I38+I27+I26+I25+I24+I21+I20+I18+I17+I16</f>
        <v>117754.11002766668</v>
      </c>
    </row>
    <row r="85" spans="1:9" ht="15.75" customHeight="1">
      <c r="A85" s="200" t="s">
        <v>60</v>
      </c>
      <c r="B85" s="201"/>
      <c r="C85" s="201"/>
      <c r="D85" s="201"/>
      <c r="E85" s="201"/>
      <c r="F85" s="201"/>
      <c r="G85" s="201"/>
      <c r="H85" s="201"/>
      <c r="I85" s="202"/>
    </row>
    <row r="86" spans="1:9" ht="15.75" customHeight="1">
      <c r="A86" s="32">
        <v>24</v>
      </c>
      <c r="B86" s="50" t="s">
        <v>141</v>
      </c>
      <c r="C86" s="62" t="s">
        <v>85</v>
      </c>
      <c r="D86" s="14"/>
      <c r="E86" s="18"/>
      <c r="F86" s="13">
        <v>2</v>
      </c>
      <c r="G86" s="13">
        <v>203.68</v>
      </c>
      <c r="H86" s="91">
        <f t="shared" ref="H86:H99" si="7">G86*F86/1000</f>
        <v>0.40736</v>
      </c>
      <c r="I86" s="13">
        <f>G86</f>
        <v>203.68</v>
      </c>
    </row>
    <row r="87" spans="1:9" ht="15.75" customHeight="1">
      <c r="A87" s="32">
        <v>25</v>
      </c>
      <c r="B87" s="50" t="s">
        <v>83</v>
      </c>
      <c r="C87" s="62" t="s">
        <v>110</v>
      </c>
      <c r="D87" s="14"/>
      <c r="E87" s="18"/>
      <c r="F87" s="13">
        <v>7</v>
      </c>
      <c r="G87" s="13">
        <v>197.48</v>
      </c>
      <c r="H87" s="91">
        <f t="shared" si="7"/>
        <v>1.3823599999999998</v>
      </c>
      <c r="I87" s="13">
        <f>G87*5</f>
        <v>987.4</v>
      </c>
    </row>
    <row r="88" spans="1:9" ht="15.75" customHeight="1">
      <c r="A88" s="32">
        <v>26</v>
      </c>
      <c r="B88" s="50" t="s">
        <v>199</v>
      </c>
      <c r="C88" s="62" t="s">
        <v>191</v>
      </c>
      <c r="D88" s="14"/>
      <c r="E88" s="18"/>
      <c r="F88" s="13">
        <v>132</v>
      </c>
      <c r="G88" s="13">
        <v>134.12</v>
      </c>
      <c r="H88" s="91">
        <f t="shared" si="7"/>
        <v>17.70384</v>
      </c>
      <c r="I88" s="96">
        <f>G88*((10+15)+5)</f>
        <v>4023.6000000000004</v>
      </c>
    </row>
    <row r="89" spans="1:9" ht="15.75" customHeight="1">
      <c r="A89" s="32">
        <v>27</v>
      </c>
      <c r="B89" s="98" t="s">
        <v>200</v>
      </c>
      <c r="C89" s="99" t="s">
        <v>140</v>
      </c>
      <c r="D89" s="39"/>
      <c r="E89" s="17"/>
      <c r="F89" s="36">
        <v>3</v>
      </c>
      <c r="G89" s="36">
        <v>1165.73</v>
      </c>
      <c r="H89" s="110">
        <f t="shared" si="7"/>
        <v>3.4971900000000002</v>
      </c>
      <c r="I89" s="13">
        <f>G89</f>
        <v>1165.73</v>
      </c>
    </row>
    <row r="90" spans="1:9" ht="15.75" customHeight="1">
      <c r="A90" s="32">
        <v>28</v>
      </c>
      <c r="B90" s="52" t="s">
        <v>180</v>
      </c>
      <c r="C90" s="53" t="s">
        <v>154</v>
      </c>
      <c r="D90" s="111"/>
      <c r="E90" s="36"/>
      <c r="F90" s="36">
        <v>9</v>
      </c>
      <c r="G90" s="36">
        <v>1078.9000000000001</v>
      </c>
      <c r="H90" s="110">
        <f t="shared" si="7"/>
        <v>9.7101000000000006</v>
      </c>
      <c r="I90" s="13">
        <f>G90*2</f>
        <v>2157.8000000000002</v>
      </c>
    </row>
    <row r="91" spans="1:9" ht="15.75" customHeight="1">
      <c r="A91" s="32">
        <v>29</v>
      </c>
      <c r="B91" s="50" t="s">
        <v>182</v>
      </c>
      <c r="C91" s="62" t="s">
        <v>110</v>
      </c>
      <c r="D91" s="39"/>
      <c r="E91" s="17"/>
      <c r="F91" s="36">
        <v>8</v>
      </c>
      <c r="G91" s="36">
        <v>140</v>
      </c>
      <c r="H91" s="110">
        <f t="shared" si="7"/>
        <v>1.1200000000000001</v>
      </c>
      <c r="I91" s="13">
        <f>G91*(2+2+1)</f>
        <v>700</v>
      </c>
    </row>
    <row r="92" spans="1:9" ht="15.75" customHeight="1">
      <c r="A92" s="32">
        <v>30</v>
      </c>
      <c r="B92" s="50" t="s">
        <v>159</v>
      </c>
      <c r="C92" s="62" t="s">
        <v>110</v>
      </c>
      <c r="D92" s="111"/>
      <c r="E92" s="36"/>
      <c r="F92" s="36">
        <v>8</v>
      </c>
      <c r="G92" s="36">
        <v>40</v>
      </c>
      <c r="H92" s="110">
        <f t="shared" si="7"/>
        <v>0.32</v>
      </c>
      <c r="I92" s="13">
        <f>G92*(2+2+1+1)</f>
        <v>240</v>
      </c>
    </row>
    <row r="93" spans="1:9" ht="15.75" customHeight="1">
      <c r="A93" s="32">
        <v>31</v>
      </c>
      <c r="B93" s="50" t="s">
        <v>163</v>
      </c>
      <c r="C93" s="62" t="s">
        <v>110</v>
      </c>
      <c r="D93" s="111"/>
      <c r="E93" s="36"/>
      <c r="F93" s="36">
        <v>3</v>
      </c>
      <c r="G93" s="36">
        <v>61</v>
      </c>
      <c r="H93" s="110">
        <f t="shared" si="7"/>
        <v>0.183</v>
      </c>
      <c r="I93" s="13">
        <f>G93*(1+1)</f>
        <v>122</v>
      </c>
    </row>
    <row r="94" spans="1:9" ht="15.75" customHeight="1">
      <c r="A94" s="32">
        <v>32</v>
      </c>
      <c r="B94" s="52" t="s">
        <v>183</v>
      </c>
      <c r="C94" s="53" t="s">
        <v>110</v>
      </c>
      <c r="D94" s="47"/>
      <c r="E94" s="36"/>
      <c r="F94" s="36">
        <v>5</v>
      </c>
      <c r="G94" s="36">
        <v>108</v>
      </c>
      <c r="H94" s="110">
        <f t="shared" si="7"/>
        <v>0.54</v>
      </c>
      <c r="I94" s="13">
        <f>G94*(1+1+1+1)</f>
        <v>432</v>
      </c>
    </row>
    <row r="95" spans="1:9" ht="31.5" customHeight="1">
      <c r="A95" s="32" t="s">
        <v>255</v>
      </c>
      <c r="B95" s="50" t="s">
        <v>137</v>
      </c>
      <c r="C95" s="62" t="s">
        <v>110</v>
      </c>
      <c r="D95" s="14"/>
      <c r="E95" s="18"/>
      <c r="F95" s="13">
        <v>360</v>
      </c>
      <c r="G95" s="13">
        <v>55.55</v>
      </c>
      <c r="H95" s="91">
        <f t="shared" si="7"/>
        <v>19.998000000000001</v>
      </c>
      <c r="I95" s="13">
        <f>G95*120</f>
        <v>6666</v>
      </c>
    </row>
    <row r="96" spans="1:9" ht="15.75" customHeight="1">
      <c r="A96" s="32">
        <v>34</v>
      </c>
      <c r="B96" s="50" t="s">
        <v>205</v>
      </c>
      <c r="C96" s="62" t="s">
        <v>110</v>
      </c>
      <c r="D96" s="111"/>
      <c r="E96" s="36"/>
      <c r="F96" s="36">
        <v>2</v>
      </c>
      <c r="G96" s="36">
        <v>63</v>
      </c>
      <c r="H96" s="110">
        <f t="shared" si="7"/>
        <v>0.126</v>
      </c>
      <c r="I96" s="13">
        <f>G96</f>
        <v>63</v>
      </c>
    </row>
    <row r="97" spans="1:9" ht="15.75" customHeight="1">
      <c r="A97" s="32">
        <v>35</v>
      </c>
      <c r="B97" s="52" t="s">
        <v>187</v>
      </c>
      <c r="C97" s="53" t="s">
        <v>110</v>
      </c>
      <c r="D97" s="111"/>
      <c r="E97" s="36"/>
      <c r="F97" s="36">
        <v>4</v>
      </c>
      <c r="G97" s="36">
        <v>118</v>
      </c>
      <c r="H97" s="110">
        <f t="shared" si="7"/>
        <v>0.47199999999999998</v>
      </c>
      <c r="I97" s="13">
        <f>G97*(1+1+1)</f>
        <v>354</v>
      </c>
    </row>
    <row r="98" spans="1:9" ht="15.75" customHeight="1">
      <c r="A98" s="32">
        <v>36</v>
      </c>
      <c r="B98" s="61" t="s">
        <v>160</v>
      </c>
      <c r="C98" s="32" t="s">
        <v>82</v>
      </c>
      <c r="D98" s="39"/>
      <c r="E98" s="17"/>
      <c r="F98" s="36">
        <v>16</v>
      </c>
      <c r="G98" s="13">
        <v>1187</v>
      </c>
      <c r="H98" s="110">
        <f t="shared" si="7"/>
        <v>18.992000000000001</v>
      </c>
      <c r="I98" s="13">
        <f>G98*8</f>
        <v>9496</v>
      </c>
    </row>
    <row r="99" spans="1:9" ht="15.75" customHeight="1">
      <c r="A99" s="32">
        <v>37</v>
      </c>
      <c r="B99" s="50" t="s">
        <v>80</v>
      </c>
      <c r="C99" s="62" t="s">
        <v>110</v>
      </c>
      <c r="D99" s="39"/>
      <c r="E99" s="17"/>
      <c r="F99" s="36">
        <v>2</v>
      </c>
      <c r="G99" s="36">
        <v>86.69</v>
      </c>
      <c r="H99" s="110">
        <f t="shared" si="7"/>
        <v>0.17338000000000001</v>
      </c>
      <c r="I99" s="13">
        <f t="shared" ref="I99" si="8">G99</f>
        <v>86.69</v>
      </c>
    </row>
    <row r="100" spans="1:9" ht="32.25" customHeight="1">
      <c r="A100" s="32">
        <v>38</v>
      </c>
      <c r="B100" s="52" t="s">
        <v>207</v>
      </c>
      <c r="C100" s="53" t="s">
        <v>154</v>
      </c>
      <c r="D100" s="111"/>
      <c r="E100" s="36"/>
      <c r="F100" s="36">
        <v>8</v>
      </c>
      <c r="G100" s="36">
        <v>864.9</v>
      </c>
      <c r="H100" s="110">
        <f t="shared" ref="H100" si="9">G100*F100/1000</f>
        <v>6.9192</v>
      </c>
      <c r="I100" s="13">
        <f>G100*(2+2+1+3)</f>
        <v>6919.2</v>
      </c>
    </row>
    <row r="101" spans="1:9" ht="15.75" customHeight="1">
      <c r="A101" s="32">
        <v>39</v>
      </c>
      <c r="B101" s="50" t="s">
        <v>190</v>
      </c>
      <c r="C101" s="62" t="s">
        <v>110</v>
      </c>
      <c r="D101" s="111"/>
      <c r="E101" s="36"/>
      <c r="F101" s="36">
        <v>1</v>
      </c>
      <c r="G101" s="36">
        <v>82</v>
      </c>
      <c r="H101" s="110">
        <f>G101*F101/1000</f>
        <v>8.2000000000000003E-2</v>
      </c>
      <c r="I101" s="13">
        <f>G101</f>
        <v>82</v>
      </c>
    </row>
    <row r="102" spans="1:9" ht="15.75" customHeight="1">
      <c r="A102" s="32">
        <v>40</v>
      </c>
      <c r="B102" s="98" t="s">
        <v>208</v>
      </c>
      <c r="C102" s="62" t="s">
        <v>110</v>
      </c>
      <c r="D102" s="111"/>
      <c r="E102" s="36"/>
      <c r="F102" s="36">
        <v>1</v>
      </c>
      <c r="G102" s="36">
        <v>70</v>
      </c>
      <c r="H102" s="110">
        <f t="shared" ref="H102:H103" si="10">G102*F102/1000</f>
        <v>7.0000000000000007E-2</v>
      </c>
      <c r="I102" s="13">
        <f t="shared" ref="I102:I103" si="11">G102</f>
        <v>70</v>
      </c>
    </row>
    <row r="103" spans="1:9" ht="32.25" customHeight="1">
      <c r="A103" s="32">
        <v>41</v>
      </c>
      <c r="B103" s="50" t="s">
        <v>151</v>
      </c>
      <c r="C103" s="62" t="s">
        <v>152</v>
      </c>
      <c r="D103" s="111"/>
      <c r="E103" s="36"/>
      <c r="F103" s="36">
        <v>1</v>
      </c>
      <c r="G103" s="36">
        <v>56.34</v>
      </c>
      <c r="H103" s="110">
        <f t="shared" si="10"/>
        <v>5.6340000000000001E-2</v>
      </c>
      <c r="I103" s="13">
        <f t="shared" si="11"/>
        <v>56.34</v>
      </c>
    </row>
    <row r="104" spans="1:9" ht="32.25" customHeight="1">
      <c r="A104" s="32">
        <v>42</v>
      </c>
      <c r="B104" s="50" t="s">
        <v>138</v>
      </c>
      <c r="C104" s="62" t="s">
        <v>37</v>
      </c>
      <c r="D104" s="39"/>
      <c r="E104" s="17"/>
      <c r="F104" s="36">
        <v>0.01</v>
      </c>
      <c r="G104" s="37">
        <v>3724.37</v>
      </c>
      <c r="H104" s="110">
        <f>G104*F104/1000</f>
        <v>3.7243699999999998E-2</v>
      </c>
      <c r="I104" s="13">
        <f>G104*0.01</f>
        <v>37.243699999999997</v>
      </c>
    </row>
    <row r="105" spans="1:9" ht="15.75" customHeight="1">
      <c r="A105" s="32">
        <v>43</v>
      </c>
      <c r="B105" s="50" t="s">
        <v>194</v>
      </c>
      <c r="C105" s="62" t="s">
        <v>110</v>
      </c>
      <c r="D105" s="111"/>
      <c r="E105" s="36"/>
      <c r="F105" s="36">
        <v>1</v>
      </c>
      <c r="G105" s="36">
        <v>1226.2</v>
      </c>
      <c r="H105" s="36">
        <f>G105*F105/1000</f>
        <v>1.2262</v>
      </c>
      <c r="I105" s="13">
        <f>G105</f>
        <v>1226.2</v>
      </c>
    </row>
    <row r="106" spans="1:9" ht="15.75" customHeight="1">
      <c r="A106" s="32">
        <v>44</v>
      </c>
      <c r="B106" s="50" t="s">
        <v>194</v>
      </c>
      <c r="C106" s="62" t="s">
        <v>110</v>
      </c>
      <c r="D106" s="111"/>
      <c r="E106" s="36"/>
      <c r="F106" s="36"/>
      <c r="G106" s="36">
        <v>1503.2</v>
      </c>
      <c r="H106" s="110"/>
      <c r="I106" s="13">
        <f>G106*1</f>
        <v>1503.2</v>
      </c>
    </row>
    <row r="107" spans="1:9" ht="32.25" customHeight="1">
      <c r="A107" s="32">
        <v>45</v>
      </c>
      <c r="B107" s="52" t="s">
        <v>209</v>
      </c>
      <c r="C107" s="53" t="s">
        <v>210</v>
      </c>
      <c r="D107" s="111"/>
      <c r="E107" s="36"/>
      <c r="F107" s="36">
        <v>2</v>
      </c>
      <c r="G107" s="36">
        <v>147.51</v>
      </c>
      <c r="H107" s="110">
        <f>G107*F107/1000</f>
        <v>0.29502</v>
      </c>
      <c r="I107" s="13">
        <f>G107*2</f>
        <v>295.02</v>
      </c>
    </row>
    <row r="108" spans="1:9" ht="31.5" customHeight="1">
      <c r="A108" s="32">
        <v>46</v>
      </c>
      <c r="B108" s="52" t="s">
        <v>211</v>
      </c>
      <c r="C108" s="53" t="s">
        <v>212</v>
      </c>
      <c r="D108" s="111"/>
      <c r="E108" s="36"/>
      <c r="F108" s="36">
        <v>0.01</v>
      </c>
      <c r="G108" s="36">
        <v>35047.14</v>
      </c>
      <c r="H108" s="110">
        <f>G108*F108/1000</f>
        <v>0.35047140000000004</v>
      </c>
      <c r="I108" s="13">
        <f>G108*0.01</f>
        <v>350.47140000000002</v>
      </c>
    </row>
    <row r="109" spans="1:9" ht="15.75" customHeight="1">
      <c r="A109" s="32">
        <v>47</v>
      </c>
      <c r="B109" s="50" t="s">
        <v>188</v>
      </c>
      <c r="C109" s="97" t="s">
        <v>189</v>
      </c>
      <c r="D109" s="111"/>
      <c r="E109" s="36"/>
      <c r="F109" s="36">
        <v>1</v>
      </c>
      <c r="G109" s="36">
        <v>300.61</v>
      </c>
      <c r="H109" s="110">
        <f>G109*F109/1000</f>
        <v>0.30060999999999999</v>
      </c>
      <c r="I109" s="13">
        <f t="shared" ref="I109" si="12">G109</f>
        <v>300.61</v>
      </c>
    </row>
    <row r="110" spans="1:9" ht="15.75" customHeight="1">
      <c r="A110" s="32">
        <v>48</v>
      </c>
      <c r="B110" s="52" t="s">
        <v>328</v>
      </c>
      <c r="C110" s="53" t="s">
        <v>110</v>
      </c>
      <c r="D110" s="111"/>
      <c r="E110" s="36"/>
      <c r="F110" s="36"/>
      <c r="G110" s="36">
        <v>62473</v>
      </c>
      <c r="H110" s="110"/>
      <c r="I110" s="13">
        <f>G110*1</f>
        <v>62473</v>
      </c>
    </row>
    <row r="111" spans="1:9" ht="15.75" customHeight="1">
      <c r="A111" s="32"/>
      <c r="B111" s="45" t="s">
        <v>51</v>
      </c>
      <c r="C111" s="41"/>
      <c r="D111" s="48"/>
      <c r="E111" s="41">
        <v>1</v>
      </c>
      <c r="F111" s="41"/>
      <c r="G111" s="41"/>
      <c r="H111" s="41"/>
      <c r="I111" s="34">
        <f>SUM(I86:I110)-I95</f>
        <v>93345.185099999988</v>
      </c>
    </row>
    <row r="112" spans="1:9">
      <c r="A112" s="32"/>
      <c r="B112" s="47" t="s">
        <v>79</v>
      </c>
      <c r="C112" s="15"/>
      <c r="D112" s="15"/>
      <c r="E112" s="42"/>
      <c r="F112" s="42"/>
      <c r="G112" s="43"/>
      <c r="H112" s="43"/>
      <c r="I112" s="17">
        <v>0</v>
      </c>
    </row>
    <row r="113" spans="1:9">
      <c r="A113" s="49"/>
      <c r="B113" s="46" t="s">
        <v>179</v>
      </c>
      <c r="C113" s="35"/>
      <c r="D113" s="35"/>
      <c r="E113" s="35"/>
      <c r="F113" s="35"/>
      <c r="G113" s="35"/>
      <c r="H113" s="35"/>
      <c r="I113" s="44">
        <f>I84+I111</f>
        <v>211099.29512766667</v>
      </c>
    </row>
    <row r="114" spans="1:9">
      <c r="A114" s="203" t="s">
        <v>256</v>
      </c>
      <c r="B114" s="204"/>
      <c r="C114" s="204"/>
      <c r="D114" s="204"/>
      <c r="E114" s="204"/>
      <c r="F114" s="204"/>
      <c r="G114" s="204"/>
      <c r="H114" s="204"/>
      <c r="I114" s="204"/>
    </row>
    <row r="115" spans="1:9" ht="15.75">
      <c r="A115" s="192" t="s">
        <v>329</v>
      </c>
      <c r="B115" s="192"/>
      <c r="C115" s="192"/>
      <c r="D115" s="192"/>
      <c r="E115" s="192"/>
      <c r="F115" s="192"/>
      <c r="G115" s="192"/>
      <c r="H115" s="192"/>
      <c r="I115" s="192"/>
    </row>
    <row r="116" spans="1:9" ht="15.75" customHeight="1">
      <c r="A116" s="60"/>
      <c r="B116" s="193" t="s">
        <v>330</v>
      </c>
      <c r="C116" s="193"/>
      <c r="D116" s="193"/>
      <c r="E116" s="193"/>
      <c r="F116" s="193"/>
      <c r="G116" s="193"/>
      <c r="H116" s="75"/>
      <c r="I116" s="3"/>
    </row>
    <row r="117" spans="1:9">
      <c r="A117" s="69"/>
      <c r="B117" s="194" t="s">
        <v>6</v>
      </c>
      <c r="C117" s="194"/>
      <c r="D117" s="194"/>
      <c r="E117" s="194"/>
      <c r="F117" s="194"/>
      <c r="G117" s="194"/>
      <c r="H117" s="27"/>
      <c r="I117" s="5"/>
    </row>
    <row r="118" spans="1:9">
      <c r="A118" s="10"/>
      <c r="B118" s="10"/>
      <c r="C118" s="10"/>
      <c r="D118" s="10"/>
      <c r="E118" s="10"/>
      <c r="F118" s="10"/>
      <c r="G118" s="10"/>
      <c r="H118" s="10"/>
      <c r="I118" s="10"/>
    </row>
    <row r="119" spans="1:9" ht="15.75">
      <c r="A119" s="195" t="s">
        <v>7</v>
      </c>
      <c r="B119" s="195"/>
      <c r="C119" s="195"/>
      <c r="D119" s="195"/>
      <c r="E119" s="195"/>
      <c r="F119" s="195"/>
      <c r="G119" s="195"/>
      <c r="H119" s="195"/>
      <c r="I119" s="195"/>
    </row>
    <row r="120" spans="1:9" ht="15.75">
      <c r="A120" s="195" t="s">
        <v>8</v>
      </c>
      <c r="B120" s="195"/>
      <c r="C120" s="195"/>
      <c r="D120" s="195"/>
      <c r="E120" s="195"/>
      <c r="F120" s="195"/>
      <c r="G120" s="195"/>
      <c r="H120" s="195"/>
      <c r="I120" s="195"/>
    </row>
    <row r="121" spans="1:9" ht="15.75">
      <c r="A121" s="196" t="s">
        <v>61</v>
      </c>
      <c r="B121" s="196"/>
      <c r="C121" s="196"/>
      <c r="D121" s="196"/>
      <c r="E121" s="196"/>
      <c r="F121" s="196"/>
      <c r="G121" s="196"/>
      <c r="H121" s="196"/>
      <c r="I121" s="196"/>
    </row>
    <row r="122" spans="1:9" ht="15.75">
      <c r="A122" s="11"/>
    </row>
    <row r="123" spans="1:9" ht="15.75">
      <c r="A123" s="197" t="s">
        <v>9</v>
      </c>
      <c r="B123" s="197"/>
      <c r="C123" s="197"/>
      <c r="D123" s="197"/>
      <c r="E123" s="197"/>
      <c r="F123" s="197"/>
      <c r="G123" s="197"/>
      <c r="H123" s="197"/>
      <c r="I123" s="197"/>
    </row>
    <row r="124" spans="1:9" ht="15.75" customHeight="1">
      <c r="A124" s="4"/>
    </row>
    <row r="125" spans="1:9" ht="15.75" customHeight="1">
      <c r="B125" s="66" t="s">
        <v>10</v>
      </c>
      <c r="C125" s="198" t="s">
        <v>142</v>
      </c>
      <c r="D125" s="198"/>
      <c r="E125" s="198"/>
      <c r="F125" s="73"/>
      <c r="I125" s="68"/>
    </row>
    <row r="126" spans="1:9" ht="15.75" customHeight="1">
      <c r="A126" s="69"/>
      <c r="C126" s="194" t="s">
        <v>11</v>
      </c>
      <c r="D126" s="194"/>
      <c r="E126" s="194"/>
      <c r="F126" s="27"/>
      <c r="I126" s="67" t="s">
        <v>12</v>
      </c>
    </row>
    <row r="127" spans="1:9" ht="15.75" customHeight="1">
      <c r="A127" s="28"/>
      <c r="C127" s="12"/>
      <c r="D127" s="12"/>
      <c r="G127" s="12"/>
      <c r="H127" s="12"/>
    </row>
    <row r="128" spans="1:9" ht="15.75">
      <c r="B128" s="66" t="s">
        <v>13</v>
      </c>
      <c r="C128" s="199"/>
      <c r="D128" s="199"/>
      <c r="E128" s="199"/>
      <c r="F128" s="74"/>
      <c r="I128" s="68"/>
    </row>
    <row r="129" spans="1:9">
      <c r="A129" s="69"/>
      <c r="C129" s="188" t="s">
        <v>11</v>
      </c>
      <c r="D129" s="188"/>
      <c r="E129" s="188"/>
      <c r="F129" s="69"/>
      <c r="I129" s="67" t="s">
        <v>12</v>
      </c>
    </row>
    <row r="130" spans="1:9" ht="15.75">
      <c r="A130" s="4" t="s">
        <v>14</v>
      </c>
    </row>
    <row r="131" spans="1:9">
      <c r="A131" s="186" t="s">
        <v>15</v>
      </c>
      <c r="B131" s="186"/>
      <c r="C131" s="186"/>
      <c r="D131" s="186"/>
      <c r="E131" s="186"/>
      <c r="F131" s="186"/>
      <c r="G131" s="186"/>
      <c r="H131" s="186"/>
      <c r="I131" s="186"/>
    </row>
    <row r="132" spans="1:9" ht="45" customHeight="1">
      <c r="A132" s="187" t="s">
        <v>16</v>
      </c>
      <c r="B132" s="187"/>
      <c r="C132" s="187"/>
      <c r="D132" s="187"/>
      <c r="E132" s="187"/>
      <c r="F132" s="187"/>
      <c r="G132" s="187"/>
      <c r="H132" s="187"/>
      <c r="I132" s="187"/>
    </row>
    <row r="133" spans="1:9" ht="30" customHeight="1">
      <c r="A133" s="187" t="s">
        <v>17</v>
      </c>
      <c r="B133" s="187"/>
      <c r="C133" s="187"/>
      <c r="D133" s="187"/>
      <c r="E133" s="187"/>
      <c r="F133" s="187"/>
      <c r="G133" s="187"/>
      <c r="H133" s="187"/>
      <c r="I133" s="187"/>
    </row>
    <row r="134" spans="1:9" ht="30" customHeight="1">
      <c r="A134" s="187" t="s">
        <v>21</v>
      </c>
      <c r="B134" s="187"/>
      <c r="C134" s="187"/>
      <c r="D134" s="187"/>
      <c r="E134" s="187"/>
      <c r="F134" s="187"/>
      <c r="G134" s="187"/>
      <c r="H134" s="187"/>
      <c r="I134" s="187"/>
    </row>
    <row r="135" spans="1:9" ht="15" customHeight="1">
      <c r="A135" s="187" t="s">
        <v>20</v>
      </c>
      <c r="B135" s="187"/>
      <c r="C135" s="187"/>
      <c r="D135" s="187"/>
      <c r="E135" s="187"/>
      <c r="F135" s="187"/>
      <c r="G135" s="187"/>
      <c r="H135" s="187"/>
      <c r="I135" s="187"/>
    </row>
  </sheetData>
  <autoFilter ref="I12:I60"/>
  <mergeCells count="30">
    <mergeCell ref="A132:I132"/>
    <mergeCell ref="A133:I133"/>
    <mergeCell ref="A134:I134"/>
    <mergeCell ref="A135:I135"/>
    <mergeCell ref="A123:I123"/>
    <mergeCell ref="C125:E125"/>
    <mergeCell ref="C126:E126"/>
    <mergeCell ref="C128:E128"/>
    <mergeCell ref="C129:E129"/>
    <mergeCell ref="A131:I131"/>
    <mergeCell ref="A121:I121"/>
    <mergeCell ref="A15:I15"/>
    <mergeCell ref="A28:I28"/>
    <mergeCell ref="A46:I46"/>
    <mergeCell ref="A56:I56"/>
    <mergeCell ref="A85:I85"/>
    <mergeCell ref="A115:I115"/>
    <mergeCell ref="B116:G116"/>
    <mergeCell ref="B117:G117"/>
    <mergeCell ref="A119:I119"/>
    <mergeCell ref="A120:I120"/>
    <mergeCell ref="A114:I114"/>
    <mergeCell ref="R65:U65"/>
    <mergeCell ref="A81:I81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22"/>
  <sheetViews>
    <sheetView topLeftCell="A88" workbookViewId="0">
      <selection activeCell="B103" sqref="B103:G10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87</v>
      </c>
      <c r="I1" s="29"/>
      <c r="J1" s="1"/>
      <c r="K1" s="1"/>
      <c r="L1" s="1"/>
      <c r="M1" s="1"/>
    </row>
    <row r="2" spans="1:13" ht="15.75">
      <c r="A2" s="31" t="s">
        <v>62</v>
      </c>
      <c r="J2" s="2"/>
      <c r="K2" s="2"/>
      <c r="L2" s="2"/>
      <c r="M2" s="2"/>
    </row>
    <row r="3" spans="1:13" ht="15.75" customHeight="1">
      <c r="A3" s="210" t="s">
        <v>168</v>
      </c>
      <c r="B3" s="210"/>
      <c r="C3" s="210"/>
      <c r="D3" s="210"/>
      <c r="E3" s="210"/>
      <c r="F3" s="210"/>
      <c r="G3" s="210"/>
      <c r="H3" s="210"/>
      <c r="I3" s="210"/>
      <c r="J3" s="3"/>
      <c r="K3" s="3"/>
      <c r="L3" s="3"/>
    </row>
    <row r="4" spans="1:13" ht="31.5" customHeight="1">
      <c r="A4" s="211" t="s">
        <v>139</v>
      </c>
      <c r="B4" s="211"/>
      <c r="C4" s="211"/>
      <c r="D4" s="211"/>
      <c r="E4" s="211"/>
      <c r="F4" s="211"/>
      <c r="G4" s="211"/>
      <c r="H4" s="211"/>
      <c r="I4" s="211"/>
    </row>
    <row r="5" spans="1:13" ht="15.75">
      <c r="A5" s="210" t="s">
        <v>213</v>
      </c>
      <c r="B5" s="212"/>
      <c r="C5" s="212"/>
      <c r="D5" s="212"/>
      <c r="E5" s="212"/>
      <c r="F5" s="212"/>
      <c r="G5" s="212"/>
      <c r="H5" s="212"/>
      <c r="I5" s="212"/>
      <c r="J5" s="2"/>
      <c r="K5" s="2"/>
      <c r="L5" s="2"/>
      <c r="M5" s="2"/>
    </row>
    <row r="6" spans="1:13" ht="15.75">
      <c r="A6" s="2"/>
      <c r="B6" s="65"/>
      <c r="C6" s="65"/>
      <c r="D6" s="65"/>
      <c r="E6" s="65"/>
      <c r="F6" s="65"/>
      <c r="G6" s="65"/>
      <c r="H6" s="65"/>
      <c r="I6" s="33">
        <v>43220</v>
      </c>
      <c r="J6" s="2"/>
      <c r="K6" s="2"/>
      <c r="L6" s="2"/>
      <c r="M6" s="2"/>
    </row>
    <row r="7" spans="1:13" ht="15.75">
      <c r="B7" s="66"/>
      <c r="C7" s="66"/>
      <c r="D7" s="66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213" t="s">
        <v>145</v>
      </c>
      <c r="B8" s="213"/>
      <c r="C8" s="213"/>
      <c r="D8" s="213"/>
      <c r="E8" s="213"/>
      <c r="F8" s="213"/>
      <c r="G8" s="213"/>
      <c r="H8" s="213"/>
      <c r="I8" s="213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214" t="s">
        <v>175</v>
      </c>
      <c r="B10" s="214"/>
      <c r="C10" s="214"/>
      <c r="D10" s="214"/>
      <c r="E10" s="214"/>
      <c r="F10" s="214"/>
      <c r="G10" s="214"/>
      <c r="H10" s="214"/>
      <c r="I10" s="214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09" t="s">
        <v>59</v>
      </c>
      <c r="B14" s="209"/>
      <c r="C14" s="209"/>
      <c r="D14" s="209"/>
      <c r="E14" s="209"/>
      <c r="F14" s="209"/>
      <c r="G14" s="209"/>
      <c r="H14" s="209"/>
      <c r="I14" s="209"/>
      <c r="J14" s="8"/>
      <c r="K14" s="8"/>
      <c r="L14" s="8"/>
      <c r="M14" s="8"/>
    </row>
    <row r="15" spans="1:13" ht="15" customHeight="1">
      <c r="A15" s="205" t="s">
        <v>4</v>
      </c>
      <c r="B15" s="205"/>
      <c r="C15" s="205"/>
      <c r="D15" s="205"/>
      <c r="E15" s="205"/>
      <c r="F15" s="205"/>
      <c r="G15" s="205"/>
      <c r="H15" s="205"/>
      <c r="I15" s="205"/>
      <c r="J15" s="8"/>
      <c r="K15" s="8"/>
      <c r="L15" s="8"/>
      <c r="M15" s="8"/>
    </row>
    <row r="16" spans="1:13" ht="15.75" customHeight="1">
      <c r="A16" s="32">
        <v>1</v>
      </c>
      <c r="B16" s="76" t="s">
        <v>88</v>
      </c>
      <c r="C16" s="77" t="s">
        <v>89</v>
      </c>
      <c r="D16" s="76" t="s">
        <v>178</v>
      </c>
      <c r="E16" s="78">
        <v>208.08</v>
      </c>
      <c r="F16" s="79">
        <f>SUM(E16*156/100)</f>
        <v>324.60480000000001</v>
      </c>
      <c r="G16" s="79">
        <v>175.38</v>
      </c>
      <c r="H16" s="80">
        <f t="shared" ref="H16:H25" si="0">SUM(F16*G16/1000)</f>
        <v>56.929189823999998</v>
      </c>
      <c r="I16" s="13">
        <f>F16/12*G16</f>
        <v>4744.0991519999998</v>
      </c>
      <c r="J16" s="24"/>
      <c r="K16" s="8"/>
      <c r="L16" s="8"/>
      <c r="M16" s="8"/>
    </row>
    <row r="17" spans="1:13" ht="15.75" customHeight="1">
      <c r="A17" s="32">
        <v>2</v>
      </c>
      <c r="B17" s="76" t="s">
        <v>119</v>
      </c>
      <c r="C17" s="77" t="s">
        <v>89</v>
      </c>
      <c r="D17" s="76" t="s">
        <v>177</v>
      </c>
      <c r="E17" s="78">
        <v>832.32</v>
      </c>
      <c r="F17" s="79">
        <f>SUM(E17*104/100)</f>
        <v>865.61279999999999</v>
      </c>
      <c r="G17" s="79">
        <v>175.38</v>
      </c>
      <c r="H17" s="80">
        <f t="shared" si="0"/>
        <v>151.81117286399999</v>
      </c>
      <c r="I17" s="13">
        <f>F17/12*G17</f>
        <v>12650.931071999999</v>
      </c>
      <c r="J17" s="25"/>
      <c r="K17" s="8"/>
      <c r="L17" s="8"/>
      <c r="M17" s="8"/>
    </row>
    <row r="18" spans="1:13" ht="15.75" customHeight="1">
      <c r="A18" s="32">
        <v>3</v>
      </c>
      <c r="B18" s="76" t="s">
        <v>120</v>
      </c>
      <c r="C18" s="77" t="s">
        <v>89</v>
      </c>
      <c r="D18" s="76" t="s">
        <v>176</v>
      </c>
      <c r="E18" s="78">
        <v>1040.4000000000001</v>
      </c>
      <c r="F18" s="79">
        <f>SUM(E18*24/100)</f>
        <v>249.69600000000003</v>
      </c>
      <c r="G18" s="79">
        <v>504.5</v>
      </c>
      <c r="H18" s="80">
        <f t="shared" si="0"/>
        <v>125.97163200000001</v>
      </c>
      <c r="I18" s="13">
        <f>F18/12*G18</f>
        <v>10497.636000000002</v>
      </c>
      <c r="J18" s="25"/>
      <c r="K18" s="8"/>
      <c r="L18" s="8"/>
      <c r="M18" s="8"/>
    </row>
    <row r="19" spans="1:13" ht="15.75" hidden="1" customHeight="1">
      <c r="A19" s="32"/>
      <c r="B19" s="76" t="s">
        <v>96</v>
      </c>
      <c r="C19" s="77" t="s">
        <v>97</v>
      </c>
      <c r="D19" s="76" t="s">
        <v>98</v>
      </c>
      <c r="E19" s="78">
        <v>48</v>
      </c>
      <c r="F19" s="79">
        <f>SUM(E19/10)</f>
        <v>4.8</v>
      </c>
      <c r="G19" s="79">
        <v>170.16</v>
      </c>
      <c r="H19" s="80">
        <f t="shared" si="0"/>
        <v>0.81676799999999994</v>
      </c>
      <c r="I19" s="13">
        <v>0</v>
      </c>
      <c r="J19" s="25"/>
      <c r="K19" s="8"/>
      <c r="L19" s="8"/>
      <c r="M19" s="8"/>
    </row>
    <row r="20" spans="1:13" ht="15.75" customHeight="1">
      <c r="A20" s="32">
        <v>4</v>
      </c>
      <c r="B20" s="76" t="s">
        <v>99</v>
      </c>
      <c r="C20" s="77" t="s">
        <v>89</v>
      </c>
      <c r="D20" s="76" t="s">
        <v>121</v>
      </c>
      <c r="E20" s="78">
        <v>30.6</v>
      </c>
      <c r="F20" s="79">
        <f>SUM(E20*12/100)</f>
        <v>3.6720000000000006</v>
      </c>
      <c r="G20" s="79">
        <v>217.88</v>
      </c>
      <c r="H20" s="80">
        <f t="shared" si="0"/>
        <v>0.8000553600000001</v>
      </c>
      <c r="I20" s="13">
        <f>F20/12*G20</f>
        <v>66.67128000000001</v>
      </c>
      <c r="J20" s="25"/>
      <c r="K20" s="8"/>
      <c r="L20" s="8"/>
      <c r="M20" s="8"/>
    </row>
    <row r="21" spans="1:13" ht="15.75" customHeight="1">
      <c r="A21" s="32">
        <v>5</v>
      </c>
      <c r="B21" s="76" t="s">
        <v>100</v>
      </c>
      <c r="C21" s="77" t="s">
        <v>89</v>
      </c>
      <c r="D21" s="76" t="s">
        <v>30</v>
      </c>
      <c r="E21" s="78">
        <v>10.06</v>
      </c>
      <c r="F21" s="79">
        <f>SUM(E21*12/100)</f>
        <v>1.2072000000000001</v>
      </c>
      <c r="G21" s="79">
        <v>216.12</v>
      </c>
      <c r="H21" s="80">
        <f t="shared" si="0"/>
        <v>0.26090006400000004</v>
      </c>
      <c r="I21" s="13">
        <f>F21/12*G21</f>
        <v>21.741672000000001</v>
      </c>
      <c r="J21" s="25"/>
      <c r="K21" s="8"/>
      <c r="L21" s="8"/>
      <c r="M21" s="8"/>
    </row>
    <row r="22" spans="1:13" ht="15.75" hidden="1" customHeight="1">
      <c r="A22" s="32"/>
      <c r="B22" s="76" t="s">
        <v>101</v>
      </c>
      <c r="C22" s="77" t="s">
        <v>52</v>
      </c>
      <c r="D22" s="76" t="s">
        <v>98</v>
      </c>
      <c r="E22" s="78">
        <v>769.2</v>
      </c>
      <c r="F22" s="79">
        <f>SUM(E22/100)</f>
        <v>7.6920000000000002</v>
      </c>
      <c r="G22" s="79">
        <v>269.26</v>
      </c>
      <c r="H22" s="80">
        <f t="shared" si="0"/>
        <v>2.07114792</v>
      </c>
      <c r="I22" s="13">
        <v>0</v>
      </c>
      <c r="J22" s="25"/>
      <c r="K22" s="8"/>
      <c r="L22" s="8"/>
      <c r="M22" s="8"/>
    </row>
    <row r="23" spans="1:13" ht="15.75" hidden="1" customHeight="1">
      <c r="A23" s="32"/>
      <c r="B23" s="76" t="s">
        <v>102</v>
      </c>
      <c r="C23" s="77" t="s">
        <v>52</v>
      </c>
      <c r="D23" s="76" t="s">
        <v>98</v>
      </c>
      <c r="E23" s="81">
        <v>35.28</v>
      </c>
      <c r="F23" s="79">
        <f>SUM(E23/100)</f>
        <v>0.3528</v>
      </c>
      <c r="G23" s="79">
        <v>44.29</v>
      </c>
      <c r="H23" s="80">
        <f t="shared" si="0"/>
        <v>1.5625512000000001E-2</v>
      </c>
      <c r="I23" s="13">
        <v>0</v>
      </c>
      <c r="J23" s="25"/>
      <c r="K23" s="8"/>
      <c r="L23" s="8"/>
      <c r="M23" s="8"/>
    </row>
    <row r="24" spans="1:13" ht="15.75" customHeight="1">
      <c r="A24" s="32">
        <v>6</v>
      </c>
      <c r="B24" s="76" t="s">
        <v>103</v>
      </c>
      <c r="C24" s="77" t="s">
        <v>52</v>
      </c>
      <c r="D24" s="76" t="s">
        <v>30</v>
      </c>
      <c r="E24" s="78">
        <v>10.8</v>
      </c>
      <c r="F24" s="79">
        <f>E24*12/100</f>
        <v>1.2960000000000003</v>
      </c>
      <c r="G24" s="79">
        <v>389.72</v>
      </c>
      <c r="H24" s="80">
        <f t="shared" si="0"/>
        <v>0.50507712000000016</v>
      </c>
      <c r="I24" s="13">
        <f>F24/12*G24</f>
        <v>42.089760000000012</v>
      </c>
      <c r="J24" s="25"/>
      <c r="K24" s="8"/>
      <c r="L24" s="8"/>
      <c r="M24" s="8"/>
    </row>
    <row r="25" spans="1:13" ht="15.75" customHeight="1">
      <c r="A25" s="32">
        <v>7</v>
      </c>
      <c r="B25" s="76" t="s">
        <v>104</v>
      </c>
      <c r="C25" s="77" t="s">
        <v>52</v>
      </c>
      <c r="D25" s="76" t="s">
        <v>122</v>
      </c>
      <c r="E25" s="78">
        <v>21.6</v>
      </c>
      <c r="F25" s="79">
        <f>SUM(E25*12/100)</f>
        <v>2.5920000000000005</v>
      </c>
      <c r="G25" s="79">
        <v>520.79999999999995</v>
      </c>
      <c r="H25" s="80">
        <f t="shared" si="0"/>
        <v>1.3499136</v>
      </c>
      <c r="I25" s="13">
        <f>F25/12*G25</f>
        <v>112.49280000000002</v>
      </c>
      <c r="J25" s="25"/>
      <c r="K25" s="8"/>
      <c r="L25" s="8"/>
      <c r="M25" s="8"/>
    </row>
    <row r="26" spans="1:13" ht="15.75" customHeight="1">
      <c r="A26" s="32">
        <v>8</v>
      </c>
      <c r="B26" s="76" t="s">
        <v>64</v>
      </c>
      <c r="C26" s="77" t="s">
        <v>33</v>
      </c>
      <c r="D26" s="76"/>
      <c r="E26" s="78">
        <v>0.1</v>
      </c>
      <c r="F26" s="79">
        <f>SUM(E26*365)</f>
        <v>36.5</v>
      </c>
      <c r="G26" s="79">
        <v>147.03</v>
      </c>
      <c r="H26" s="80">
        <f>SUM(F26*G26/1000)</f>
        <v>5.3665950000000002</v>
      </c>
      <c r="I26" s="13">
        <f>F26/12*G26</f>
        <v>447.21625</v>
      </c>
      <c r="J26" s="26"/>
    </row>
    <row r="27" spans="1:13" ht="15.75" customHeight="1">
      <c r="A27" s="32">
        <v>9</v>
      </c>
      <c r="B27" s="84" t="s">
        <v>23</v>
      </c>
      <c r="C27" s="77" t="s">
        <v>24</v>
      </c>
      <c r="D27" s="76"/>
      <c r="E27" s="78">
        <v>6980.3</v>
      </c>
      <c r="F27" s="79">
        <f>SUM(E27*12)</f>
        <v>83763.600000000006</v>
      </c>
      <c r="G27" s="79">
        <v>4.4000000000000004</v>
      </c>
      <c r="H27" s="80">
        <f>SUM(F27*G27/1000)</f>
        <v>368.55984000000007</v>
      </c>
      <c r="I27" s="13">
        <f>F27/12*G27</f>
        <v>30713.320000000003</v>
      </c>
      <c r="J27" s="26"/>
    </row>
    <row r="28" spans="1:13" ht="15" customHeight="1">
      <c r="A28" s="205" t="s">
        <v>86</v>
      </c>
      <c r="B28" s="205"/>
      <c r="C28" s="205"/>
      <c r="D28" s="205"/>
      <c r="E28" s="205"/>
      <c r="F28" s="205"/>
      <c r="G28" s="205"/>
      <c r="H28" s="205"/>
      <c r="I28" s="205"/>
      <c r="J28" s="25"/>
      <c r="K28" s="8"/>
      <c r="L28" s="8"/>
      <c r="M28" s="8"/>
    </row>
    <row r="29" spans="1:13" ht="15.75" hidden="1" customHeight="1">
      <c r="A29" s="32"/>
      <c r="B29" s="100" t="s">
        <v>28</v>
      </c>
      <c r="C29" s="77"/>
      <c r="D29" s="76"/>
      <c r="E29" s="78"/>
      <c r="F29" s="79"/>
      <c r="G29" s="79"/>
      <c r="H29" s="80"/>
      <c r="I29" s="13"/>
      <c r="J29" s="25"/>
      <c r="K29" s="8"/>
      <c r="L29" s="8"/>
      <c r="M29" s="8"/>
    </row>
    <row r="30" spans="1:13" ht="31.5" hidden="1" customHeight="1">
      <c r="A30" s="32">
        <v>10</v>
      </c>
      <c r="B30" s="76" t="s">
        <v>108</v>
      </c>
      <c r="C30" s="77" t="s">
        <v>91</v>
      </c>
      <c r="D30" s="76" t="s">
        <v>105</v>
      </c>
      <c r="E30" s="79">
        <v>1168.05</v>
      </c>
      <c r="F30" s="79">
        <f>SUM(E30*52/1000)</f>
        <v>60.738599999999998</v>
      </c>
      <c r="G30" s="79">
        <v>155.88999999999999</v>
      </c>
      <c r="H30" s="80">
        <f t="shared" ref="H30:H36" si="1">SUM(F30*G30/1000)</f>
        <v>9.4685403539999982</v>
      </c>
      <c r="I30" s="13">
        <f>F30/6*G30</f>
        <v>1578.0900589999997</v>
      </c>
      <c r="J30" s="25"/>
      <c r="K30" s="8"/>
      <c r="L30" s="8"/>
      <c r="M30" s="8"/>
    </row>
    <row r="31" spans="1:13" ht="31.5" hidden="1" customHeight="1">
      <c r="A31" s="32">
        <v>11</v>
      </c>
      <c r="B31" s="76" t="s">
        <v>124</v>
      </c>
      <c r="C31" s="77" t="s">
        <v>91</v>
      </c>
      <c r="D31" s="76" t="s">
        <v>106</v>
      </c>
      <c r="E31" s="79">
        <v>1039.2</v>
      </c>
      <c r="F31" s="79">
        <f>SUM(E31*78/1000)</f>
        <v>81.057600000000008</v>
      </c>
      <c r="G31" s="79">
        <v>258.63</v>
      </c>
      <c r="H31" s="80">
        <f t="shared" si="1"/>
        <v>20.963927088000002</v>
      </c>
      <c r="I31" s="13">
        <f t="shared" ref="I31:I34" si="2">F31/6*G31</f>
        <v>3493.9878480000002</v>
      </c>
      <c r="J31" s="25"/>
      <c r="K31" s="8"/>
      <c r="L31" s="8"/>
      <c r="M31" s="8"/>
    </row>
    <row r="32" spans="1:13" ht="15.75" hidden="1" customHeight="1">
      <c r="A32" s="32">
        <v>16</v>
      </c>
      <c r="B32" s="76" t="s">
        <v>27</v>
      </c>
      <c r="C32" s="77" t="s">
        <v>91</v>
      </c>
      <c r="D32" s="76" t="s">
        <v>53</v>
      </c>
      <c r="E32" s="79">
        <v>584.03</v>
      </c>
      <c r="F32" s="79">
        <f>SUM(E32/1000)</f>
        <v>0.58402999999999994</v>
      </c>
      <c r="G32" s="79">
        <v>3020.33</v>
      </c>
      <c r="H32" s="80">
        <f t="shared" si="1"/>
        <v>1.7639633298999997</v>
      </c>
      <c r="I32" s="13">
        <f>F32*G32</f>
        <v>1763.9633298999997</v>
      </c>
      <c r="J32" s="25"/>
      <c r="K32" s="8"/>
      <c r="L32" s="8"/>
      <c r="M32" s="8"/>
    </row>
    <row r="33" spans="1:14" ht="15.75" hidden="1" customHeight="1">
      <c r="A33" s="32">
        <v>12</v>
      </c>
      <c r="B33" s="76" t="s">
        <v>123</v>
      </c>
      <c r="C33" s="77" t="s">
        <v>39</v>
      </c>
      <c r="D33" s="76" t="s">
        <v>63</v>
      </c>
      <c r="E33" s="79">
        <v>6</v>
      </c>
      <c r="F33" s="79">
        <f>E33*155/100</f>
        <v>9.3000000000000007</v>
      </c>
      <c r="G33" s="79">
        <v>1302.02</v>
      </c>
      <c r="H33" s="80">
        <f>G33*F33/1000</f>
        <v>12.108786</v>
      </c>
      <c r="I33" s="13">
        <f t="shared" si="2"/>
        <v>2018.1310000000001</v>
      </c>
      <c r="J33" s="25"/>
      <c r="K33" s="8"/>
      <c r="L33" s="8"/>
      <c r="M33" s="8"/>
    </row>
    <row r="34" spans="1:14" ht="15.75" hidden="1" customHeight="1">
      <c r="A34" s="32">
        <v>13</v>
      </c>
      <c r="B34" s="76" t="s">
        <v>107</v>
      </c>
      <c r="C34" s="77" t="s">
        <v>31</v>
      </c>
      <c r="D34" s="76" t="s">
        <v>63</v>
      </c>
      <c r="E34" s="83">
        <v>0.33333333333333331</v>
      </c>
      <c r="F34" s="79">
        <f>155/3</f>
        <v>51.666666666666664</v>
      </c>
      <c r="G34" s="79">
        <v>56.69</v>
      </c>
      <c r="H34" s="80">
        <f>SUM(G34*155/3/1000)</f>
        <v>2.9289833333333331</v>
      </c>
      <c r="I34" s="13">
        <f t="shared" si="2"/>
        <v>488.16388888888883</v>
      </c>
      <c r="J34" s="25"/>
      <c r="K34" s="8"/>
    </row>
    <row r="35" spans="1:14" ht="15.75" hidden="1" customHeight="1">
      <c r="A35" s="32"/>
      <c r="B35" s="76" t="s">
        <v>65</v>
      </c>
      <c r="C35" s="77" t="s">
        <v>33</v>
      </c>
      <c r="D35" s="76" t="s">
        <v>67</v>
      </c>
      <c r="E35" s="78"/>
      <c r="F35" s="79">
        <v>4</v>
      </c>
      <c r="G35" s="79">
        <v>180.15</v>
      </c>
      <c r="H35" s="80">
        <f t="shared" si="1"/>
        <v>0.72060000000000002</v>
      </c>
      <c r="I35" s="13">
        <v>0</v>
      </c>
      <c r="J35" s="26"/>
    </row>
    <row r="36" spans="1:14" ht="15.75" hidden="1" customHeight="1">
      <c r="A36" s="32"/>
      <c r="B36" s="76" t="s">
        <v>66</v>
      </c>
      <c r="C36" s="77" t="s">
        <v>32</v>
      </c>
      <c r="D36" s="76" t="s">
        <v>67</v>
      </c>
      <c r="E36" s="78"/>
      <c r="F36" s="79">
        <v>3</v>
      </c>
      <c r="G36" s="79">
        <v>1136.33</v>
      </c>
      <c r="H36" s="80">
        <f t="shared" si="1"/>
        <v>3.4089899999999997</v>
      </c>
      <c r="I36" s="13">
        <v>0</v>
      </c>
      <c r="J36" s="26"/>
    </row>
    <row r="37" spans="1:14" ht="15.75" customHeight="1">
      <c r="A37" s="32"/>
      <c r="B37" s="100" t="s">
        <v>5</v>
      </c>
      <c r="C37" s="77"/>
      <c r="D37" s="76"/>
      <c r="E37" s="78"/>
      <c r="F37" s="79"/>
      <c r="G37" s="79"/>
      <c r="H37" s="80" t="s">
        <v>150</v>
      </c>
      <c r="I37" s="13"/>
      <c r="J37" s="26"/>
    </row>
    <row r="38" spans="1:14" ht="15.75" customHeight="1">
      <c r="A38" s="32">
        <v>10</v>
      </c>
      <c r="B38" s="76" t="s">
        <v>26</v>
      </c>
      <c r="C38" s="77" t="s">
        <v>32</v>
      </c>
      <c r="D38" s="76"/>
      <c r="E38" s="78"/>
      <c r="F38" s="79">
        <v>10</v>
      </c>
      <c r="G38" s="79">
        <v>1527.22</v>
      </c>
      <c r="H38" s="80">
        <f t="shared" ref="H38:H45" si="3">SUM(F38*G38/1000)</f>
        <v>15.272200000000002</v>
      </c>
      <c r="I38" s="13">
        <f>F38/6*G38</f>
        <v>2545.3666666666668</v>
      </c>
      <c r="J38" s="26"/>
    </row>
    <row r="39" spans="1:14" ht="15.75" customHeight="1">
      <c r="A39" s="32">
        <v>11</v>
      </c>
      <c r="B39" s="76" t="s">
        <v>125</v>
      </c>
      <c r="C39" s="77" t="s">
        <v>33</v>
      </c>
      <c r="D39" s="76"/>
      <c r="E39" s="78"/>
      <c r="F39" s="79">
        <v>10</v>
      </c>
      <c r="G39" s="79">
        <v>77.94</v>
      </c>
      <c r="H39" s="80">
        <f>G39*F39/1000</f>
        <v>0.77939999999999998</v>
      </c>
      <c r="I39" s="13">
        <f>F39/6*G39</f>
        <v>129.9</v>
      </c>
      <c r="J39" s="26"/>
      <c r="L39" s="19"/>
      <c r="M39" s="20"/>
      <c r="N39" s="21"/>
    </row>
    <row r="40" spans="1:14" ht="15.75" customHeight="1">
      <c r="A40" s="32">
        <v>12</v>
      </c>
      <c r="B40" s="76" t="s">
        <v>109</v>
      </c>
      <c r="C40" s="77" t="s">
        <v>29</v>
      </c>
      <c r="D40" s="76" t="s">
        <v>126</v>
      </c>
      <c r="E40" s="78">
        <v>1039.2</v>
      </c>
      <c r="F40" s="79">
        <f>E40*25/1000</f>
        <v>25.98</v>
      </c>
      <c r="G40" s="79">
        <v>2102.71</v>
      </c>
      <c r="H40" s="80">
        <f>G40*F40/1000</f>
        <v>54.628405800000003</v>
      </c>
      <c r="I40" s="13">
        <f>F40/6*G40</f>
        <v>9104.7343000000001</v>
      </c>
      <c r="J40" s="26"/>
      <c r="L40" s="19"/>
      <c r="M40" s="20"/>
      <c r="N40" s="21"/>
    </row>
    <row r="41" spans="1:14" ht="15.75" hidden="1" customHeight="1">
      <c r="A41" s="32">
        <v>13</v>
      </c>
      <c r="B41" s="76" t="s">
        <v>127</v>
      </c>
      <c r="C41" s="77" t="s">
        <v>128</v>
      </c>
      <c r="D41" s="76" t="s">
        <v>67</v>
      </c>
      <c r="E41" s="78"/>
      <c r="F41" s="79">
        <v>50</v>
      </c>
      <c r="G41" s="79">
        <v>213.2</v>
      </c>
      <c r="H41" s="80">
        <f>G41*F41/1000</f>
        <v>10.66</v>
      </c>
      <c r="I41" s="13">
        <f>G41*39</f>
        <v>8314.7999999999993</v>
      </c>
      <c r="J41" s="26"/>
      <c r="L41" s="19"/>
      <c r="M41" s="20"/>
      <c r="N41" s="21"/>
    </row>
    <row r="42" spans="1:14" ht="15.75" customHeight="1">
      <c r="A42" s="32">
        <v>14</v>
      </c>
      <c r="B42" s="76" t="s">
        <v>68</v>
      </c>
      <c r="C42" s="77" t="s">
        <v>29</v>
      </c>
      <c r="D42" s="76" t="s">
        <v>90</v>
      </c>
      <c r="E42" s="79">
        <v>153</v>
      </c>
      <c r="F42" s="79">
        <f>SUM(E42*155/1000)</f>
        <v>23.715</v>
      </c>
      <c r="G42" s="79">
        <v>350.75</v>
      </c>
      <c r="H42" s="80">
        <f t="shared" si="3"/>
        <v>8.3180362499999987</v>
      </c>
      <c r="I42" s="13">
        <f>F42/6*G42</f>
        <v>1386.339375</v>
      </c>
      <c r="J42" s="26"/>
      <c r="L42" s="19"/>
      <c r="M42" s="20"/>
      <c r="N42" s="21"/>
    </row>
    <row r="43" spans="1:14" ht="47.25" customHeight="1">
      <c r="A43" s="32">
        <v>15</v>
      </c>
      <c r="B43" s="76" t="s">
        <v>84</v>
      </c>
      <c r="C43" s="77" t="s">
        <v>91</v>
      </c>
      <c r="D43" s="76" t="s">
        <v>129</v>
      </c>
      <c r="E43" s="79">
        <v>24</v>
      </c>
      <c r="F43" s="79">
        <f>SUM(E43*50/1000)</f>
        <v>1.2</v>
      </c>
      <c r="G43" s="79">
        <v>5803.28</v>
      </c>
      <c r="H43" s="80">
        <f t="shared" si="3"/>
        <v>6.9639359999999995</v>
      </c>
      <c r="I43" s="13">
        <f>F43/6*G43</f>
        <v>1160.6559999999999</v>
      </c>
      <c r="J43" s="26"/>
      <c r="L43" s="19"/>
      <c r="M43" s="20"/>
      <c r="N43" s="21"/>
    </row>
    <row r="44" spans="1:14" ht="15.75" customHeight="1">
      <c r="A44" s="32">
        <v>16</v>
      </c>
      <c r="B44" s="76" t="s">
        <v>92</v>
      </c>
      <c r="C44" s="77" t="s">
        <v>91</v>
      </c>
      <c r="D44" s="76" t="s">
        <v>69</v>
      </c>
      <c r="E44" s="79">
        <v>153</v>
      </c>
      <c r="F44" s="79">
        <f>SUM(E44*45/1000)</f>
        <v>6.8849999999999998</v>
      </c>
      <c r="G44" s="79">
        <v>428.7</v>
      </c>
      <c r="H44" s="80">
        <f t="shared" si="3"/>
        <v>2.9515994999999999</v>
      </c>
      <c r="I44" s="13">
        <f>F44/7.5*1.5*G44</f>
        <v>590.31989999999985</v>
      </c>
      <c r="J44" s="26"/>
      <c r="L44" s="19"/>
      <c r="M44" s="20"/>
      <c r="N44" s="21"/>
    </row>
    <row r="45" spans="1:14" ht="15.75" customHeight="1">
      <c r="A45" s="32">
        <v>17</v>
      </c>
      <c r="B45" s="76" t="s">
        <v>70</v>
      </c>
      <c r="C45" s="77" t="s">
        <v>33</v>
      </c>
      <c r="D45" s="76"/>
      <c r="E45" s="78"/>
      <c r="F45" s="79">
        <v>0.9</v>
      </c>
      <c r="G45" s="79">
        <v>798</v>
      </c>
      <c r="H45" s="80">
        <f t="shared" si="3"/>
        <v>0.71820000000000006</v>
      </c>
      <c r="I45" s="13">
        <f>F45/7.5*1.5*G45</f>
        <v>143.64000000000001</v>
      </c>
      <c r="J45" s="26"/>
      <c r="L45" s="19"/>
      <c r="M45" s="20"/>
      <c r="N45" s="21"/>
    </row>
    <row r="46" spans="1:14" ht="15" hidden="1" customHeight="1">
      <c r="A46" s="206" t="s">
        <v>146</v>
      </c>
      <c r="B46" s="207"/>
      <c r="C46" s="207"/>
      <c r="D46" s="207"/>
      <c r="E46" s="207"/>
      <c r="F46" s="207"/>
      <c r="G46" s="207"/>
      <c r="H46" s="207"/>
      <c r="I46" s="208"/>
      <c r="J46" s="26"/>
      <c r="L46" s="19"/>
      <c r="M46" s="20"/>
      <c r="N46" s="21"/>
    </row>
    <row r="47" spans="1:14" ht="15.75" hidden="1" customHeight="1">
      <c r="A47" s="32"/>
      <c r="B47" s="76" t="s">
        <v>130</v>
      </c>
      <c r="C47" s="77" t="s">
        <v>91</v>
      </c>
      <c r="D47" s="76" t="s">
        <v>42</v>
      </c>
      <c r="E47" s="78">
        <v>1895</v>
      </c>
      <c r="F47" s="79">
        <f>SUM(E47*2/1000)</f>
        <v>3.79</v>
      </c>
      <c r="G47" s="13">
        <v>849.49</v>
      </c>
      <c r="H47" s="80">
        <f t="shared" ref="H47:H55" si="4">SUM(F47*G47/1000)</f>
        <v>3.2195671000000003</v>
      </c>
      <c r="I47" s="13">
        <v>0</v>
      </c>
      <c r="J47" s="26"/>
      <c r="L47" s="19"/>
      <c r="M47" s="20"/>
      <c r="N47" s="21"/>
    </row>
    <row r="48" spans="1:14" ht="15.75" hidden="1" customHeight="1">
      <c r="A48" s="32"/>
      <c r="B48" s="76" t="s">
        <v>34</v>
      </c>
      <c r="C48" s="77" t="s">
        <v>91</v>
      </c>
      <c r="D48" s="76" t="s">
        <v>42</v>
      </c>
      <c r="E48" s="78">
        <v>118.2</v>
      </c>
      <c r="F48" s="79">
        <f>E48*2/1000</f>
        <v>0.2364</v>
      </c>
      <c r="G48" s="13">
        <v>579.48</v>
      </c>
      <c r="H48" s="80">
        <f t="shared" si="4"/>
        <v>0.13698907199999999</v>
      </c>
      <c r="I48" s="13">
        <v>0</v>
      </c>
      <c r="J48" s="26"/>
      <c r="L48" s="19"/>
      <c r="M48" s="20"/>
      <c r="N48" s="21"/>
    </row>
    <row r="49" spans="1:22" ht="15.75" hidden="1" customHeight="1">
      <c r="A49" s="32"/>
      <c r="B49" s="76" t="s">
        <v>35</v>
      </c>
      <c r="C49" s="77" t="s">
        <v>91</v>
      </c>
      <c r="D49" s="76" t="s">
        <v>42</v>
      </c>
      <c r="E49" s="78">
        <v>4675</v>
      </c>
      <c r="F49" s="79">
        <f>SUM(E49*2/1000)</f>
        <v>9.35</v>
      </c>
      <c r="G49" s="13">
        <v>579.48</v>
      </c>
      <c r="H49" s="80">
        <f t="shared" si="4"/>
        <v>5.4181379999999999</v>
      </c>
      <c r="I49" s="13">
        <v>0</v>
      </c>
      <c r="J49" s="26"/>
      <c r="L49" s="19"/>
      <c r="M49" s="20"/>
      <c r="N49" s="21"/>
    </row>
    <row r="50" spans="1:22" ht="15.75" hidden="1" customHeight="1">
      <c r="A50" s="32"/>
      <c r="B50" s="76" t="s">
        <v>36</v>
      </c>
      <c r="C50" s="77" t="s">
        <v>91</v>
      </c>
      <c r="D50" s="76" t="s">
        <v>42</v>
      </c>
      <c r="E50" s="78">
        <v>4675</v>
      </c>
      <c r="F50" s="79">
        <f>SUM(E50*2/1000)</f>
        <v>9.35</v>
      </c>
      <c r="G50" s="13">
        <v>606.77</v>
      </c>
      <c r="H50" s="80">
        <f t="shared" si="4"/>
        <v>5.6732994999999988</v>
      </c>
      <c r="I50" s="13">
        <v>0</v>
      </c>
      <c r="J50" s="26"/>
      <c r="L50" s="19"/>
      <c r="M50" s="20"/>
      <c r="N50" s="21"/>
    </row>
    <row r="51" spans="1:22" ht="15.75" hidden="1" customHeight="1">
      <c r="A51" s="32">
        <v>17</v>
      </c>
      <c r="B51" s="76" t="s">
        <v>56</v>
      </c>
      <c r="C51" s="77" t="s">
        <v>91</v>
      </c>
      <c r="D51" s="76" t="s">
        <v>164</v>
      </c>
      <c r="E51" s="78">
        <v>3988</v>
      </c>
      <c r="F51" s="79">
        <f>SUM(E51*5/1000)</f>
        <v>19.940000000000001</v>
      </c>
      <c r="G51" s="13">
        <v>1142.7</v>
      </c>
      <c r="H51" s="80">
        <f t="shared" si="4"/>
        <v>22.785438000000003</v>
      </c>
      <c r="I51" s="13">
        <f>F51/5*G51</f>
        <v>4557.0876000000007</v>
      </c>
      <c r="J51" s="26"/>
      <c r="L51" s="19"/>
      <c r="M51" s="20"/>
      <c r="N51" s="21"/>
    </row>
    <row r="52" spans="1:22" ht="31.5" hidden="1" customHeight="1">
      <c r="A52" s="32">
        <v>18</v>
      </c>
      <c r="B52" s="76" t="s">
        <v>93</v>
      </c>
      <c r="C52" s="77" t="s">
        <v>91</v>
      </c>
      <c r="D52" s="76" t="s">
        <v>42</v>
      </c>
      <c r="E52" s="78">
        <v>3988</v>
      </c>
      <c r="F52" s="79">
        <f>SUM(E52*2/1000)</f>
        <v>7.976</v>
      </c>
      <c r="G52" s="13">
        <v>1213.55</v>
      </c>
      <c r="H52" s="80">
        <f t="shared" si="4"/>
        <v>9.6792748</v>
      </c>
      <c r="I52" s="13">
        <f>F52/2*G52</f>
        <v>4839.6373999999996</v>
      </c>
      <c r="J52" s="26"/>
      <c r="L52" s="19"/>
      <c r="M52" s="20"/>
      <c r="N52" s="21"/>
    </row>
    <row r="53" spans="1:22" ht="31.5" hidden="1" customHeight="1">
      <c r="A53" s="32">
        <v>19</v>
      </c>
      <c r="B53" s="76" t="s">
        <v>94</v>
      </c>
      <c r="C53" s="77" t="s">
        <v>37</v>
      </c>
      <c r="D53" s="76" t="s">
        <v>42</v>
      </c>
      <c r="E53" s="78">
        <v>30</v>
      </c>
      <c r="F53" s="79">
        <f>SUM(E53*2/100)</f>
        <v>0.6</v>
      </c>
      <c r="G53" s="13">
        <v>2730.49</v>
      </c>
      <c r="H53" s="80">
        <f>SUM(F53*G53/1000)</f>
        <v>1.6382939999999999</v>
      </c>
      <c r="I53" s="13">
        <f>F53/2*G53</f>
        <v>819.14699999999993</v>
      </c>
      <c r="J53" s="26"/>
      <c r="L53" s="19"/>
      <c r="M53" s="20"/>
      <c r="N53" s="21"/>
    </row>
    <row r="54" spans="1:22" ht="15.75" hidden="1" customHeight="1">
      <c r="A54" s="32"/>
      <c r="B54" s="76" t="s">
        <v>38</v>
      </c>
      <c r="C54" s="77" t="s">
        <v>39</v>
      </c>
      <c r="D54" s="76" t="s">
        <v>42</v>
      </c>
      <c r="E54" s="78">
        <v>1</v>
      </c>
      <c r="F54" s="79">
        <v>0.02</v>
      </c>
      <c r="G54" s="13">
        <v>5652.13</v>
      </c>
      <c r="H54" s="80">
        <f t="shared" si="4"/>
        <v>0.11304260000000001</v>
      </c>
      <c r="I54" s="13">
        <v>0</v>
      </c>
      <c r="J54" s="26"/>
      <c r="L54" s="19"/>
      <c r="M54" s="20"/>
      <c r="N54" s="21"/>
    </row>
    <row r="55" spans="1:22" ht="15.75" hidden="1" customHeight="1">
      <c r="A55" s="32">
        <v>20</v>
      </c>
      <c r="B55" s="76" t="s">
        <v>41</v>
      </c>
      <c r="C55" s="77" t="s">
        <v>110</v>
      </c>
      <c r="D55" s="76" t="s">
        <v>71</v>
      </c>
      <c r="E55" s="78">
        <v>236</v>
      </c>
      <c r="F55" s="79">
        <f>SUM(E55)*3</f>
        <v>708</v>
      </c>
      <c r="G55" s="13">
        <v>65.67</v>
      </c>
      <c r="H55" s="80">
        <f t="shared" si="4"/>
        <v>46.49436</v>
      </c>
      <c r="I55" s="13">
        <f>E55*G55</f>
        <v>15498.12</v>
      </c>
      <c r="J55" s="26"/>
      <c r="L55" s="19"/>
      <c r="M55" s="20"/>
      <c r="N55" s="21"/>
    </row>
    <row r="56" spans="1:22" ht="15.75" customHeight="1">
      <c r="A56" s="206" t="s">
        <v>144</v>
      </c>
      <c r="B56" s="207"/>
      <c r="C56" s="207"/>
      <c r="D56" s="207"/>
      <c r="E56" s="207"/>
      <c r="F56" s="207"/>
      <c r="G56" s="207"/>
      <c r="H56" s="207"/>
      <c r="I56" s="208"/>
      <c r="J56" s="26"/>
      <c r="L56" s="19"/>
      <c r="M56" s="20"/>
      <c r="N56" s="21"/>
    </row>
    <row r="57" spans="1:22" ht="15.75" hidden="1" customHeight="1">
      <c r="A57" s="32"/>
      <c r="B57" s="100" t="s">
        <v>43</v>
      </c>
      <c r="C57" s="77"/>
      <c r="D57" s="76"/>
      <c r="E57" s="78"/>
      <c r="F57" s="79"/>
      <c r="G57" s="79"/>
      <c r="H57" s="80"/>
      <c r="I57" s="13"/>
      <c r="J57" s="26"/>
      <c r="L57" s="19"/>
      <c r="M57" s="20"/>
      <c r="N57" s="21"/>
    </row>
    <row r="58" spans="1:22" ht="31.5" hidden="1" customHeight="1">
      <c r="A58" s="32">
        <v>18</v>
      </c>
      <c r="B58" s="76" t="s">
        <v>131</v>
      </c>
      <c r="C58" s="77" t="s">
        <v>89</v>
      </c>
      <c r="D58" s="76" t="s">
        <v>111</v>
      </c>
      <c r="E58" s="78">
        <v>30</v>
      </c>
      <c r="F58" s="79">
        <f>SUM(E58*6/100)</f>
        <v>1.8</v>
      </c>
      <c r="G58" s="13">
        <v>1547.28</v>
      </c>
      <c r="H58" s="80">
        <f>SUM(F58*G58/1000)</f>
        <v>2.785104</v>
      </c>
      <c r="I58" s="13">
        <f>F58/6*G58</f>
        <v>464.18399999999997</v>
      </c>
      <c r="J58" s="26"/>
      <c r="L58" s="19"/>
    </row>
    <row r="59" spans="1:22" ht="15.75" hidden="1" customHeight="1">
      <c r="A59" s="32">
        <v>20</v>
      </c>
      <c r="B59" s="85" t="s">
        <v>132</v>
      </c>
      <c r="C59" s="86" t="s">
        <v>133</v>
      </c>
      <c r="D59" s="85" t="s">
        <v>42</v>
      </c>
      <c r="E59" s="87">
        <v>6</v>
      </c>
      <c r="F59" s="88">
        <v>12</v>
      </c>
      <c r="G59" s="13">
        <v>180.78</v>
      </c>
      <c r="H59" s="89">
        <f>G59*F59/1000</f>
        <v>2.1693600000000002</v>
      </c>
      <c r="I59" s="13">
        <f>F59/2*G59</f>
        <v>1084.68</v>
      </c>
    </row>
    <row r="60" spans="1:22" ht="15.75" hidden="1" customHeight="1">
      <c r="A60" s="32">
        <v>21</v>
      </c>
      <c r="B60" s="85" t="s">
        <v>134</v>
      </c>
      <c r="C60" s="86" t="s">
        <v>52</v>
      </c>
      <c r="D60" s="85" t="s">
        <v>40</v>
      </c>
      <c r="E60" s="87">
        <v>6</v>
      </c>
      <c r="F60" s="88">
        <f>E60*4/100</f>
        <v>0.24</v>
      </c>
      <c r="G60" s="13">
        <v>1547.28</v>
      </c>
      <c r="H60" s="89">
        <f>G60*F60/1000</f>
        <v>0.37134719999999999</v>
      </c>
      <c r="I60" s="13">
        <f>F60/4*G60</f>
        <v>92.836799999999997</v>
      </c>
    </row>
    <row r="61" spans="1:22" ht="15.75" customHeight="1">
      <c r="A61" s="32">
        <v>18</v>
      </c>
      <c r="B61" s="115" t="s">
        <v>134</v>
      </c>
      <c r="C61" s="116" t="s">
        <v>52</v>
      </c>
      <c r="D61" s="115" t="s">
        <v>40</v>
      </c>
      <c r="E61" s="87"/>
      <c r="F61" s="88"/>
      <c r="G61" s="36">
        <v>1547.28</v>
      </c>
      <c r="H61" s="89"/>
      <c r="I61" s="13">
        <f>G61/4*0.24</f>
        <v>92.836799999999997</v>
      </c>
    </row>
    <row r="62" spans="1:22" ht="15.75" customHeight="1">
      <c r="A62" s="32"/>
      <c r="B62" s="101" t="s">
        <v>44</v>
      </c>
      <c r="C62" s="86"/>
      <c r="D62" s="85"/>
      <c r="E62" s="87"/>
      <c r="F62" s="88"/>
      <c r="G62" s="13"/>
      <c r="H62" s="89"/>
      <c r="I62" s="13"/>
    </row>
    <row r="63" spans="1:22" ht="15.75" hidden="1" customHeight="1">
      <c r="A63" s="32">
        <v>22</v>
      </c>
      <c r="B63" s="85" t="s">
        <v>135</v>
      </c>
      <c r="C63" s="86" t="s">
        <v>52</v>
      </c>
      <c r="D63" s="85" t="s">
        <v>53</v>
      </c>
      <c r="E63" s="87">
        <v>997</v>
      </c>
      <c r="F63" s="88">
        <v>9.9700000000000006</v>
      </c>
      <c r="G63" s="13">
        <v>793.61</v>
      </c>
      <c r="H63" s="89">
        <f>F63*G63/1000</f>
        <v>7.9122917000000008</v>
      </c>
      <c r="I63" s="13">
        <f>G63*F63</f>
        <v>7912.2917000000007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customHeight="1">
      <c r="A64" s="32">
        <v>19</v>
      </c>
      <c r="B64" s="85" t="s">
        <v>136</v>
      </c>
      <c r="C64" s="86" t="s">
        <v>25</v>
      </c>
      <c r="D64" s="85" t="s">
        <v>30</v>
      </c>
      <c r="E64" s="87">
        <v>394</v>
      </c>
      <c r="F64" s="90">
        <f>E64*12</f>
        <v>4728</v>
      </c>
      <c r="G64" s="71">
        <v>1.2</v>
      </c>
      <c r="H64" s="88">
        <f>F64*G64/1000</f>
        <v>5.6735999999999995</v>
      </c>
      <c r="I64" s="13">
        <f>2400/12*G64</f>
        <v>240</v>
      </c>
      <c r="J64" s="28"/>
      <c r="K64" s="28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32"/>
      <c r="B65" s="101" t="s">
        <v>45</v>
      </c>
      <c r="C65" s="86"/>
      <c r="D65" s="85"/>
      <c r="E65" s="87"/>
      <c r="F65" s="90"/>
      <c r="G65" s="90"/>
      <c r="H65" s="88" t="s">
        <v>150</v>
      </c>
      <c r="I65" s="13"/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32">
        <v>24</v>
      </c>
      <c r="B66" s="14" t="s">
        <v>46</v>
      </c>
      <c r="C66" s="16" t="s">
        <v>110</v>
      </c>
      <c r="D66" s="76" t="s">
        <v>67</v>
      </c>
      <c r="E66" s="18">
        <v>15</v>
      </c>
      <c r="F66" s="79">
        <v>15</v>
      </c>
      <c r="G66" s="13">
        <v>222.4</v>
      </c>
      <c r="H66" s="91">
        <f t="shared" ref="H66:H79" si="5">SUM(F66*G66/1000)</f>
        <v>3.3359999999999999</v>
      </c>
      <c r="I66" s="13">
        <f>G66</f>
        <v>222.4</v>
      </c>
      <c r="J66" s="5"/>
      <c r="K66" s="5"/>
      <c r="L66" s="5"/>
      <c r="M66" s="5"/>
      <c r="N66" s="5"/>
      <c r="O66" s="5"/>
      <c r="P66" s="5"/>
      <c r="Q66" s="5"/>
      <c r="R66" s="188"/>
      <c r="S66" s="188"/>
      <c r="T66" s="188"/>
      <c r="U66" s="188"/>
    </row>
    <row r="67" spans="1:21" ht="15.75" hidden="1" customHeight="1">
      <c r="A67" s="32">
        <v>25</v>
      </c>
      <c r="B67" s="14" t="s">
        <v>47</v>
      </c>
      <c r="C67" s="16" t="s">
        <v>110</v>
      </c>
      <c r="D67" s="76" t="s">
        <v>67</v>
      </c>
      <c r="E67" s="18">
        <v>10</v>
      </c>
      <c r="F67" s="79">
        <v>10</v>
      </c>
      <c r="G67" s="13">
        <v>76.25</v>
      </c>
      <c r="H67" s="91">
        <f t="shared" si="5"/>
        <v>0.76249999999999996</v>
      </c>
      <c r="I67" s="13">
        <f>G67</f>
        <v>76.25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2"/>
      <c r="B68" s="14" t="s">
        <v>48</v>
      </c>
      <c r="C68" s="16" t="s">
        <v>112</v>
      </c>
      <c r="D68" s="14" t="s">
        <v>53</v>
      </c>
      <c r="E68" s="78">
        <v>28608</v>
      </c>
      <c r="F68" s="13">
        <f>SUM(E68/100)</f>
        <v>286.08</v>
      </c>
      <c r="G68" s="13">
        <v>199.77</v>
      </c>
      <c r="H68" s="91">
        <f t="shared" si="5"/>
        <v>57.150201600000003</v>
      </c>
      <c r="I68" s="13">
        <f>F68*G68</f>
        <v>57150.2016</v>
      </c>
    </row>
    <row r="69" spans="1:21" ht="15.75" hidden="1" customHeight="1">
      <c r="A69" s="32"/>
      <c r="B69" s="14" t="s">
        <v>49</v>
      </c>
      <c r="C69" s="16" t="s">
        <v>113</v>
      </c>
      <c r="D69" s="14"/>
      <c r="E69" s="78">
        <v>28608</v>
      </c>
      <c r="F69" s="13">
        <f>SUM(E69/1000)</f>
        <v>28.608000000000001</v>
      </c>
      <c r="G69" s="13">
        <v>155.57</v>
      </c>
      <c r="H69" s="91">
        <f t="shared" si="5"/>
        <v>4.4505465599999994</v>
      </c>
      <c r="I69" s="13">
        <f t="shared" ref="I69:I73" si="6">F69*G69</f>
        <v>4450.5465599999998</v>
      </c>
    </row>
    <row r="70" spans="1:21" ht="15.75" hidden="1" customHeight="1">
      <c r="A70" s="32"/>
      <c r="B70" s="14" t="s">
        <v>50</v>
      </c>
      <c r="C70" s="16" t="s">
        <v>77</v>
      </c>
      <c r="D70" s="14" t="s">
        <v>53</v>
      </c>
      <c r="E70" s="78">
        <v>4550</v>
      </c>
      <c r="F70" s="13">
        <f>SUM(E70/100)</f>
        <v>45.5</v>
      </c>
      <c r="G70" s="13">
        <v>2074.63</v>
      </c>
      <c r="H70" s="91">
        <f t="shared" si="5"/>
        <v>94.395665000000008</v>
      </c>
      <c r="I70" s="13">
        <f t="shared" si="6"/>
        <v>94395.665000000008</v>
      </c>
    </row>
    <row r="71" spans="1:21" ht="15.75" hidden="1" customHeight="1">
      <c r="A71" s="32"/>
      <c r="B71" s="92" t="s">
        <v>114</v>
      </c>
      <c r="C71" s="16" t="s">
        <v>33</v>
      </c>
      <c r="D71" s="14"/>
      <c r="E71" s="78">
        <v>58.5</v>
      </c>
      <c r="F71" s="13">
        <f>SUM(E71)</f>
        <v>58.5</v>
      </c>
      <c r="G71" s="13">
        <v>45.32</v>
      </c>
      <c r="H71" s="91">
        <f t="shared" si="5"/>
        <v>2.6512199999999999</v>
      </c>
      <c r="I71" s="13">
        <f t="shared" si="6"/>
        <v>2651.22</v>
      </c>
    </row>
    <row r="72" spans="1:21" ht="15.75" hidden="1" customHeight="1">
      <c r="A72" s="32"/>
      <c r="B72" s="92" t="s">
        <v>115</v>
      </c>
      <c r="C72" s="16" t="s">
        <v>33</v>
      </c>
      <c r="D72" s="14"/>
      <c r="E72" s="78">
        <v>58.5</v>
      </c>
      <c r="F72" s="13">
        <f>SUM(E72)</f>
        <v>58.5</v>
      </c>
      <c r="G72" s="13">
        <v>42.28</v>
      </c>
      <c r="H72" s="91">
        <f t="shared" si="5"/>
        <v>2.4733800000000001</v>
      </c>
      <c r="I72" s="13">
        <f t="shared" si="6"/>
        <v>2473.38</v>
      </c>
    </row>
    <row r="73" spans="1:21" ht="15.75" hidden="1" customHeight="1">
      <c r="A73" s="32"/>
      <c r="B73" s="14" t="s">
        <v>57</v>
      </c>
      <c r="C73" s="16" t="s">
        <v>58</v>
      </c>
      <c r="D73" s="14" t="s">
        <v>53</v>
      </c>
      <c r="E73" s="18">
        <v>5</v>
      </c>
      <c r="F73" s="79">
        <v>5</v>
      </c>
      <c r="G73" s="13">
        <v>49.88</v>
      </c>
      <c r="H73" s="91">
        <f t="shared" si="5"/>
        <v>0.24940000000000001</v>
      </c>
      <c r="I73" s="13">
        <f t="shared" si="6"/>
        <v>249.4</v>
      </c>
    </row>
    <row r="74" spans="1:21" ht="15.75" hidden="1" customHeight="1">
      <c r="A74" s="32"/>
      <c r="B74" s="64" t="s">
        <v>72</v>
      </c>
      <c r="C74" s="16"/>
      <c r="D74" s="14"/>
      <c r="E74" s="18"/>
      <c r="F74" s="13"/>
      <c r="G74" s="13"/>
      <c r="H74" s="91" t="s">
        <v>150</v>
      </c>
      <c r="I74" s="13"/>
    </row>
    <row r="75" spans="1:21" ht="15.75" hidden="1" customHeight="1">
      <c r="A75" s="32">
        <v>25</v>
      </c>
      <c r="B75" s="14" t="s">
        <v>73</v>
      </c>
      <c r="C75" s="16" t="s">
        <v>75</v>
      </c>
      <c r="D75" s="14"/>
      <c r="E75" s="18">
        <v>10</v>
      </c>
      <c r="F75" s="13">
        <v>1</v>
      </c>
      <c r="G75" s="13">
        <v>501.62</v>
      </c>
      <c r="H75" s="91">
        <f t="shared" si="5"/>
        <v>0.50161999999999995</v>
      </c>
      <c r="I75" s="13">
        <f>G75*0.3</f>
        <v>150.48599999999999</v>
      </c>
    </row>
    <row r="76" spans="1:21" ht="15.75" hidden="1" customHeight="1">
      <c r="A76" s="32"/>
      <c r="B76" s="14" t="s">
        <v>74</v>
      </c>
      <c r="C76" s="16" t="s">
        <v>31</v>
      </c>
      <c r="D76" s="14"/>
      <c r="E76" s="18">
        <v>3</v>
      </c>
      <c r="F76" s="71">
        <v>3</v>
      </c>
      <c r="G76" s="13">
        <v>852.99</v>
      </c>
      <c r="H76" s="91">
        <f>F76*G76/1000</f>
        <v>2.5589700000000004</v>
      </c>
      <c r="I76" s="13">
        <v>0</v>
      </c>
    </row>
    <row r="77" spans="1:21" ht="15.75" hidden="1" customHeight="1">
      <c r="A77" s="32"/>
      <c r="B77" s="14" t="s">
        <v>117</v>
      </c>
      <c r="C77" s="16" t="s">
        <v>31</v>
      </c>
      <c r="D77" s="14"/>
      <c r="E77" s="18">
        <v>1</v>
      </c>
      <c r="F77" s="13">
        <v>1</v>
      </c>
      <c r="G77" s="13">
        <v>358.51</v>
      </c>
      <c r="H77" s="91">
        <f>G77*F77/1000</f>
        <v>0.35851</v>
      </c>
      <c r="I77" s="13">
        <v>0</v>
      </c>
    </row>
    <row r="78" spans="1:21" ht="15.75" hidden="1" customHeight="1">
      <c r="A78" s="32"/>
      <c r="B78" s="94" t="s">
        <v>76</v>
      </c>
      <c r="C78" s="16"/>
      <c r="D78" s="14"/>
      <c r="E78" s="18"/>
      <c r="F78" s="13"/>
      <c r="G78" s="13" t="s">
        <v>150</v>
      </c>
      <c r="H78" s="91" t="s">
        <v>150</v>
      </c>
      <c r="I78" s="13"/>
    </row>
    <row r="79" spans="1:21" ht="15.75" hidden="1" customHeight="1">
      <c r="A79" s="32"/>
      <c r="B79" s="47" t="s">
        <v>165</v>
      </c>
      <c r="C79" s="16" t="s">
        <v>77</v>
      </c>
      <c r="D79" s="14"/>
      <c r="E79" s="18"/>
      <c r="F79" s="13">
        <v>1.2</v>
      </c>
      <c r="G79" s="13">
        <v>2759.44</v>
      </c>
      <c r="H79" s="91">
        <f t="shared" si="5"/>
        <v>3.311328</v>
      </c>
      <c r="I79" s="13">
        <v>0</v>
      </c>
    </row>
    <row r="80" spans="1:21" ht="15.75" hidden="1" customHeight="1">
      <c r="A80" s="32"/>
      <c r="B80" s="70" t="s">
        <v>95</v>
      </c>
      <c r="C80" s="70"/>
      <c r="D80" s="70"/>
      <c r="E80" s="70"/>
      <c r="F80" s="70"/>
      <c r="G80" s="82"/>
      <c r="H80" s="95">
        <f>SUM(H58:H79)</f>
        <v>191.11104405999998</v>
      </c>
      <c r="I80" s="82"/>
    </row>
    <row r="81" spans="1:9" ht="15.75" hidden="1" customHeight="1">
      <c r="A81" s="32">
        <v>25</v>
      </c>
      <c r="B81" s="102" t="s">
        <v>116</v>
      </c>
      <c r="C81" s="23"/>
      <c r="D81" s="22"/>
      <c r="E81" s="72"/>
      <c r="F81" s="103">
        <v>1</v>
      </c>
      <c r="G81" s="38">
        <v>24989.1</v>
      </c>
      <c r="H81" s="91">
        <f>G81*F81/1000</f>
        <v>24.989099999999997</v>
      </c>
      <c r="I81" s="13">
        <f>G81</f>
        <v>24989.1</v>
      </c>
    </row>
    <row r="82" spans="1:9" ht="15.75" customHeight="1">
      <c r="A82" s="189" t="s">
        <v>148</v>
      </c>
      <c r="B82" s="190"/>
      <c r="C82" s="190"/>
      <c r="D82" s="190"/>
      <c r="E82" s="190"/>
      <c r="F82" s="190"/>
      <c r="G82" s="190"/>
      <c r="H82" s="190"/>
      <c r="I82" s="191"/>
    </row>
    <row r="83" spans="1:9" ht="15.75" customHeight="1">
      <c r="A83" s="32">
        <v>20</v>
      </c>
      <c r="B83" s="76" t="s">
        <v>118</v>
      </c>
      <c r="C83" s="16" t="s">
        <v>54</v>
      </c>
      <c r="D83" s="51" t="s">
        <v>55</v>
      </c>
      <c r="E83" s="13">
        <v>6980.3</v>
      </c>
      <c r="F83" s="13">
        <f>SUM(E83*12)</f>
        <v>83763.600000000006</v>
      </c>
      <c r="G83" s="13">
        <v>2.1</v>
      </c>
      <c r="H83" s="91">
        <f>SUM(F83*G83/1000)</f>
        <v>175.90356000000003</v>
      </c>
      <c r="I83" s="13">
        <f>F83/12*G83</f>
        <v>14658.630000000001</v>
      </c>
    </row>
    <row r="84" spans="1:9" ht="31.5" customHeight="1">
      <c r="A84" s="32">
        <v>21</v>
      </c>
      <c r="B84" s="14" t="s">
        <v>78</v>
      </c>
      <c r="C84" s="16"/>
      <c r="D84" s="51" t="s">
        <v>55</v>
      </c>
      <c r="E84" s="78">
        <f>E83</f>
        <v>6980.3</v>
      </c>
      <c r="F84" s="13">
        <f>E84*12</f>
        <v>83763.600000000006</v>
      </c>
      <c r="G84" s="13">
        <v>1.63</v>
      </c>
      <c r="H84" s="91">
        <f>F84*G84/1000</f>
        <v>136.53466800000001</v>
      </c>
      <c r="I84" s="13">
        <f>F84/12*G84</f>
        <v>11377.888999999999</v>
      </c>
    </row>
    <row r="85" spans="1:9" ht="15.75" customHeight="1">
      <c r="A85" s="32"/>
      <c r="B85" s="40" t="s">
        <v>81</v>
      </c>
      <c r="C85" s="94"/>
      <c r="D85" s="93"/>
      <c r="E85" s="82"/>
      <c r="F85" s="82"/>
      <c r="G85" s="82"/>
      <c r="H85" s="95">
        <f>H84</f>
        <v>136.53466800000001</v>
      </c>
      <c r="I85" s="82">
        <f>I84+I83+I64+I61+I45+I44+I43+I42+I40+I39+I38+I27+I26+I25+I24+I21+I20+I18+I17++I16</f>
        <v>100726.51002766668</v>
      </c>
    </row>
    <row r="86" spans="1:9" ht="15.75" customHeight="1">
      <c r="A86" s="200" t="s">
        <v>60</v>
      </c>
      <c r="B86" s="201"/>
      <c r="C86" s="201"/>
      <c r="D86" s="201"/>
      <c r="E86" s="201"/>
      <c r="F86" s="201"/>
      <c r="G86" s="201"/>
      <c r="H86" s="201"/>
      <c r="I86" s="202"/>
    </row>
    <row r="87" spans="1:9" ht="15.75" customHeight="1">
      <c r="A87" s="32">
        <v>22</v>
      </c>
      <c r="B87" s="50" t="s">
        <v>83</v>
      </c>
      <c r="C87" s="62" t="s">
        <v>110</v>
      </c>
      <c r="D87" s="39"/>
      <c r="E87" s="17"/>
      <c r="F87" s="36">
        <v>8</v>
      </c>
      <c r="G87" s="36">
        <v>197.48</v>
      </c>
      <c r="H87" s="110">
        <f>G87*F87/1000</f>
        <v>1.5798399999999999</v>
      </c>
      <c r="I87" s="13">
        <f>G87*1</f>
        <v>197.48</v>
      </c>
    </row>
    <row r="88" spans="1:9" ht="31.5" customHeight="1">
      <c r="A88" s="32">
        <v>23</v>
      </c>
      <c r="B88" s="52" t="s">
        <v>214</v>
      </c>
      <c r="C88" s="53" t="s">
        <v>82</v>
      </c>
      <c r="D88" s="39"/>
      <c r="E88" s="17"/>
      <c r="F88" s="36">
        <v>47.5</v>
      </c>
      <c r="G88" s="36">
        <v>1712.18</v>
      </c>
      <c r="H88" s="110">
        <f t="shared" ref="H88:H89" si="7">G88*F88/1000</f>
        <v>81.328550000000007</v>
      </c>
      <c r="I88" s="13">
        <f>G88*0.6</f>
        <v>1027.308</v>
      </c>
    </row>
    <row r="89" spans="1:9" ht="15.75" customHeight="1">
      <c r="A89" s="32">
        <v>24</v>
      </c>
      <c r="B89" s="52" t="s">
        <v>199</v>
      </c>
      <c r="C89" s="53" t="s">
        <v>191</v>
      </c>
      <c r="D89" s="14"/>
      <c r="E89" s="18"/>
      <c r="F89" s="13">
        <v>1080</v>
      </c>
      <c r="G89" s="36">
        <v>134.12</v>
      </c>
      <c r="H89" s="91">
        <f t="shared" si="7"/>
        <v>144.84960000000001</v>
      </c>
      <c r="I89" s="13">
        <f>G89*22</f>
        <v>2950.6400000000003</v>
      </c>
    </row>
    <row r="90" spans="1:9" ht="15.75" customHeight="1">
      <c r="A90" s="32">
        <v>25</v>
      </c>
      <c r="B90" s="121" t="s">
        <v>215</v>
      </c>
      <c r="C90" s="122" t="s">
        <v>91</v>
      </c>
      <c r="D90" s="111"/>
      <c r="E90" s="36"/>
      <c r="F90" s="36">
        <f>(3+4+15+15+15+5+20+20+15+10+15+15+7+6+15+3)/3</f>
        <v>61</v>
      </c>
      <c r="G90" s="36">
        <v>1142.7</v>
      </c>
      <c r="H90" s="110">
        <f>G90*F90/1000</f>
        <v>69.704700000000003</v>
      </c>
      <c r="I90" s="13">
        <f>G90*0.0508</f>
        <v>58.049160000000001</v>
      </c>
    </row>
    <row r="91" spans="1:9" ht="31.5" customHeight="1">
      <c r="A91" s="32">
        <v>26</v>
      </c>
      <c r="B91" s="50" t="s">
        <v>195</v>
      </c>
      <c r="C91" s="62" t="s">
        <v>196</v>
      </c>
      <c r="D91" s="111"/>
      <c r="E91" s="36"/>
      <c r="F91" s="36">
        <v>26</v>
      </c>
      <c r="G91" s="36">
        <v>7709.44</v>
      </c>
      <c r="H91" s="110">
        <f t="shared" ref="H91:H94" si="8">G91*F91/1000</f>
        <v>200.44543999999999</v>
      </c>
      <c r="I91" s="13">
        <f>G91*0.01</f>
        <v>77.094399999999993</v>
      </c>
    </row>
    <row r="92" spans="1:9" ht="17.25" customHeight="1">
      <c r="A92" s="32" t="s">
        <v>239</v>
      </c>
      <c r="B92" s="50" t="s">
        <v>137</v>
      </c>
      <c r="C92" s="62" t="s">
        <v>110</v>
      </c>
      <c r="D92" s="39"/>
      <c r="E92" s="17"/>
      <c r="F92" s="36">
        <v>10</v>
      </c>
      <c r="G92" s="36">
        <v>55.55</v>
      </c>
      <c r="H92" s="110">
        <f t="shared" si="8"/>
        <v>0.55549999999999999</v>
      </c>
      <c r="I92" s="13">
        <f>G92*120</f>
        <v>6666</v>
      </c>
    </row>
    <row r="93" spans="1:9" ht="15.75" customHeight="1">
      <c r="A93" s="32">
        <v>28</v>
      </c>
      <c r="B93" s="52" t="s">
        <v>216</v>
      </c>
      <c r="C93" s="114" t="s">
        <v>217</v>
      </c>
      <c r="D93" s="111"/>
      <c r="E93" s="36"/>
      <c r="F93" s="36">
        <v>3</v>
      </c>
      <c r="G93" s="36">
        <v>161.49</v>
      </c>
      <c r="H93" s="110">
        <f t="shared" si="8"/>
        <v>0.48447000000000001</v>
      </c>
      <c r="I93" s="13">
        <f>G93*1</f>
        <v>161.49</v>
      </c>
    </row>
    <row r="94" spans="1:9" ht="32.25" customHeight="1">
      <c r="A94" s="32">
        <v>29</v>
      </c>
      <c r="B94" s="50" t="s">
        <v>151</v>
      </c>
      <c r="C94" s="62" t="s">
        <v>152</v>
      </c>
      <c r="D94" s="111"/>
      <c r="E94" s="36"/>
      <c r="F94" s="36">
        <v>1</v>
      </c>
      <c r="G94" s="36">
        <v>56.34</v>
      </c>
      <c r="H94" s="110">
        <f t="shared" si="8"/>
        <v>5.6340000000000001E-2</v>
      </c>
      <c r="I94" s="13">
        <f t="shared" ref="I94" si="9">G94</f>
        <v>56.34</v>
      </c>
    </row>
    <row r="95" spans="1:9" ht="31.5" customHeight="1">
      <c r="A95" s="32">
        <v>30</v>
      </c>
      <c r="B95" s="52" t="s">
        <v>218</v>
      </c>
      <c r="C95" s="114" t="s">
        <v>54</v>
      </c>
      <c r="D95" s="14"/>
      <c r="E95" s="18"/>
      <c r="F95" s="13">
        <v>41.5</v>
      </c>
      <c r="G95" s="123">
        <v>2390.31</v>
      </c>
      <c r="H95" s="91">
        <f>G95*F95/1000</f>
        <v>99.197864999999993</v>
      </c>
      <c r="I95" s="13">
        <f>G95*3</f>
        <v>7170.93</v>
      </c>
    </row>
    <row r="96" spans="1:9" ht="33" customHeight="1">
      <c r="A96" s="32">
        <v>31</v>
      </c>
      <c r="B96" s="50" t="s">
        <v>138</v>
      </c>
      <c r="C96" s="62" t="s">
        <v>37</v>
      </c>
      <c r="D96" s="14"/>
      <c r="E96" s="18"/>
      <c r="F96" s="13">
        <v>11</v>
      </c>
      <c r="G96" s="37">
        <v>3724.37</v>
      </c>
      <c r="H96" s="91">
        <f>G96*F96/1000</f>
        <v>40.968069999999997</v>
      </c>
      <c r="I96" s="13">
        <f>G96*0.01</f>
        <v>37.243699999999997</v>
      </c>
    </row>
    <row r="97" spans="1:9" ht="15.75" customHeight="1">
      <c r="A97" s="32">
        <v>32</v>
      </c>
      <c r="B97" s="50" t="s">
        <v>194</v>
      </c>
      <c r="C97" s="62" t="s">
        <v>110</v>
      </c>
      <c r="D97" s="47"/>
      <c r="E97" s="13"/>
      <c r="F97" s="13">
        <v>3</v>
      </c>
      <c r="G97" s="36">
        <v>1226.2</v>
      </c>
      <c r="H97" s="110">
        <f t="shared" ref="H97" si="10">G97*F97/1000</f>
        <v>3.6786000000000003</v>
      </c>
      <c r="I97" s="13">
        <f>G97*1</f>
        <v>1226.2</v>
      </c>
    </row>
    <row r="98" spans="1:9" ht="15.75" customHeight="1">
      <c r="A98" s="32"/>
      <c r="B98" s="45" t="s">
        <v>51</v>
      </c>
      <c r="C98" s="41"/>
      <c r="D98" s="48"/>
      <c r="E98" s="41">
        <v>1</v>
      </c>
      <c r="F98" s="41"/>
      <c r="G98" s="41"/>
      <c r="H98" s="41"/>
      <c r="I98" s="34">
        <f>SUM(I87:I97)-I92</f>
        <v>12962.775259999999</v>
      </c>
    </row>
    <row r="99" spans="1:9">
      <c r="A99" s="32"/>
      <c r="B99" s="47" t="s">
        <v>79</v>
      </c>
      <c r="C99" s="15"/>
      <c r="D99" s="15"/>
      <c r="E99" s="42"/>
      <c r="F99" s="42"/>
      <c r="G99" s="43"/>
      <c r="H99" s="43"/>
      <c r="I99" s="17">
        <v>0</v>
      </c>
    </row>
    <row r="100" spans="1:9">
      <c r="A100" s="49"/>
      <c r="B100" s="46" t="s">
        <v>179</v>
      </c>
      <c r="C100" s="35"/>
      <c r="D100" s="35"/>
      <c r="E100" s="35"/>
      <c r="F100" s="35"/>
      <c r="G100" s="35"/>
      <c r="H100" s="35"/>
      <c r="I100" s="44">
        <f>I85+I98</f>
        <v>113689.28528766667</v>
      </c>
    </row>
    <row r="101" spans="1:9">
      <c r="A101" s="203" t="s">
        <v>240</v>
      </c>
      <c r="B101" s="204"/>
      <c r="C101" s="204"/>
      <c r="D101" s="204"/>
      <c r="E101" s="204"/>
      <c r="F101" s="204"/>
      <c r="G101" s="204"/>
      <c r="H101" s="204"/>
      <c r="I101" s="204"/>
    </row>
    <row r="102" spans="1:9" ht="15.75">
      <c r="A102" s="192" t="s">
        <v>241</v>
      </c>
      <c r="B102" s="192"/>
      <c r="C102" s="192"/>
      <c r="D102" s="192"/>
      <c r="E102" s="192"/>
      <c r="F102" s="192"/>
      <c r="G102" s="192"/>
      <c r="H102" s="192"/>
      <c r="I102" s="192"/>
    </row>
    <row r="103" spans="1:9" ht="15.75" customHeight="1">
      <c r="A103" s="60"/>
      <c r="B103" s="193" t="s">
        <v>242</v>
      </c>
      <c r="C103" s="193"/>
      <c r="D103" s="193"/>
      <c r="E103" s="193"/>
      <c r="F103" s="193"/>
      <c r="G103" s="193"/>
      <c r="H103" s="75"/>
      <c r="I103" s="3"/>
    </row>
    <row r="104" spans="1:9">
      <c r="A104" s="69"/>
      <c r="B104" s="194" t="s">
        <v>6</v>
      </c>
      <c r="C104" s="194"/>
      <c r="D104" s="194"/>
      <c r="E104" s="194"/>
      <c r="F104" s="194"/>
      <c r="G104" s="194"/>
      <c r="H104" s="27"/>
      <c r="I104" s="5"/>
    </row>
    <row r="105" spans="1:9">
      <c r="A105" s="10"/>
      <c r="B105" s="10"/>
      <c r="C105" s="10"/>
      <c r="D105" s="10"/>
      <c r="E105" s="10"/>
      <c r="F105" s="10"/>
      <c r="G105" s="10"/>
      <c r="H105" s="10"/>
      <c r="I105" s="10"/>
    </row>
    <row r="106" spans="1:9" ht="15.75">
      <c r="A106" s="195" t="s">
        <v>7</v>
      </c>
      <c r="B106" s="195"/>
      <c r="C106" s="195"/>
      <c r="D106" s="195"/>
      <c r="E106" s="195"/>
      <c r="F106" s="195"/>
      <c r="G106" s="195"/>
      <c r="H106" s="195"/>
      <c r="I106" s="195"/>
    </row>
    <row r="107" spans="1:9" ht="15.75">
      <c r="A107" s="195" t="s">
        <v>8</v>
      </c>
      <c r="B107" s="195"/>
      <c r="C107" s="195"/>
      <c r="D107" s="195"/>
      <c r="E107" s="195"/>
      <c r="F107" s="195"/>
      <c r="G107" s="195"/>
      <c r="H107" s="195"/>
      <c r="I107" s="195"/>
    </row>
    <row r="108" spans="1:9" ht="15.75">
      <c r="A108" s="196" t="s">
        <v>61</v>
      </c>
      <c r="B108" s="196"/>
      <c r="C108" s="196"/>
      <c r="D108" s="196"/>
      <c r="E108" s="196"/>
      <c r="F108" s="196"/>
      <c r="G108" s="196"/>
      <c r="H108" s="196"/>
      <c r="I108" s="196"/>
    </row>
    <row r="109" spans="1:9" ht="15.75">
      <c r="A109" s="11"/>
    </row>
    <row r="110" spans="1:9" ht="15.75">
      <c r="A110" s="197" t="s">
        <v>9</v>
      </c>
      <c r="B110" s="197"/>
      <c r="C110" s="197"/>
      <c r="D110" s="197"/>
      <c r="E110" s="197"/>
      <c r="F110" s="197"/>
      <c r="G110" s="197"/>
      <c r="H110" s="197"/>
      <c r="I110" s="197"/>
    </row>
    <row r="111" spans="1:9" ht="15.75" customHeight="1">
      <c r="A111" s="4"/>
    </row>
    <row r="112" spans="1:9" ht="15.75" customHeight="1">
      <c r="B112" s="66" t="s">
        <v>10</v>
      </c>
      <c r="C112" s="198" t="s">
        <v>142</v>
      </c>
      <c r="D112" s="198"/>
      <c r="E112" s="198"/>
      <c r="F112" s="73"/>
      <c r="I112" s="68"/>
    </row>
    <row r="113" spans="1:9" ht="15.75" customHeight="1">
      <c r="A113" s="69"/>
      <c r="C113" s="194" t="s">
        <v>11</v>
      </c>
      <c r="D113" s="194"/>
      <c r="E113" s="194"/>
      <c r="F113" s="27"/>
      <c r="I113" s="67" t="s">
        <v>12</v>
      </c>
    </row>
    <row r="114" spans="1:9" ht="15.75" customHeight="1">
      <c r="A114" s="28"/>
      <c r="C114" s="12"/>
      <c r="D114" s="12"/>
      <c r="G114" s="12"/>
      <c r="H114" s="12"/>
    </row>
    <row r="115" spans="1:9" ht="15.75">
      <c r="B115" s="66" t="s">
        <v>13</v>
      </c>
      <c r="C115" s="199"/>
      <c r="D115" s="199"/>
      <c r="E115" s="199"/>
      <c r="F115" s="74"/>
      <c r="I115" s="68"/>
    </row>
    <row r="116" spans="1:9">
      <c r="A116" s="69"/>
      <c r="C116" s="188" t="s">
        <v>11</v>
      </c>
      <c r="D116" s="188"/>
      <c r="E116" s="188"/>
      <c r="F116" s="69"/>
      <c r="I116" s="67" t="s">
        <v>12</v>
      </c>
    </row>
    <row r="117" spans="1:9" ht="15.75">
      <c r="A117" s="4" t="s">
        <v>14</v>
      </c>
    </row>
    <row r="118" spans="1:9">
      <c r="A118" s="186" t="s">
        <v>15</v>
      </c>
      <c r="B118" s="186"/>
      <c r="C118" s="186"/>
      <c r="D118" s="186"/>
      <c r="E118" s="186"/>
      <c r="F118" s="186"/>
      <c r="G118" s="186"/>
      <c r="H118" s="186"/>
      <c r="I118" s="186"/>
    </row>
    <row r="119" spans="1:9" ht="45" customHeight="1">
      <c r="A119" s="187" t="s">
        <v>16</v>
      </c>
      <c r="B119" s="187"/>
      <c r="C119" s="187"/>
      <c r="D119" s="187"/>
      <c r="E119" s="187"/>
      <c r="F119" s="187"/>
      <c r="G119" s="187"/>
      <c r="H119" s="187"/>
      <c r="I119" s="187"/>
    </row>
    <row r="120" spans="1:9" ht="30" customHeight="1">
      <c r="A120" s="187" t="s">
        <v>17</v>
      </c>
      <c r="B120" s="187"/>
      <c r="C120" s="187"/>
      <c r="D120" s="187"/>
      <c r="E120" s="187"/>
      <c r="F120" s="187"/>
      <c r="G120" s="187"/>
      <c r="H120" s="187"/>
      <c r="I120" s="187"/>
    </row>
    <row r="121" spans="1:9" ht="30" customHeight="1">
      <c r="A121" s="187" t="s">
        <v>21</v>
      </c>
      <c r="B121" s="187"/>
      <c r="C121" s="187"/>
      <c r="D121" s="187"/>
      <c r="E121" s="187"/>
      <c r="F121" s="187"/>
      <c r="G121" s="187"/>
      <c r="H121" s="187"/>
      <c r="I121" s="187"/>
    </row>
    <row r="122" spans="1:9" ht="15" customHeight="1">
      <c r="A122" s="187" t="s">
        <v>20</v>
      </c>
      <c r="B122" s="187"/>
      <c r="C122" s="187"/>
      <c r="D122" s="187"/>
      <c r="E122" s="187"/>
      <c r="F122" s="187"/>
      <c r="G122" s="187"/>
      <c r="H122" s="187"/>
      <c r="I122" s="187"/>
    </row>
  </sheetData>
  <autoFilter ref="I12:I60"/>
  <mergeCells count="30">
    <mergeCell ref="A119:I119"/>
    <mergeCell ref="A120:I120"/>
    <mergeCell ref="A121:I121"/>
    <mergeCell ref="A122:I122"/>
    <mergeCell ref="A110:I110"/>
    <mergeCell ref="C112:E112"/>
    <mergeCell ref="C113:E113"/>
    <mergeCell ref="C115:E115"/>
    <mergeCell ref="C116:E116"/>
    <mergeCell ref="A118:I118"/>
    <mergeCell ref="A108:I108"/>
    <mergeCell ref="A15:I15"/>
    <mergeCell ref="A28:I28"/>
    <mergeCell ref="A46:I46"/>
    <mergeCell ref="A56:I56"/>
    <mergeCell ref="A86:I86"/>
    <mergeCell ref="A102:I102"/>
    <mergeCell ref="B103:G103"/>
    <mergeCell ref="B104:G104"/>
    <mergeCell ref="A106:I106"/>
    <mergeCell ref="A107:I107"/>
    <mergeCell ref="A101:I101"/>
    <mergeCell ref="R66:U66"/>
    <mergeCell ref="A82:I82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50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23"/>
  <sheetViews>
    <sheetView topLeftCell="A84" workbookViewId="0">
      <selection activeCell="B104" sqref="B104:G104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87</v>
      </c>
      <c r="I1" s="29"/>
      <c r="J1" s="1"/>
      <c r="K1" s="1"/>
      <c r="L1" s="1"/>
      <c r="M1" s="1"/>
    </row>
    <row r="2" spans="1:13" ht="15.75">
      <c r="A2" s="31" t="s">
        <v>62</v>
      </c>
      <c r="J2" s="2"/>
      <c r="K2" s="2"/>
      <c r="L2" s="2"/>
      <c r="M2" s="2"/>
    </row>
    <row r="3" spans="1:13" ht="15.75" customHeight="1">
      <c r="A3" s="210" t="s">
        <v>169</v>
      </c>
      <c r="B3" s="210"/>
      <c r="C3" s="210"/>
      <c r="D3" s="210"/>
      <c r="E3" s="210"/>
      <c r="F3" s="210"/>
      <c r="G3" s="210"/>
      <c r="H3" s="210"/>
      <c r="I3" s="210"/>
      <c r="J3" s="3"/>
      <c r="K3" s="3"/>
      <c r="L3" s="3"/>
    </row>
    <row r="4" spans="1:13" ht="31.5" customHeight="1">
      <c r="A4" s="211" t="s">
        <v>139</v>
      </c>
      <c r="B4" s="211"/>
      <c r="C4" s="211"/>
      <c r="D4" s="211"/>
      <c r="E4" s="211"/>
      <c r="F4" s="211"/>
      <c r="G4" s="211"/>
      <c r="H4" s="211"/>
      <c r="I4" s="211"/>
    </row>
    <row r="5" spans="1:13" ht="15.75">
      <c r="A5" s="210" t="s">
        <v>219</v>
      </c>
      <c r="B5" s="212"/>
      <c r="C5" s="212"/>
      <c r="D5" s="212"/>
      <c r="E5" s="212"/>
      <c r="F5" s="212"/>
      <c r="G5" s="212"/>
      <c r="H5" s="212"/>
      <c r="I5" s="212"/>
      <c r="J5" s="2"/>
      <c r="K5" s="2"/>
      <c r="L5" s="2"/>
      <c r="M5" s="2"/>
    </row>
    <row r="6" spans="1:13" ht="15.75">
      <c r="A6" s="2"/>
      <c r="B6" s="65"/>
      <c r="C6" s="65"/>
      <c r="D6" s="65"/>
      <c r="E6" s="65"/>
      <c r="F6" s="65"/>
      <c r="G6" s="65"/>
      <c r="H6" s="65"/>
      <c r="I6" s="33">
        <v>43251</v>
      </c>
      <c r="J6" s="2"/>
      <c r="K6" s="2"/>
      <c r="L6" s="2"/>
      <c r="M6" s="2"/>
    </row>
    <row r="7" spans="1:13" ht="15.75">
      <c r="B7" s="66"/>
      <c r="C7" s="66"/>
      <c r="D7" s="66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213" t="s">
        <v>145</v>
      </c>
      <c r="B8" s="213"/>
      <c r="C8" s="213"/>
      <c r="D8" s="213"/>
      <c r="E8" s="213"/>
      <c r="F8" s="213"/>
      <c r="G8" s="213"/>
      <c r="H8" s="213"/>
      <c r="I8" s="213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214" t="s">
        <v>175</v>
      </c>
      <c r="B10" s="214"/>
      <c r="C10" s="214"/>
      <c r="D10" s="214"/>
      <c r="E10" s="214"/>
      <c r="F10" s="214"/>
      <c r="G10" s="214"/>
      <c r="H10" s="214"/>
      <c r="I10" s="214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09" t="s">
        <v>59</v>
      </c>
      <c r="B14" s="209"/>
      <c r="C14" s="209"/>
      <c r="D14" s="209"/>
      <c r="E14" s="209"/>
      <c r="F14" s="209"/>
      <c r="G14" s="209"/>
      <c r="H14" s="209"/>
      <c r="I14" s="209"/>
      <c r="J14" s="8"/>
      <c r="K14" s="8"/>
      <c r="L14" s="8"/>
      <c r="M14" s="8"/>
    </row>
    <row r="15" spans="1:13" ht="15" customHeight="1">
      <c r="A15" s="205" t="s">
        <v>4</v>
      </c>
      <c r="B15" s="205"/>
      <c r="C15" s="205"/>
      <c r="D15" s="205"/>
      <c r="E15" s="205"/>
      <c r="F15" s="205"/>
      <c r="G15" s="205"/>
      <c r="H15" s="205"/>
      <c r="I15" s="205"/>
      <c r="J15" s="8"/>
      <c r="K15" s="8"/>
      <c r="L15" s="8"/>
      <c r="M15" s="8"/>
    </row>
    <row r="16" spans="1:13" ht="15.75" customHeight="1">
      <c r="A16" s="32">
        <v>1</v>
      </c>
      <c r="B16" s="76" t="s">
        <v>88</v>
      </c>
      <c r="C16" s="77" t="s">
        <v>89</v>
      </c>
      <c r="D16" s="76" t="s">
        <v>178</v>
      </c>
      <c r="E16" s="78">
        <v>208.08</v>
      </c>
      <c r="F16" s="79">
        <f>SUM(E16*156/100)</f>
        <v>324.60480000000001</v>
      </c>
      <c r="G16" s="79">
        <v>175.38</v>
      </c>
      <c r="H16" s="80">
        <f t="shared" ref="H16:H25" si="0">SUM(F16*G16/1000)</f>
        <v>56.929189823999998</v>
      </c>
      <c r="I16" s="13">
        <f>F16/12*G16</f>
        <v>4744.0991519999998</v>
      </c>
      <c r="J16" s="24"/>
      <c r="K16" s="8"/>
      <c r="L16" s="8"/>
      <c r="M16" s="8"/>
    </row>
    <row r="17" spans="1:13" ht="15.75" customHeight="1">
      <c r="A17" s="32">
        <v>2</v>
      </c>
      <c r="B17" s="76" t="s">
        <v>119</v>
      </c>
      <c r="C17" s="77" t="s">
        <v>89</v>
      </c>
      <c r="D17" s="76" t="s">
        <v>177</v>
      </c>
      <c r="E17" s="78">
        <v>832.32</v>
      </c>
      <c r="F17" s="79">
        <f>SUM(E17*104/100)</f>
        <v>865.61279999999999</v>
      </c>
      <c r="G17" s="79">
        <v>175.38</v>
      </c>
      <c r="H17" s="80">
        <f t="shared" si="0"/>
        <v>151.81117286399999</v>
      </c>
      <c r="I17" s="13">
        <f>F17/12*G17</f>
        <v>12650.931071999999</v>
      </c>
      <c r="J17" s="25"/>
      <c r="K17" s="8"/>
      <c r="L17" s="8"/>
      <c r="M17" s="8"/>
    </row>
    <row r="18" spans="1:13" ht="15.75" customHeight="1">
      <c r="A18" s="32">
        <v>3</v>
      </c>
      <c r="B18" s="76" t="s">
        <v>120</v>
      </c>
      <c r="C18" s="77" t="s">
        <v>89</v>
      </c>
      <c r="D18" s="76" t="s">
        <v>176</v>
      </c>
      <c r="E18" s="78">
        <v>1040.4000000000001</v>
      </c>
      <c r="F18" s="79">
        <f>SUM(E18*24/100)</f>
        <v>249.69600000000003</v>
      </c>
      <c r="G18" s="79">
        <v>504.5</v>
      </c>
      <c r="H18" s="80">
        <f t="shared" si="0"/>
        <v>125.97163200000001</v>
      </c>
      <c r="I18" s="13">
        <f>F18/12*G18</f>
        <v>10497.636000000002</v>
      </c>
      <c r="J18" s="25"/>
      <c r="K18" s="8"/>
      <c r="L18" s="8"/>
      <c r="M18" s="8"/>
    </row>
    <row r="19" spans="1:13" ht="15.75" customHeight="1">
      <c r="A19" s="32">
        <v>4</v>
      </c>
      <c r="B19" s="76" t="s">
        <v>96</v>
      </c>
      <c r="C19" s="77" t="s">
        <v>97</v>
      </c>
      <c r="D19" s="76" t="s">
        <v>98</v>
      </c>
      <c r="E19" s="78">
        <v>48</v>
      </c>
      <c r="F19" s="79">
        <f>SUM(E19/10)</f>
        <v>4.8</v>
      </c>
      <c r="G19" s="79">
        <v>170.16</v>
      </c>
      <c r="H19" s="80">
        <f t="shared" si="0"/>
        <v>0.81676799999999994</v>
      </c>
      <c r="I19" s="13">
        <f>F19/2*G19</f>
        <v>408.38399999999996</v>
      </c>
      <c r="J19" s="25"/>
      <c r="K19" s="8"/>
      <c r="L19" s="8"/>
      <c r="M19" s="8"/>
    </row>
    <row r="20" spans="1:13" ht="15.75" customHeight="1">
      <c r="A20" s="32">
        <v>5</v>
      </c>
      <c r="B20" s="76" t="s">
        <v>99</v>
      </c>
      <c r="C20" s="77" t="s">
        <v>89</v>
      </c>
      <c r="D20" s="76" t="s">
        <v>121</v>
      </c>
      <c r="E20" s="78">
        <v>30.6</v>
      </c>
      <c r="F20" s="79">
        <f>SUM(E20*12/100)</f>
        <v>3.6720000000000006</v>
      </c>
      <c r="G20" s="79">
        <v>217.88</v>
      </c>
      <c r="H20" s="80">
        <f t="shared" si="0"/>
        <v>0.8000553600000001</v>
      </c>
      <c r="I20" s="13">
        <f>F20/12*G20</f>
        <v>66.67128000000001</v>
      </c>
      <c r="J20" s="25"/>
      <c r="K20" s="8"/>
      <c r="L20" s="8"/>
      <c r="M20" s="8"/>
    </row>
    <row r="21" spans="1:13" ht="15.75" customHeight="1">
      <c r="A21" s="32">
        <v>6</v>
      </c>
      <c r="B21" s="76" t="s">
        <v>100</v>
      </c>
      <c r="C21" s="77" t="s">
        <v>89</v>
      </c>
      <c r="D21" s="76" t="s">
        <v>30</v>
      </c>
      <c r="E21" s="78">
        <v>10.06</v>
      </c>
      <c r="F21" s="79">
        <f>SUM(E21*12/100)</f>
        <v>1.2072000000000001</v>
      </c>
      <c r="G21" s="79">
        <v>216.12</v>
      </c>
      <c r="H21" s="80">
        <f t="shared" si="0"/>
        <v>0.26090006400000004</v>
      </c>
      <c r="I21" s="13">
        <f>F21/12*G21</f>
        <v>21.741672000000001</v>
      </c>
      <c r="J21" s="25"/>
      <c r="K21" s="8"/>
      <c r="L21" s="8"/>
      <c r="M21" s="8"/>
    </row>
    <row r="22" spans="1:13" ht="15.75" customHeight="1">
      <c r="A22" s="32">
        <v>7</v>
      </c>
      <c r="B22" s="76" t="s">
        <v>101</v>
      </c>
      <c r="C22" s="77" t="s">
        <v>52</v>
      </c>
      <c r="D22" s="76" t="s">
        <v>98</v>
      </c>
      <c r="E22" s="78">
        <v>769.2</v>
      </c>
      <c r="F22" s="79">
        <f>SUM(E22/100)</f>
        <v>7.6920000000000002</v>
      </c>
      <c r="G22" s="79">
        <v>269.26</v>
      </c>
      <c r="H22" s="80">
        <f t="shared" si="0"/>
        <v>2.07114792</v>
      </c>
      <c r="I22" s="13">
        <f>F22*G22</f>
        <v>2071.1479199999999</v>
      </c>
      <c r="J22" s="25"/>
      <c r="K22" s="8"/>
      <c r="L22" s="8"/>
      <c r="M22" s="8"/>
    </row>
    <row r="23" spans="1:13" ht="15.75" customHeight="1">
      <c r="A23" s="32">
        <v>8</v>
      </c>
      <c r="B23" s="76" t="s">
        <v>102</v>
      </c>
      <c r="C23" s="77" t="s">
        <v>52</v>
      </c>
      <c r="D23" s="76" t="s">
        <v>98</v>
      </c>
      <c r="E23" s="81">
        <v>35.28</v>
      </c>
      <c r="F23" s="79">
        <f>SUM(E23/100)</f>
        <v>0.3528</v>
      </c>
      <c r="G23" s="79">
        <v>44.29</v>
      </c>
      <c r="H23" s="80">
        <f t="shared" si="0"/>
        <v>1.5625512000000001E-2</v>
      </c>
      <c r="I23" s="13">
        <f>F23*G23</f>
        <v>15.625512000000001</v>
      </c>
      <c r="J23" s="25"/>
      <c r="K23" s="8"/>
      <c r="L23" s="8"/>
      <c r="M23" s="8"/>
    </row>
    <row r="24" spans="1:13" ht="15.75" customHeight="1">
      <c r="A24" s="32">
        <v>9</v>
      </c>
      <c r="B24" s="76" t="s">
        <v>103</v>
      </c>
      <c r="C24" s="77" t="s">
        <v>52</v>
      </c>
      <c r="D24" s="76" t="s">
        <v>30</v>
      </c>
      <c r="E24" s="78">
        <v>10.8</v>
      </c>
      <c r="F24" s="79">
        <f>E24*12/100</f>
        <v>1.2960000000000003</v>
      </c>
      <c r="G24" s="79">
        <v>389.72</v>
      </c>
      <c r="H24" s="80">
        <f t="shared" si="0"/>
        <v>0.50507712000000016</v>
      </c>
      <c r="I24" s="13">
        <f>F24/12*G24</f>
        <v>42.089760000000012</v>
      </c>
      <c r="J24" s="25"/>
      <c r="K24" s="8"/>
      <c r="L24" s="8"/>
      <c r="M24" s="8"/>
    </row>
    <row r="25" spans="1:13" ht="15.75" customHeight="1">
      <c r="A25" s="32">
        <v>10</v>
      </c>
      <c r="B25" s="76" t="s">
        <v>104</v>
      </c>
      <c r="C25" s="77" t="s">
        <v>52</v>
      </c>
      <c r="D25" s="76" t="s">
        <v>122</v>
      </c>
      <c r="E25" s="78">
        <v>21.6</v>
      </c>
      <c r="F25" s="79">
        <f>SUM(E25*12/100)</f>
        <v>2.5920000000000005</v>
      </c>
      <c r="G25" s="79">
        <v>520.79999999999995</v>
      </c>
      <c r="H25" s="80">
        <f t="shared" si="0"/>
        <v>1.3499136</v>
      </c>
      <c r="I25" s="13">
        <f>F25/12*G25</f>
        <v>112.49280000000002</v>
      </c>
      <c r="J25" s="25"/>
      <c r="K25" s="8"/>
      <c r="L25" s="8"/>
      <c r="M25" s="8"/>
    </row>
    <row r="26" spans="1:13" ht="15.75" customHeight="1">
      <c r="A26" s="32">
        <v>11</v>
      </c>
      <c r="B26" s="76" t="s">
        <v>64</v>
      </c>
      <c r="C26" s="77" t="s">
        <v>33</v>
      </c>
      <c r="D26" s="76"/>
      <c r="E26" s="78">
        <v>0.1</v>
      </c>
      <c r="F26" s="79">
        <f>SUM(E26*365)</f>
        <v>36.5</v>
      </c>
      <c r="G26" s="79">
        <v>147.03</v>
      </c>
      <c r="H26" s="80">
        <f>SUM(F26*G26/1000)</f>
        <v>5.3665950000000002</v>
      </c>
      <c r="I26" s="13">
        <f>F26/12*G26</f>
        <v>447.21625</v>
      </c>
      <c r="J26" s="26"/>
    </row>
    <row r="27" spans="1:13" ht="15.75" customHeight="1">
      <c r="A27" s="32">
        <v>12</v>
      </c>
      <c r="B27" s="84" t="s">
        <v>23</v>
      </c>
      <c r="C27" s="77" t="s">
        <v>24</v>
      </c>
      <c r="D27" s="76"/>
      <c r="E27" s="78">
        <v>6980.3</v>
      </c>
      <c r="F27" s="79">
        <f>SUM(E27*12)</f>
        <v>83763.600000000006</v>
      </c>
      <c r="G27" s="79">
        <v>4.4000000000000004</v>
      </c>
      <c r="H27" s="80">
        <f>SUM(F27*G27/1000)</f>
        <v>368.55984000000007</v>
      </c>
      <c r="I27" s="13">
        <f>F27/12*G27</f>
        <v>30713.320000000003</v>
      </c>
      <c r="J27" s="26"/>
    </row>
    <row r="28" spans="1:13" ht="15" customHeight="1">
      <c r="A28" s="205" t="s">
        <v>86</v>
      </c>
      <c r="B28" s="205"/>
      <c r="C28" s="205"/>
      <c r="D28" s="205"/>
      <c r="E28" s="205"/>
      <c r="F28" s="205"/>
      <c r="G28" s="205"/>
      <c r="H28" s="205"/>
      <c r="I28" s="205"/>
      <c r="J28" s="25"/>
      <c r="K28" s="8"/>
      <c r="L28" s="8"/>
      <c r="M28" s="8"/>
    </row>
    <row r="29" spans="1:13" ht="15.75" customHeight="1">
      <c r="A29" s="32"/>
      <c r="B29" s="100" t="s">
        <v>28</v>
      </c>
      <c r="C29" s="77"/>
      <c r="D29" s="76"/>
      <c r="E29" s="78"/>
      <c r="F29" s="79"/>
      <c r="G29" s="79"/>
      <c r="H29" s="80"/>
      <c r="I29" s="13"/>
      <c r="J29" s="25"/>
      <c r="K29" s="8"/>
      <c r="L29" s="8"/>
      <c r="M29" s="8"/>
    </row>
    <row r="30" spans="1:13" ht="15.75" customHeight="1">
      <c r="A30" s="32">
        <v>13</v>
      </c>
      <c r="B30" s="76" t="s">
        <v>108</v>
      </c>
      <c r="C30" s="77" t="s">
        <v>91</v>
      </c>
      <c r="D30" s="76" t="s">
        <v>185</v>
      </c>
      <c r="E30" s="79">
        <v>1168.05</v>
      </c>
      <c r="F30" s="79">
        <f>SUM(E30*52/1000)</f>
        <v>60.738599999999998</v>
      </c>
      <c r="G30" s="79">
        <v>155.88999999999999</v>
      </c>
      <c r="H30" s="80">
        <f t="shared" ref="H30:H36" si="1">SUM(F30*G30/1000)</f>
        <v>9.4685403539999982</v>
      </c>
      <c r="I30" s="13">
        <f>F30/6*G30</f>
        <v>1578.0900589999997</v>
      </c>
      <c r="J30" s="25"/>
      <c r="K30" s="8"/>
      <c r="L30" s="8"/>
      <c r="M30" s="8"/>
    </row>
    <row r="31" spans="1:13" ht="31.5" customHeight="1">
      <c r="A31" s="32">
        <v>14</v>
      </c>
      <c r="B31" s="76" t="s">
        <v>124</v>
      </c>
      <c r="C31" s="77" t="s">
        <v>91</v>
      </c>
      <c r="D31" s="76" t="s">
        <v>186</v>
      </c>
      <c r="E31" s="79">
        <v>1039.2</v>
      </c>
      <c r="F31" s="79">
        <f>SUM(E31*78/1000)</f>
        <v>81.057600000000008</v>
      </c>
      <c r="G31" s="79">
        <v>258.63</v>
      </c>
      <c r="H31" s="80">
        <f t="shared" si="1"/>
        <v>20.963927088000002</v>
      </c>
      <c r="I31" s="13">
        <f t="shared" ref="I31:I34" si="2">F31/6*G31</f>
        <v>3493.9878480000002</v>
      </c>
      <c r="J31" s="25"/>
      <c r="K31" s="8"/>
      <c r="L31" s="8"/>
      <c r="M31" s="8"/>
    </row>
    <row r="32" spans="1:13" ht="15.75" customHeight="1">
      <c r="A32" s="32">
        <v>15</v>
      </c>
      <c r="B32" s="76" t="s">
        <v>27</v>
      </c>
      <c r="C32" s="77" t="s">
        <v>91</v>
      </c>
      <c r="D32" s="76" t="s">
        <v>53</v>
      </c>
      <c r="E32" s="79">
        <v>584.03</v>
      </c>
      <c r="F32" s="79">
        <f>SUM(E32/1000)</f>
        <v>0.58402999999999994</v>
      </c>
      <c r="G32" s="79">
        <v>3020.33</v>
      </c>
      <c r="H32" s="80">
        <f t="shared" si="1"/>
        <v>1.7639633298999997</v>
      </c>
      <c r="I32" s="13">
        <f>F32*G32</f>
        <v>1763.9633298999997</v>
      </c>
      <c r="J32" s="25"/>
      <c r="K32" s="8"/>
      <c r="L32" s="8"/>
      <c r="M32" s="8"/>
    </row>
    <row r="33" spans="1:14" ht="15.75" customHeight="1">
      <c r="A33" s="32">
        <v>16</v>
      </c>
      <c r="B33" s="76" t="s">
        <v>123</v>
      </c>
      <c r="C33" s="77" t="s">
        <v>39</v>
      </c>
      <c r="D33" s="76" t="s">
        <v>63</v>
      </c>
      <c r="E33" s="79">
        <v>6</v>
      </c>
      <c r="F33" s="79">
        <f>E33*155/100</f>
        <v>9.3000000000000007</v>
      </c>
      <c r="G33" s="79">
        <v>1302.02</v>
      </c>
      <c r="H33" s="80">
        <f>G33*F33/1000</f>
        <v>12.108786</v>
      </c>
      <c r="I33" s="13">
        <f t="shared" si="2"/>
        <v>2018.1310000000001</v>
      </c>
      <c r="J33" s="25"/>
      <c r="K33" s="8"/>
      <c r="L33" s="8"/>
      <c r="M33" s="8"/>
    </row>
    <row r="34" spans="1:14" ht="15.75" customHeight="1">
      <c r="A34" s="32">
        <v>17</v>
      </c>
      <c r="B34" s="76" t="s">
        <v>107</v>
      </c>
      <c r="C34" s="77" t="s">
        <v>31</v>
      </c>
      <c r="D34" s="76" t="s">
        <v>63</v>
      </c>
      <c r="E34" s="83">
        <v>0.33333333333333331</v>
      </c>
      <c r="F34" s="79">
        <f>155/3</f>
        <v>51.666666666666664</v>
      </c>
      <c r="G34" s="79">
        <v>56.69</v>
      </c>
      <c r="H34" s="80">
        <f>SUM(G34*155/3/1000)</f>
        <v>2.9289833333333331</v>
      </c>
      <c r="I34" s="13">
        <f t="shared" si="2"/>
        <v>488.16388888888883</v>
      </c>
      <c r="J34" s="25"/>
      <c r="K34" s="8"/>
    </row>
    <row r="35" spans="1:14" ht="15.75" hidden="1" customHeight="1">
      <c r="A35" s="32"/>
      <c r="B35" s="76" t="s">
        <v>65</v>
      </c>
      <c r="C35" s="77" t="s">
        <v>33</v>
      </c>
      <c r="D35" s="76" t="s">
        <v>67</v>
      </c>
      <c r="E35" s="78"/>
      <c r="F35" s="79">
        <v>4</v>
      </c>
      <c r="G35" s="79">
        <v>180.15</v>
      </c>
      <c r="H35" s="80">
        <f t="shared" si="1"/>
        <v>0.72060000000000002</v>
      </c>
      <c r="I35" s="13">
        <v>0</v>
      </c>
      <c r="J35" s="26"/>
    </row>
    <row r="36" spans="1:14" ht="15.75" hidden="1" customHeight="1">
      <c r="A36" s="32"/>
      <c r="B36" s="76" t="s">
        <v>66</v>
      </c>
      <c r="C36" s="77" t="s">
        <v>32</v>
      </c>
      <c r="D36" s="76" t="s">
        <v>67</v>
      </c>
      <c r="E36" s="78"/>
      <c r="F36" s="79">
        <v>3</v>
      </c>
      <c r="G36" s="79">
        <v>1136.33</v>
      </c>
      <c r="H36" s="80">
        <f t="shared" si="1"/>
        <v>3.4089899999999997</v>
      </c>
      <c r="I36" s="13">
        <v>0</v>
      </c>
      <c r="J36" s="26"/>
    </row>
    <row r="37" spans="1:14" ht="15.75" hidden="1" customHeight="1">
      <c r="A37" s="32"/>
      <c r="B37" s="100" t="s">
        <v>5</v>
      </c>
      <c r="C37" s="77"/>
      <c r="D37" s="76"/>
      <c r="E37" s="78"/>
      <c r="F37" s="79"/>
      <c r="G37" s="79"/>
      <c r="H37" s="80" t="s">
        <v>150</v>
      </c>
      <c r="I37" s="13"/>
      <c r="J37" s="26"/>
    </row>
    <row r="38" spans="1:14" ht="15.75" hidden="1" customHeight="1">
      <c r="A38" s="32">
        <v>10</v>
      </c>
      <c r="B38" s="76" t="s">
        <v>26</v>
      </c>
      <c r="C38" s="77" t="s">
        <v>32</v>
      </c>
      <c r="D38" s="76"/>
      <c r="E38" s="78"/>
      <c r="F38" s="79">
        <v>10</v>
      </c>
      <c r="G38" s="79">
        <v>1527.22</v>
      </c>
      <c r="H38" s="80">
        <f t="shared" ref="H38:H45" si="3">SUM(F38*G38/1000)</f>
        <v>15.272200000000002</v>
      </c>
      <c r="I38" s="13">
        <f>F38/6*G38</f>
        <v>2545.3666666666668</v>
      </c>
      <c r="J38" s="26"/>
    </row>
    <row r="39" spans="1:14" ht="15.75" hidden="1" customHeight="1">
      <c r="A39" s="32">
        <v>11</v>
      </c>
      <c r="B39" s="76" t="s">
        <v>125</v>
      </c>
      <c r="C39" s="77" t="s">
        <v>33</v>
      </c>
      <c r="D39" s="76"/>
      <c r="E39" s="78"/>
      <c r="F39" s="79">
        <v>10</v>
      </c>
      <c r="G39" s="79">
        <v>77.94</v>
      </c>
      <c r="H39" s="80">
        <f>G39*F39/1000</f>
        <v>0.77939999999999998</v>
      </c>
      <c r="I39" s="13">
        <f>F39/6*G39</f>
        <v>129.9</v>
      </c>
      <c r="J39" s="26"/>
      <c r="L39" s="19"/>
      <c r="M39" s="20"/>
      <c r="N39" s="21"/>
    </row>
    <row r="40" spans="1:14" ht="15.75" hidden="1" customHeight="1">
      <c r="A40" s="32">
        <v>12</v>
      </c>
      <c r="B40" s="76" t="s">
        <v>109</v>
      </c>
      <c r="C40" s="77" t="s">
        <v>29</v>
      </c>
      <c r="D40" s="76" t="s">
        <v>126</v>
      </c>
      <c r="E40" s="78">
        <v>1039.2</v>
      </c>
      <c r="F40" s="79">
        <f>E40*25/1000</f>
        <v>25.98</v>
      </c>
      <c r="G40" s="79">
        <v>2102.71</v>
      </c>
      <c r="H40" s="80">
        <f>G40*F40/1000</f>
        <v>54.628405800000003</v>
      </c>
      <c r="I40" s="13">
        <f>F40/6*G40</f>
        <v>9104.7343000000001</v>
      </c>
      <c r="J40" s="26"/>
      <c r="L40" s="19"/>
      <c r="M40" s="20"/>
      <c r="N40" s="21"/>
    </row>
    <row r="41" spans="1:14" ht="15.75" hidden="1" customHeight="1">
      <c r="A41" s="32"/>
      <c r="B41" s="76" t="s">
        <v>127</v>
      </c>
      <c r="C41" s="77" t="s">
        <v>128</v>
      </c>
      <c r="D41" s="76" t="s">
        <v>67</v>
      </c>
      <c r="E41" s="78"/>
      <c r="F41" s="79">
        <v>50</v>
      </c>
      <c r="G41" s="79">
        <v>213.2</v>
      </c>
      <c r="H41" s="80">
        <f>G41*F41/1000</f>
        <v>10.66</v>
      </c>
      <c r="I41" s="13">
        <v>0</v>
      </c>
      <c r="J41" s="26"/>
      <c r="L41" s="19"/>
      <c r="M41" s="20"/>
      <c r="N41" s="21"/>
    </row>
    <row r="42" spans="1:14" ht="15.75" hidden="1" customHeight="1">
      <c r="A42" s="32">
        <v>13</v>
      </c>
      <c r="B42" s="76" t="s">
        <v>68</v>
      </c>
      <c r="C42" s="77" t="s">
        <v>29</v>
      </c>
      <c r="D42" s="76" t="s">
        <v>90</v>
      </c>
      <c r="E42" s="79">
        <v>153</v>
      </c>
      <c r="F42" s="79">
        <f>SUM(E42*155/1000)</f>
        <v>23.715</v>
      </c>
      <c r="G42" s="79">
        <v>350.75</v>
      </c>
      <c r="H42" s="80">
        <f t="shared" si="3"/>
        <v>8.3180362499999987</v>
      </c>
      <c r="I42" s="13">
        <f>F42/6*G42</f>
        <v>1386.339375</v>
      </c>
      <c r="J42" s="26"/>
      <c r="L42" s="19"/>
      <c r="M42" s="20"/>
      <c r="N42" s="21"/>
    </row>
    <row r="43" spans="1:14" ht="47.25" hidden="1" customHeight="1">
      <c r="A43" s="32">
        <v>14</v>
      </c>
      <c r="B43" s="76" t="s">
        <v>84</v>
      </c>
      <c r="C43" s="77" t="s">
        <v>91</v>
      </c>
      <c r="D43" s="76" t="s">
        <v>129</v>
      </c>
      <c r="E43" s="79">
        <v>24</v>
      </c>
      <c r="F43" s="79">
        <f>SUM(E43*50/1000)</f>
        <v>1.2</v>
      </c>
      <c r="G43" s="79">
        <v>5803.28</v>
      </c>
      <c r="H43" s="80">
        <f t="shared" si="3"/>
        <v>6.9639359999999995</v>
      </c>
      <c r="I43" s="13">
        <f>F43/6*G43</f>
        <v>1160.6559999999999</v>
      </c>
      <c r="J43" s="26"/>
      <c r="L43" s="19"/>
      <c r="M43" s="20"/>
      <c r="N43" s="21"/>
    </row>
    <row r="44" spans="1:14" ht="15.75" hidden="1" customHeight="1">
      <c r="A44" s="32">
        <v>15</v>
      </c>
      <c r="B44" s="76" t="s">
        <v>92</v>
      </c>
      <c r="C44" s="77" t="s">
        <v>91</v>
      </c>
      <c r="D44" s="76" t="s">
        <v>69</v>
      </c>
      <c r="E44" s="79">
        <v>153</v>
      </c>
      <c r="F44" s="79">
        <f>SUM(E44*45/1000)</f>
        <v>6.8849999999999998</v>
      </c>
      <c r="G44" s="79">
        <v>428.7</v>
      </c>
      <c r="H44" s="80">
        <f t="shared" si="3"/>
        <v>2.9515994999999999</v>
      </c>
      <c r="I44" s="13">
        <f>F44/6*G44</f>
        <v>491.93324999999999</v>
      </c>
      <c r="J44" s="26"/>
      <c r="L44" s="19"/>
      <c r="M44" s="20"/>
      <c r="N44" s="21"/>
    </row>
    <row r="45" spans="1:14" ht="15.75" hidden="1" customHeight="1">
      <c r="A45" s="32">
        <v>16</v>
      </c>
      <c r="B45" s="76" t="s">
        <v>70</v>
      </c>
      <c r="C45" s="77" t="s">
        <v>33</v>
      </c>
      <c r="D45" s="76"/>
      <c r="E45" s="78"/>
      <c r="F45" s="79">
        <v>0.9</v>
      </c>
      <c r="G45" s="79">
        <v>798</v>
      </c>
      <c r="H45" s="80">
        <f t="shared" si="3"/>
        <v>0.71820000000000006</v>
      </c>
      <c r="I45" s="13">
        <f>F45/6*G45</f>
        <v>119.69999999999999</v>
      </c>
      <c r="J45" s="26"/>
      <c r="L45" s="19"/>
      <c r="M45" s="20"/>
      <c r="N45" s="21"/>
    </row>
    <row r="46" spans="1:14" ht="15" customHeight="1">
      <c r="A46" s="206" t="s">
        <v>146</v>
      </c>
      <c r="B46" s="207"/>
      <c r="C46" s="207"/>
      <c r="D46" s="207"/>
      <c r="E46" s="207"/>
      <c r="F46" s="207"/>
      <c r="G46" s="207"/>
      <c r="H46" s="207"/>
      <c r="I46" s="208"/>
      <c r="J46" s="26"/>
      <c r="L46" s="19"/>
      <c r="M46" s="20"/>
      <c r="N46" s="21"/>
    </row>
    <row r="47" spans="1:14" ht="15.75" customHeight="1">
      <c r="A47" s="32">
        <v>18</v>
      </c>
      <c r="B47" s="76" t="s">
        <v>130</v>
      </c>
      <c r="C47" s="77" t="s">
        <v>91</v>
      </c>
      <c r="D47" s="76" t="s">
        <v>42</v>
      </c>
      <c r="E47" s="78">
        <v>1895</v>
      </c>
      <c r="F47" s="79">
        <f>SUM(E47*2/1000)</f>
        <v>3.79</v>
      </c>
      <c r="G47" s="13">
        <v>849.49</v>
      </c>
      <c r="H47" s="80">
        <f t="shared" ref="H47:H55" si="4">SUM(F47*G47/1000)</f>
        <v>3.2195671000000003</v>
      </c>
      <c r="I47" s="13">
        <f>F47/2*G47</f>
        <v>1609.7835500000001</v>
      </c>
      <c r="J47" s="26"/>
      <c r="L47" s="19"/>
      <c r="M47" s="20"/>
      <c r="N47" s="21"/>
    </row>
    <row r="48" spans="1:14" ht="15.75" customHeight="1">
      <c r="A48" s="32">
        <v>19</v>
      </c>
      <c r="B48" s="76" t="s">
        <v>34</v>
      </c>
      <c r="C48" s="77" t="s">
        <v>91</v>
      </c>
      <c r="D48" s="76" t="s">
        <v>42</v>
      </c>
      <c r="E48" s="78">
        <v>118.2</v>
      </c>
      <c r="F48" s="79">
        <f>E48*2/1000</f>
        <v>0.2364</v>
      </c>
      <c r="G48" s="13">
        <v>579.48</v>
      </c>
      <c r="H48" s="80">
        <f t="shared" si="4"/>
        <v>0.13698907199999999</v>
      </c>
      <c r="I48" s="13">
        <f t="shared" ref="I48:I50" si="5">F48/2*G48</f>
        <v>68.494535999999997</v>
      </c>
      <c r="J48" s="26"/>
      <c r="L48" s="19"/>
      <c r="M48" s="20"/>
      <c r="N48" s="21"/>
    </row>
    <row r="49" spans="1:22" ht="15.75" customHeight="1">
      <c r="A49" s="32">
        <v>20</v>
      </c>
      <c r="B49" s="76" t="s">
        <v>35</v>
      </c>
      <c r="C49" s="77" t="s">
        <v>91</v>
      </c>
      <c r="D49" s="76" t="s">
        <v>42</v>
      </c>
      <c r="E49" s="78">
        <v>4675</v>
      </c>
      <c r="F49" s="79">
        <f>SUM(E49*2/1000)</f>
        <v>9.35</v>
      </c>
      <c r="G49" s="13">
        <v>579.48</v>
      </c>
      <c r="H49" s="80">
        <f t="shared" si="4"/>
        <v>5.4181379999999999</v>
      </c>
      <c r="I49" s="13">
        <f t="shared" si="5"/>
        <v>2709.069</v>
      </c>
      <c r="J49" s="26"/>
      <c r="L49" s="19"/>
      <c r="M49" s="20"/>
      <c r="N49" s="21"/>
    </row>
    <row r="50" spans="1:22" ht="15.75" customHeight="1">
      <c r="A50" s="32">
        <v>21</v>
      </c>
      <c r="B50" s="76" t="s">
        <v>36</v>
      </c>
      <c r="C50" s="77" t="s">
        <v>91</v>
      </c>
      <c r="D50" s="76" t="s">
        <v>42</v>
      </c>
      <c r="E50" s="78">
        <v>4675</v>
      </c>
      <c r="F50" s="79">
        <f>SUM(E50*2/1000)</f>
        <v>9.35</v>
      </c>
      <c r="G50" s="13">
        <v>606.77</v>
      </c>
      <c r="H50" s="80">
        <f t="shared" si="4"/>
        <v>5.6732994999999988</v>
      </c>
      <c r="I50" s="13">
        <f t="shared" si="5"/>
        <v>2836.6497499999996</v>
      </c>
      <c r="J50" s="26"/>
      <c r="L50" s="19"/>
      <c r="M50" s="20"/>
      <c r="N50" s="21"/>
    </row>
    <row r="51" spans="1:22" ht="15.75" customHeight="1">
      <c r="A51" s="32">
        <v>22</v>
      </c>
      <c r="B51" s="76" t="s">
        <v>56</v>
      </c>
      <c r="C51" s="77" t="s">
        <v>91</v>
      </c>
      <c r="D51" s="76" t="s">
        <v>164</v>
      </c>
      <c r="E51" s="78">
        <v>3988</v>
      </c>
      <c r="F51" s="79">
        <f>SUM(E51*5/1000)</f>
        <v>19.940000000000001</v>
      </c>
      <c r="G51" s="13">
        <v>1142.7</v>
      </c>
      <c r="H51" s="80">
        <f t="shared" si="4"/>
        <v>22.785438000000003</v>
      </c>
      <c r="I51" s="13">
        <f>F51/5*G51</f>
        <v>4557.0876000000007</v>
      </c>
      <c r="J51" s="26"/>
      <c r="L51" s="19"/>
      <c r="M51" s="20"/>
      <c r="N51" s="21"/>
    </row>
    <row r="52" spans="1:22" ht="34.5" customHeight="1">
      <c r="A52" s="32">
        <v>23</v>
      </c>
      <c r="B52" s="76" t="s">
        <v>93</v>
      </c>
      <c r="C52" s="77" t="s">
        <v>91</v>
      </c>
      <c r="D52" s="76" t="s">
        <v>42</v>
      </c>
      <c r="E52" s="78">
        <v>3988</v>
      </c>
      <c r="F52" s="79">
        <f>SUM(E52*2/1000)</f>
        <v>7.976</v>
      </c>
      <c r="G52" s="13">
        <v>1213.55</v>
      </c>
      <c r="H52" s="80">
        <f t="shared" si="4"/>
        <v>9.6792748</v>
      </c>
      <c r="I52" s="13">
        <f>3.988*G52</f>
        <v>4839.6373999999996</v>
      </c>
      <c r="J52" s="26"/>
      <c r="L52" s="19"/>
      <c r="M52" s="20"/>
      <c r="N52" s="21"/>
    </row>
    <row r="53" spans="1:22" ht="31.5" customHeight="1">
      <c r="A53" s="32">
        <v>24</v>
      </c>
      <c r="B53" s="76" t="s">
        <v>94</v>
      </c>
      <c r="C53" s="77" t="s">
        <v>37</v>
      </c>
      <c r="D53" s="76" t="s">
        <v>42</v>
      </c>
      <c r="E53" s="78">
        <v>30</v>
      </c>
      <c r="F53" s="79">
        <f>SUM(E53*2/100)</f>
        <v>0.6</v>
      </c>
      <c r="G53" s="13">
        <v>2730.49</v>
      </c>
      <c r="H53" s="80">
        <f>SUM(F53*G53/1000)</f>
        <v>1.6382939999999999</v>
      </c>
      <c r="I53" s="13">
        <f>G53*0.3</f>
        <v>819.14699999999993</v>
      </c>
      <c r="J53" s="26"/>
      <c r="L53" s="19"/>
      <c r="M53" s="20"/>
      <c r="N53" s="21"/>
    </row>
    <row r="54" spans="1:22" ht="15" customHeight="1">
      <c r="A54" s="32">
        <v>25</v>
      </c>
      <c r="B54" s="76" t="s">
        <v>38</v>
      </c>
      <c r="C54" s="77" t="s">
        <v>39</v>
      </c>
      <c r="D54" s="76" t="s">
        <v>42</v>
      </c>
      <c r="E54" s="78">
        <v>1</v>
      </c>
      <c r="F54" s="79">
        <v>0.02</v>
      </c>
      <c r="G54" s="13">
        <v>5652.13</v>
      </c>
      <c r="H54" s="80">
        <f t="shared" si="4"/>
        <v>0.11304260000000001</v>
      </c>
      <c r="I54" s="13">
        <f>G54*0.01</f>
        <v>56.521300000000004</v>
      </c>
      <c r="J54" s="26"/>
      <c r="L54" s="19"/>
      <c r="M54" s="20"/>
      <c r="N54" s="21"/>
    </row>
    <row r="55" spans="1:22" ht="15.75" hidden="1" customHeight="1">
      <c r="A55" s="32">
        <v>18</v>
      </c>
      <c r="B55" s="76" t="s">
        <v>41</v>
      </c>
      <c r="C55" s="77" t="s">
        <v>110</v>
      </c>
      <c r="D55" s="76" t="s">
        <v>71</v>
      </c>
      <c r="E55" s="78">
        <v>236</v>
      </c>
      <c r="F55" s="79">
        <f>SUM(E55)*3</f>
        <v>708</v>
      </c>
      <c r="G55" s="13">
        <v>65.67</v>
      </c>
      <c r="H55" s="80">
        <f t="shared" si="4"/>
        <v>46.49436</v>
      </c>
      <c r="I55" s="13">
        <f>E55*G55</f>
        <v>15498.12</v>
      </c>
      <c r="J55" s="26"/>
      <c r="L55" s="19"/>
      <c r="M55" s="20"/>
      <c r="N55" s="21"/>
    </row>
    <row r="56" spans="1:22" ht="15.75" customHeight="1">
      <c r="A56" s="206" t="s">
        <v>147</v>
      </c>
      <c r="B56" s="207"/>
      <c r="C56" s="207"/>
      <c r="D56" s="207"/>
      <c r="E56" s="207"/>
      <c r="F56" s="207"/>
      <c r="G56" s="207"/>
      <c r="H56" s="207"/>
      <c r="I56" s="208"/>
      <c r="J56" s="26"/>
      <c r="L56" s="19"/>
      <c r="M56" s="20"/>
      <c r="N56" s="21"/>
    </row>
    <row r="57" spans="1:22" ht="15.75" hidden="1" customHeight="1">
      <c r="A57" s="32"/>
      <c r="B57" s="100" t="s">
        <v>43</v>
      </c>
      <c r="C57" s="77"/>
      <c r="D57" s="76"/>
      <c r="E57" s="78"/>
      <c r="F57" s="79"/>
      <c r="G57" s="79"/>
      <c r="H57" s="80"/>
      <c r="I57" s="13"/>
      <c r="J57" s="26"/>
      <c r="L57" s="19"/>
      <c r="M57" s="20"/>
      <c r="N57" s="21"/>
    </row>
    <row r="58" spans="1:22" ht="31.5" hidden="1" customHeight="1">
      <c r="A58" s="32">
        <v>19</v>
      </c>
      <c r="B58" s="76" t="s">
        <v>131</v>
      </c>
      <c r="C58" s="77" t="s">
        <v>89</v>
      </c>
      <c r="D58" s="76" t="s">
        <v>111</v>
      </c>
      <c r="E58" s="78">
        <v>30</v>
      </c>
      <c r="F58" s="79">
        <f>SUM(E58*6/100)</f>
        <v>1.8</v>
      </c>
      <c r="G58" s="13">
        <v>1547.28</v>
      </c>
      <c r="H58" s="80">
        <f>SUM(F58*G58/1000)</f>
        <v>2.785104</v>
      </c>
      <c r="I58" s="13">
        <f>F58/6*G58</f>
        <v>464.18399999999997</v>
      </c>
      <c r="J58" s="26"/>
      <c r="L58" s="19"/>
    </row>
    <row r="59" spans="1:22" ht="15.75" hidden="1" customHeight="1">
      <c r="A59" s="32">
        <v>20</v>
      </c>
      <c r="B59" s="85" t="s">
        <v>132</v>
      </c>
      <c r="C59" s="86" t="s">
        <v>133</v>
      </c>
      <c r="D59" s="85" t="s">
        <v>42</v>
      </c>
      <c r="E59" s="87">
        <v>6</v>
      </c>
      <c r="F59" s="88">
        <v>12</v>
      </c>
      <c r="G59" s="13">
        <v>180.78</v>
      </c>
      <c r="H59" s="89">
        <f>G59*F59/1000</f>
        <v>2.1693600000000002</v>
      </c>
      <c r="I59" s="13">
        <f>F59/2*G59</f>
        <v>1084.68</v>
      </c>
    </row>
    <row r="60" spans="1:22" ht="15.75" hidden="1" customHeight="1">
      <c r="A60" s="32">
        <v>21</v>
      </c>
      <c r="B60" s="85" t="s">
        <v>134</v>
      </c>
      <c r="C60" s="86" t="s">
        <v>52</v>
      </c>
      <c r="D60" s="85" t="s">
        <v>40</v>
      </c>
      <c r="E60" s="87">
        <v>6</v>
      </c>
      <c r="F60" s="88">
        <f>E60*4/100</f>
        <v>0.24</v>
      </c>
      <c r="G60" s="13">
        <v>1547.28</v>
      </c>
      <c r="H60" s="89">
        <f>G60*F60/1000</f>
        <v>0.37134719999999999</v>
      </c>
      <c r="I60" s="13">
        <f>F60/4*G60</f>
        <v>92.836799999999997</v>
      </c>
    </row>
    <row r="61" spans="1:22" ht="15.75" customHeight="1">
      <c r="A61" s="32"/>
      <c r="B61" s="101" t="s">
        <v>44</v>
      </c>
      <c r="C61" s="86"/>
      <c r="D61" s="85"/>
      <c r="E61" s="87"/>
      <c r="F61" s="88"/>
      <c r="G61" s="13"/>
      <c r="H61" s="89"/>
      <c r="I61" s="13"/>
    </row>
    <row r="62" spans="1:22" ht="15.75" hidden="1" customHeight="1">
      <c r="A62" s="32">
        <v>22</v>
      </c>
      <c r="B62" s="85" t="s">
        <v>135</v>
      </c>
      <c r="C62" s="86" t="s">
        <v>52</v>
      </c>
      <c r="D62" s="85" t="s">
        <v>53</v>
      </c>
      <c r="E62" s="87">
        <v>997</v>
      </c>
      <c r="F62" s="88">
        <v>9.9700000000000006</v>
      </c>
      <c r="G62" s="13">
        <v>793.61</v>
      </c>
      <c r="H62" s="89">
        <f>F62*G62/1000</f>
        <v>7.9122917000000008</v>
      </c>
      <c r="I62" s="13">
        <f>G62*F62</f>
        <v>7912.2917000000007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9"/>
    </row>
    <row r="63" spans="1:22" ht="15.75" customHeight="1">
      <c r="A63" s="32">
        <v>26</v>
      </c>
      <c r="B63" s="85" t="s">
        <v>136</v>
      </c>
      <c r="C63" s="86" t="s">
        <v>25</v>
      </c>
      <c r="D63" s="85" t="s">
        <v>30</v>
      </c>
      <c r="E63" s="87">
        <v>394</v>
      </c>
      <c r="F63" s="90">
        <f>E63*12</f>
        <v>4728</v>
      </c>
      <c r="G63" s="71">
        <v>1.2</v>
      </c>
      <c r="H63" s="88">
        <f>F63*G63/1000</f>
        <v>5.6735999999999995</v>
      </c>
      <c r="I63" s="13">
        <f>2400/12*G63</f>
        <v>240</v>
      </c>
      <c r="J63" s="28"/>
      <c r="K63" s="28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15.75" customHeight="1">
      <c r="A64" s="32"/>
      <c r="B64" s="101" t="s">
        <v>45</v>
      </c>
      <c r="C64" s="86"/>
      <c r="D64" s="85"/>
      <c r="E64" s="87"/>
      <c r="F64" s="90"/>
      <c r="G64" s="90"/>
      <c r="H64" s="88" t="s">
        <v>150</v>
      </c>
      <c r="I64" s="13"/>
      <c r="J64" s="3"/>
      <c r="K64" s="3"/>
      <c r="L64" s="3"/>
      <c r="M64" s="3"/>
      <c r="N64" s="3"/>
      <c r="O64" s="3"/>
      <c r="P64" s="3"/>
      <c r="Q64" s="3"/>
      <c r="S64" s="3"/>
      <c r="T64" s="3"/>
      <c r="U64" s="3"/>
    </row>
    <row r="65" spans="1:21" ht="15.75" customHeight="1">
      <c r="A65" s="32">
        <v>27</v>
      </c>
      <c r="B65" s="14" t="s">
        <v>46</v>
      </c>
      <c r="C65" s="16" t="s">
        <v>110</v>
      </c>
      <c r="D65" s="76" t="s">
        <v>67</v>
      </c>
      <c r="E65" s="18">
        <v>15</v>
      </c>
      <c r="F65" s="79">
        <v>15</v>
      </c>
      <c r="G65" s="13">
        <v>222.4</v>
      </c>
      <c r="H65" s="91">
        <f t="shared" ref="H65:H78" si="6">SUM(F65*G65/1000)</f>
        <v>3.3359999999999999</v>
      </c>
      <c r="I65" s="13">
        <f>G65*4</f>
        <v>889.6</v>
      </c>
      <c r="J65" s="5"/>
      <c r="K65" s="5"/>
      <c r="L65" s="5"/>
      <c r="M65" s="5"/>
      <c r="N65" s="5"/>
      <c r="O65" s="5"/>
      <c r="P65" s="5"/>
      <c r="Q65" s="5"/>
      <c r="R65" s="188"/>
      <c r="S65" s="188"/>
      <c r="T65" s="188"/>
      <c r="U65" s="188"/>
    </row>
    <row r="66" spans="1:21" ht="15.75" hidden="1" customHeight="1">
      <c r="A66" s="32">
        <v>25</v>
      </c>
      <c r="B66" s="14" t="s">
        <v>47</v>
      </c>
      <c r="C66" s="16" t="s">
        <v>110</v>
      </c>
      <c r="D66" s="76" t="s">
        <v>67</v>
      </c>
      <c r="E66" s="18">
        <v>10</v>
      </c>
      <c r="F66" s="79">
        <v>10</v>
      </c>
      <c r="G66" s="13">
        <v>76.25</v>
      </c>
      <c r="H66" s="91">
        <f t="shared" si="6"/>
        <v>0.76249999999999996</v>
      </c>
      <c r="I66" s="13">
        <f>G66</f>
        <v>76.25</v>
      </c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1" ht="15.75" customHeight="1">
      <c r="A67" s="32">
        <v>28</v>
      </c>
      <c r="B67" s="14" t="s">
        <v>48</v>
      </c>
      <c r="C67" s="16" t="s">
        <v>112</v>
      </c>
      <c r="D67" s="14" t="s">
        <v>53</v>
      </c>
      <c r="E67" s="78">
        <v>28608</v>
      </c>
      <c r="F67" s="13">
        <f>SUM(E67/100)</f>
        <v>286.08</v>
      </c>
      <c r="G67" s="13">
        <v>199.77</v>
      </c>
      <c r="H67" s="91">
        <f t="shared" si="6"/>
        <v>57.150201600000003</v>
      </c>
      <c r="I67" s="13">
        <f>F67*G67</f>
        <v>57150.2016</v>
      </c>
    </row>
    <row r="68" spans="1:21" ht="15.75" customHeight="1">
      <c r="A68" s="32">
        <v>29</v>
      </c>
      <c r="B68" s="14" t="s">
        <v>49</v>
      </c>
      <c r="C68" s="16" t="s">
        <v>113</v>
      </c>
      <c r="D68" s="14"/>
      <c r="E68" s="78">
        <v>28608</v>
      </c>
      <c r="F68" s="13">
        <f>SUM(E68/1000)</f>
        <v>28.608000000000001</v>
      </c>
      <c r="G68" s="13">
        <v>155.57</v>
      </c>
      <c r="H68" s="91">
        <f t="shared" si="6"/>
        <v>4.4505465599999994</v>
      </c>
      <c r="I68" s="13">
        <f t="shared" ref="I68:I72" si="7">F68*G68</f>
        <v>4450.5465599999998</v>
      </c>
    </row>
    <row r="69" spans="1:21" ht="15.75" customHeight="1">
      <c r="A69" s="32">
        <v>30</v>
      </c>
      <c r="B69" s="14" t="s">
        <v>50</v>
      </c>
      <c r="C69" s="16" t="s">
        <v>77</v>
      </c>
      <c r="D69" s="14" t="s">
        <v>53</v>
      </c>
      <c r="E69" s="78">
        <v>4550</v>
      </c>
      <c r="F69" s="13">
        <f>SUM(E69/100)</f>
        <v>45.5</v>
      </c>
      <c r="G69" s="13">
        <v>2074.63</v>
      </c>
      <c r="H69" s="91">
        <f t="shared" si="6"/>
        <v>94.395665000000008</v>
      </c>
      <c r="I69" s="13">
        <f t="shared" si="7"/>
        <v>94395.665000000008</v>
      </c>
    </row>
    <row r="70" spans="1:21" ht="15.75" customHeight="1">
      <c r="A70" s="32">
        <v>31</v>
      </c>
      <c r="B70" s="92" t="s">
        <v>114</v>
      </c>
      <c r="C70" s="16" t="s">
        <v>33</v>
      </c>
      <c r="D70" s="14"/>
      <c r="E70" s="78">
        <v>58.5</v>
      </c>
      <c r="F70" s="13">
        <f>SUM(E70)</f>
        <v>58.5</v>
      </c>
      <c r="G70" s="13">
        <v>45.32</v>
      </c>
      <c r="H70" s="91">
        <f t="shared" si="6"/>
        <v>2.6512199999999999</v>
      </c>
      <c r="I70" s="13">
        <f t="shared" si="7"/>
        <v>2651.22</v>
      </c>
    </row>
    <row r="71" spans="1:21" ht="15.75" customHeight="1">
      <c r="A71" s="32">
        <v>32</v>
      </c>
      <c r="B71" s="92" t="s">
        <v>115</v>
      </c>
      <c r="C71" s="16" t="s">
        <v>33</v>
      </c>
      <c r="D71" s="14"/>
      <c r="E71" s="78">
        <v>58.5</v>
      </c>
      <c r="F71" s="13">
        <f>SUM(E71)</f>
        <v>58.5</v>
      </c>
      <c r="G71" s="13">
        <v>42.28</v>
      </c>
      <c r="H71" s="91">
        <f t="shared" si="6"/>
        <v>2.4733800000000001</v>
      </c>
      <c r="I71" s="13">
        <f t="shared" si="7"/>
        <v>2473.38</v>
      </c>
    </row>
    <row r="72" spans="1:21" ht="0.75" customHeight="1">
      <c r="A72" s="32"/>
      <c r="B72" s="14" t="s">
        <v>57</v>
      </c>
      <c r="C72" s="16" t="s">
        <v>58</v>
      </c>
      <c r="D72" s="14" t="s">
        <v>53</v>
      </c>
      <c r="E72" s="18">
        <v>5</v>
      </c>
      <c r="F72" s="79">
        <v>5</v>
      </c>
      <c r="G72" s="13">
        <v>49.88</v>
      </c>
      <c r="H72" s="91">
        <f t="shared" si="6"/>
        <v>0.24940000000000001</v>
      </c>
      <c r="I72" s="13">
        <f t="shared" si="7"/>
        <v>249.4</v>
      </c>
    </row>
    <row r="73" spans="1:21" ht="15.75" customHeight="1">
      <c r="A73" s="32"/>
      <c r="B73" s="124" t="s">
        <v>72</v>
      </c>
      <c r="C73" s="16"/>
      <c r="D73" s="14"/>
      <c r="E73" s="18"/>
      <c r="F73" s="13"/>
      <c r="G73" s="13"/>
      <c r="H73" s="91" t="s">
        <v>150</v>
      </c>
      <c r="I73" s="13"/>
    </row>
    <row r="74" spans="1:21" ht="14.25" customHeight="1">
      <c r="A74" s="32">
        <v>33</v>
      </c>
      <c r="B74" s="14" t="s">
        <v>73</v>
      </c>
      <c r="C74" s="16" t="s">
        <v>75</v>
      </c>
      <c r="D74" s="14"/>
      <c r="E74" s="18">
        <v>10</v>
      </c>
      <c r="F74" s="13">
        <v>1</v>
      </c>
      <c r="G74" s="13">
        <v>501.62</v>
      </c>
      <c r="H74" s="91">
        <f t="shared" si="6"/>
        <v>0.50161999999999995</v>
      </c>
      <c r="I74" s="13">
        <f>G74*0.2</f>
        <v>100.32400000000001</v>
      </c>
    </row>
    <row r="75" spans="1:21" ht="16.5" hidden="1" customHeight="1">
      <c r="A75" s="32"/>
      <c r="B75" s="14" t="s">
        <v>74</v>
      </c>
      <c r="C75" s="16" t="s">
        <v>31</v>
      </c>
      <c r="D75" s="14"/>
      <c r="E75" s="18">
        <v>3</v>
      </c>
      <c r="F75" s="71">
        <v>3</v>
      </c>
      <c r="G75" s="13">
        <v>852.99</v>
      </c>
      <c r="H75" s="91">
        <f>F75*G75/1000</f>
        <v>2.5589700000000004</v>
      </c>
      <c r="I75" s="13">
        <v>0</v>
      </c>
    </row>
    <row r="76" spans="1:21" ht="19.5" hidden="1" customHeight="1">
      <c r="A76" s="32"/>
      <c r="B76" s="14" t="s">
        <v>117</v>
      </c>
      <c r="C76" s="16" t="s">
        <v>31</v>
      </c>
      <c r="D76" s="14"/>
      <c r="E76" s="18">
        <v>1</v>
      </c>
      <c r="F76" s="13">
        <v>1</v>
      </c>
      <c r="G76" s="13">
        <v>358.51</v>
      </c>
      <c r="H76" s="91">
        <f>G76*F76/1000</f>
        <v>0.35851</v>
      </c>
      <c r="I76" s="13">
        <v>0</v>
      </c>
    </row>
    <row r="77" spans="1:21" ht="16.5" hidden="1" customHeight="1">
      <c r="A77" s="32"/>
      <c r="B77" s="94" t="s">
        <v>76</v>
      </c>
      <c r="C77" s="16"/>
      <c r="D77" s="14"/>
      <c r="E77" s="18"/>
      <c r="F77" s="13"/>
      <c r="G77" s="13" t="s">
        <v>150</v>
      </c>
      <c r="H77" s="91" t="s">
        <v>150</v>
      </c>
      <c r="I77" s="13"/>
    </row>
    <row r="78" spans="1:21" ht="16.5" hidden="1" customHeight="1">
      <c r="A78" s="32"/>
      <c r="B78" s="47" t="s">
        <v>165</v>
      </c>
      <c r="C78" s="16" t="s">
        <v>77</v>
      </c>
      <c r="D78" s="14"/>
      <c r="E78" s="18"/>
      <c r="F78" s="13">
        <v>1.2</v>
      </c>
      <c r="G78" s="13">
        <v>2759.44</v>
      </c>
      <c r="H78" s="91">
        <f t="shared" si="6"/>
        <v>3.311328</v>
      </c>
      <c r="I78" s="13">
        <v>0</v>
      </c>
    </row>
    <row r="79" spans="1:21" ht="12.75" hidden="1" customHeight="1">
      <c r="A79" s="32"/>
      <c r="B79" s="70" t="s">
        <v>95</v>
      </c>
      <c r="C79" s="70"/>
      <c r="D79" s="70"/>
      <c r="E79" s="70"/>
      <c r="F79" s="70"/>
      <c r="G79" s="82"/>
      <c r="H79" s="95">
        <f>SUM(H58:H78)</f>
        <v>191.11104405999998</v>
      </c>
      <c r="I79" s="82"/>
    </row>
    <row r="80" spans="1:21" ht="13.5" hidden="1" customHeight="1">
      <c r="A80" s="32"/>
      <c r="B80" s="102" t="s">
        <v>116</v>
      </c>
      <c r="C80" s="23"/>
      <c r="D80" s="22"/>
      <c r="E80" s="72"/>
      <c r="F80" s="103">
        <v>1</v>
      </c>
      <c r="G80" s="13">
        <v>23072.1</v>
      </c>
      <c r="H80" s="91">
        <f>G80*F80/1000</f>
        <v>23.072099999999999</v>
      </c>
      <c r="I80" s="13">
        <v>0</v>
      </c>
    </row>
    <row r="81" spans="1:9" ht="15.75" customHeight="1">
      <c r="A81" s="189" t="s">
        <v>148</v>
      </c>
      <c r="B81" s="190"/>
      <c r="C81" s="190"/>
      <c r="D81" s="190"/>
      <c r="E81" s="190"/>
      <c r="F81" s="190"/>
      <c r="G81" s="190"/>
      <c r="H81" s="190"/>
      <c r="I81" s="191"/>
    </row>
    <row r="82" spans="1:9" ht="15.75" customHeight="1">
      <c r="A82" s="32">
        <v>34</v>
      </c>
      <c r="B82" s="76" t="s">
        <v>118</v>
      </c>
      <c r="C82" s="16" t="s">
        <v>54</v>
      </c>
      <c r="D82" s="51" t="s">
        <v>55</v>
      </c>
      <c r="E82" s="13">
        <v>6980.3</v>
      </c>
      <c r="F82" s="13">
        <f>SUM(E82*12)</f>
        <v>83763.600000000006</v>
      </c>
      <c r="G82" s="13">
        <v>2.1</v>
      </c>
      <c r="H82" s="91">
        <f>SUM(F82*G82/1000)</f>
        <v>175.90356000000003</v>
      </c>
      <c r="I82" s="13">
        <f>F82/12*G82</f>
        <v>14658.630000000001</v>
      </c>
    </row>
    <row r="83" spans="1:9" ht="31.5" customHeight="1">
      <c r="A83" s="32">
        <v>35</v>
      </c>
      <c r="B83" s="14" t="s">
        <v>78</v>
      </c>
      <c r="C83" s="16"/>
      <c r="D83" s="51" t="s">
        <v>55</v>
      </c>
      <c r="E83" s="78">
        <f>E82</f>
        <v>6980.3</v>
      </c>
      <c r="F83" s="13">
        <f>E83*12</f>
        <v>83763.600000000006</v>
      </c>
      <c r="G83" s="13">
        <v>1.63</v>
      </c>
      <c r="H83" s="91">
        <f>F83*G83/1000</f>
        <v>136.53466800000001</v>
      </c>
      <c r="I83" s="13">
        <f>F83/12*G83</f>
        <v>11377.888999999999</v>
      </c>
    </row>
    <row r="84" spans="1:9" ht="15.75" customHeight="1">
      <c r="A84" s="32"/>
      <c r="B84" s="40" t="s">
        <v>81</v>
      </c>
      <c r="C84" s="94"/>
      <c r="D84" s="93"/>
      <c r="E84" s="82"/>
      <c r="F84" s="82"/>
      <c r="G84" s="82"/>
      <c r="H84" s="95">
        <f>H83</f>
        <v>136.53466800000001</v>
      </c>
      <c r="I84" s="82">
        <f>I83+I82+I74+I71+I70+I69+I68+I67+I65+I63+I54+I53+I52+I51+I50+I49+I48+I47+I34+I33+I32+I31+I30+I27+I26+I25+I24+I23+I22+I21+I20+I19+I18+I17+I16</f>
        <v>277017.53783978889</v>
      </c>
    </row>
    <row r="85" spans="1:9" ht="15.75" customHeight="1">
      <c r="A85" s="200" t="s">
        <v>60</v>
      </c>
      <c r="B85" s="201"/>
      <c r="C85" s="201"/>
      <c r="D85" s="201"/>
      <c r="E85" s="201"/>
      <c r="F85" s="201"/>
      <c r="G85" s="201"/>
      <c r="H85" s="201"/>
      <c r="I85" s="202"/>
    </row>
    <row r="86" spans="1:9" ht="15.75" customHeight="1">
      <c r="A86" s="32" t="s">
        <v>237</v>
      </c>
      <c r="B86" s="50" t="s">
        <v>137</v>
      </c>
      <c r="C86" s="62" t="s">
        <v>110</v>
      </c>
      <c r="D86" s="14"/>
      <c r="E86" s="18"/>
      <c r="F86" s="13">
        <v>1440</v>
      </c>
      <c r="G86" s="13">
        <v>55.55</v>
      </c>
      <c r="H86" s="91">
        <f t="shared" ref="H86" si="8">G86*F86/1000</f>
        <v>79.992000000000004</v>
      </c>
      <c r="I86" s="13">
        <f>G86*120</f>
        <v>6666</v>
      </c>
    </row>
    <row r="87" spans="1:9" ht="15.75" customHeight="1">
      <c r="A87" s="32">
        <v>37</v>
      </c>
      <c r="B87" s="50" t="s">
        <v>141</v>
      </c>
      <c r="C87" s="62" t="s">
        <v>85</v>
      </c>
      <c r="D87" s="111"/>
      <c r="E87" s="36"/>
      <c r="F87" s="36">
        <f>(3+4+15+15+15+5+20+20+15+10+15+15+7+6+15+3)/3</f>
        <v>61</v>
      </c>
      <c r="G87" s="36">
        <v>203.68</v>
      </c>
      <c r="H87" s="110">
        <f>G87*F87/1000</f>
        <v>12.424479999999999</v>
      </c>
      <c r="I87" s="13">
        <f>G87*1</f>
        <v>203.68</v>
      </c>
    </row>
    <row r="88" spans="1:9" ht="15.75" customHeight="1">
      <c r="A88" s="32">
        <v>38</v>
      </c>
      <c r="B88" s="50" t="s">
        <v>83</v>
      </c>
      <c r="C88" s="62" t="s">
        <v>110</v>
      </c>
      <c r="D88" s="47"/>
      <c r="E88" s="13"/>
      <c r="F88" s="13">
        <v>1</v>
      </c>
      <c r="G88" s="36">
        <v>197.48</v>
      </c>
      <c r="H88" s="91">
        <f t="shared" ref="H88:H89" si="9">G88*F88/1000</f>
        <v>0.19747999999999999</v>
      </c>
      <c r="I88" s="13">
        <f>G88*1</f>
        <v>197.48</v>
      </c>
    </row>
    <row r="89" spans="1:9" ht="15.75" customHeight="1">
      <c r="A89" s="32">
        <v>39</v>
      </c>
      <c r="B89" s="52" t="s">
        <v>199</v>
      </c>
      <c r="C89" s="53" t="s">
        <v>191</v>
      </c>
      <c r="D89" s="47"/>
      <c r="E89" s="13"/>
      <c r="F89" s="13">
        <v>3</v>
      </c>
      <c r="G89" s="36">
        <v>134.12</v>
      </c>
      <c r="H89" s="91">
        <f t="shared" si="9"/>
        <v>0.40236</v>
      </c>
      <c r="I89" s="13">
        <f>G89*62</f>
        <v>8315.44</v>
      </c>
    </row>
    <row r="90" spans="1:9" ht="15.75" customHeight="1">
      <c r="A90" s="32">
        <v>40</v>
      </c>
      <c r="B90" s="52" t="s">
        <v>220</v>
      </c>
      <c r="C90" s="53" t="s">
        <v>221</v>
      </c>
      <c r="D90" s="47"/>
      <c r="E90" s="13"/>
      <c r="F90" s="13"/>
      <c r="G90" s="36">
        <v>24829.08</v>
      </c>
      <c r="H90" s="91"/>
      <c r="I90" s="13">
        <f>G90*0.01</f>
        <v>248.29080000000002</v>
      </c>
    </row>
    <row r="91" spans="1:9" ht="15.75" customHeight="1">
      <c r="A91" s="32">
        <v>41</v>
      </c>
      <c r="B91" s="61" t="s">
        <v>162</v>
      </c>
      <c r="C91" s="32" t="s">
        <v>110</v>
      </c>
      <c r="D91" s="47"/>
      <c r="E91" s="13"/>
      <c r="F91" s="13"/>
      <c r="G91" s="13">
        <v>470</v>
      </c>
      <c r="H91" s="91"/>
      <c r="I91" s="13">
        <f>G91*1</f>
        <v>470</v>
      </c>
    </row>
    <row r="92" spans="1:9" ht="15.75" customHeight="1">
      <c r="A92" s="32">
        <v>42</v>
      </c>
      <c r="B92" s="125" t="s">
        <v>222</v>
      </c>
      <c r="C92" s="53" t="s">
        <v>110</v>
      </c>
      <c r="D92" s="47"/>
      <c r="E92" s="13"/>
      <c r="F92" s="13"/>
      <c r="G92" s="36">
        <v>197.26</v>
      </c>
      <c r="H92" s="91"/>
      <c r="I92" s="13">
        <f>G92*2</f>
        <v>394.52</v>
      </c>
    </row>
    <row r="93" spans="1:9" ht="15.75" customHeight="1">
      <c r="A93" s="32">
        <v>43</v>
      </c>
      <c r="B93" s="52" t="s">
        <v>155</v>
      </c>
      <c r="C93" s="53" t="s">
        <v>156</v>
      </c>
      <c r="D93" s="47"/>
      <c r="E93" s="13"/>
      <c r="F93" s="13"/>
      <c r="G93" s="36">
        <v>689.92</v>
      </c>
      <c r="H93" s="91"/>
      <c r="I93" s="13">
        <f t="shared" ref="I93:I98" si="10">G93*1</f>
        <v>689.92</v>
      </c>
    </row>
    <row r="94" spans="1:9" ht="32.25" customHeight="1">
      <c r="A94" s="32">
        <v>44</v>
      </c>
      <c r="B94" s="52" t="s">
        <v>223</v>
      </c>
      <c r="C94" s="53" t="s">
        <v>154</v>
      </c>
      <c r="D94" s="47"/>
      <c r="E94" s="13"/>
      <c r="F94" s="13"/>
      <c r="G94" s="36">
        <v>1388.26</v>
      </c>
      <c r="H94" s="91"/>
      <c r="I94" s="13">
        <f t="shared" si="10"/>
        <v>1388.26</v>
      </c>
    </row>
    <row r="95" spans="1:9" ht="15.75" customHeight="1">
      <c r="A95" s="32">
        <v>45</v>
      </c>
      <c r="B95" s="52" t="s">
        <v>224</v>
      </c>
      <c r="C95" s="53" t="s">
        <v>110</v>
      </c>
      <c r="D95" s="47"/>
      <c r="E95" s="13"/>
      <c r="F95" s="13"/>
      <c r="G95" s="36">
        <v>1008.38</v>
      </c>
      <c r="H95" s="91"/>
      <c r="I95" s="13">
        <f t="shared" si="10"/>
        <v>1008.38</v>
      </c>
    </row>
    <row r="96" spans="1:9" ht="15.75" customHeight="1">
      <c r="A96" s="32">
        <v>46</v>
      </c>
      <c r="B96" s="52" t="s">
        <v>225</v>
      </c>
      <c r="C96" s="53" t="s">
        <v>110</v>
      </c>
      <c r="D96" s="47"/>
      <c r="E96" s="13"/>
      <c r="F96" s="13"/>
      <c r="G96" s="36">
        <v>10.55</v>
      </c>
      <c r="H96" s="91"/>
      <c r="I96" s="13">
        <f t="shared" si="10"/>
        <v>10.55</v>
      </c>
    </row>
    <row r="97" spans="1:9" ht="15.75" customHeight="1">
      <c r="A97" s="32">
        <v>47</v>
      </c>
      <c r="B97" s="52" t="s">
        <v>226</v>
      </c>
      <c r="C97" s="53" t="s">
        <v>110</v>
      </c>
      <c r="D97" s="48"/>
      <c r="E97" s="41">
        <v>1</v>
      </c>
      <c r="F97" s="41"/>
      <c r="G97" s="36">
        <v>169.34</v>
      </c>
      <c r="H97" s="41"/>
      <c r="I97" s="18">
        <f t="shared" si="10"/>
        <v>169.34</v>
      </c>
    </row>
    <row r="98" spans="1:9">
      <c r="A98" s="32">
        <v>48</v>
      </c>
      <c r="B98" s="52" t="s">
        <v>227</v>
      </c>
      <c r="C98" s="53" t="s">
        <v>110</v>
      </c>
      <c r="D98" s="15"/>
      <c r="E98" s="42"/>
      <c r="F98" s="42"/>
      <c r="G98" s="36">
        <v>196.01</v>
      </c>
      <c r="H98" s="43"/>
      <c r="I98" s="17">
        <f t="shared" si="10"/>
        <v>196.01</v>
      </c>
    </row>
    <row r="99" spans="1:9">
      <c r="A99" s="32"/>
      <c r="B99" s="45" t="s">
        <v>51</v>
      </c>
      <c r="C99" s="41"/>
      <c r="D99" s="48"/>
      <c r="E99" s="41">
        <v>1</v>
      </c>
      <c r="F99" s="41"/>
      <c r="G99" s="41"/>
      <c r="H99" s="41"/>
      <c r="I99" s="34">
        <f>SUM(I86:I98)-I86</f>
        <v>13291.870799999997</v>
      </c>
    </row>
    <row r="100" spans="1:9">
      <c r="A100" s="32"/>
      <c r="B100" s="47" t="s">
        <v>79</v>
      </c>
      <c r="C100" s="15"/>
      <c r="D100" s="15"/>
      <c r="E100" s="42"/>
      <c r="F100" s="42"/>
      <c r="G100" s="43"/>
      <c r="H100" s="43"/>
      <c r="I100" s="17">
        <v>0</v>
      </c>
    </row>
    <row r="101" spans="1:9">
      <c r="A101" s="49"/>
      <c r="B101" s="46" t="s">
        <v>179</v>
      </c>
      <c r="C101" s="35"/>
      <c r="D101" s="35"/>
      <c r="E101" s="35"/>
      <c r="F101" s="35"/>
      <c r="G101" s="35"/>
      <c r="H101" s="35"/>
      <c r="I101" s="44">
        <f>I84+I99</f>
        <v>290309.40863978886</v>
      </c>
    </row>
    <row r="102" spans="1:9">
      <c r="A102" s="203" t="s">
        <v>238</v>
      </c>
      <c r="B102" s="204"/>
      <c r="C102" s="204"/>
      <c r="D102" s="204"/>
      <c r="E102" s="204"/>
      <c r="F102" s="204"/>
      <c r="G102" s="204"/>
      <c r="H102" s="204"/>
      <c r="I102" s="204"/>
    </row>
    <row r="103" spans="1:9" ht="15.75">
      <c r="A103" s="192" t="s">
        <v>243</v>
      </c>
      <c r="B103" s="192"/>
      <c r="C103" s="192"/>
      <c r="D103" s="192"/>
      <c r="E103" s="192"/>
      <c r="F103" s="192"/>
      <c r="G103" s="192"/>
      <c r="H103" s="192"/>
      <c r="I103" s="192"/>
    </row>
    <row r="104" spans="1:9" ht="15.75" customHeight="1">
      <c r="A104" s="60"/>
      <c r="B104" s="193" t="s">
        <v>244</v>
      </c>
      <c r="C104" s="193"/>
      <c r="D104" s="193"/>
      <c r="E104" s="193"/>
      <c r="F104" s="193"/>
      <c r="G104" s="193"/>
      <c r="H104" s="75"/>
      <c r="I104" s="3"/>
    </row>
    <row r="105" spans="1:9">
      <c r="A105" s="69"/>
      <c r="B105" s="194" t="s">
        <v>6</v>
      </c>
      <c r="C105" s="194"/>
      <c r="D105" s="194"/>
      <c r="E105" s="194"/>
      <c r="F105" s="194"/>
      <c r="G105" s="194"/>
      <c r="H105" s="27"/>
      <c r="I105" s="5"/>
    </row>
    <row r="106" spans="1:9">
      <c r="A106" s="10"/>
      <c r="B106" s="10"/>
      <c r="C106" s="10"/>
      <c r="D106" s="10"/>
      <c r="E106" s="10"/>
      <c r="F106" s="10"/>
      <c r="G106" s="10"/>
      <c r="H106" s="10"/>
      <c r="I106" s="10"/>
    </row>
    <row r="107" spans="1:9" ht="15.75">
      <c r="A107" s="195" t="s">
        <v>7</v>
      </c>
      <c r="B107" s="195"/>
      <c r="C107" s="195"/>
      <c r="D107" s="195"/>
      <c r="E107" s="195"/>
      <c r="F107" s="195"/>
      <c r="G107" s="195"/>
      <c r="H107" s="195"/>
      <c r="I107" s="195"/>
    </row>
    <row r="108" spans="1:9" ht="15.75">
      <c r="A108" s="195" t="s">
        <v>8</v>
      </c>
      <c r="B108" s="195"/>
      <c r="C108" s="195"/>
      <c r="D108" s="195"/>
      <c r="E108" s="195"/>
      <c r="F108" s="195"/>
      <c r="G108" s="195"/>
      <c r="H108" s="195"/>
      <c r="I108" s="195"/>
    </row>
    <row r="109" spans="1:9" ht="15.75">
      <c r="A109" s="196" t="s">
        <v>61</v>
      </c>
      <c r="B109" s="196"/>
      <c r="C109" s="196"/>
      <c r="D109" s="196"/>
      <c r="E109" s="196"/>
      <c r="F109" s="196"/>
      <c r="G109" s="196"/>
      <c r="H109" s="196"/>
      <c r="I109" s="196"/>
    </row>
    <row r="110" spans="1:9" ht="15.75">
      <c r="A110" s="11"/>
    </row>
    <row r="111" spans="1:9" ht="15.75">
      <c r="A111" s="197" t="s">
        <v>9</v>
      </c>
      <c r="B111" s="197"/>
      <c r="C111" s="197"/>
      <c r="D111" s="197"/>
      <c r="E111" s="197"/>
      <c r="F111" s="197"/>
      <c r="G111" s="197"/>
      <c r="H111" s="197"/>
      <c r="I111" s="197"/>
    </row>
    <row r="112" spans="1:9" ht="15.75" customHeight="1">
      <c r="A112" s="4"/>
    </row>
    <row r="113" spans="1:9" ht="15.75" customHeight="1">
      <c r="B113" s="66" t="s">
        <v>10</v>
      </c>
      <c r="C113" s="198" t="s">
        <v>142</v>
      </c>
      <c r="D113" s="198"/>
      <c r="E113" s="198"/>
      <c r="F113" s="73"/>
      <c r="I113" s="68"/>
    </row>
    <row r="114" spans="1:9" ht="15.75" customHeight="1">
      <c r="A114" s="69"/>
      <c r="C114" s="194" t="s">
        <v>11</v>
      </c>
      <c r="D114" s="194"/>
      <c r="E114" s="194"/>
      <c r="F114" s="27"/>
      <c r="I114" s="67" t="s">
        <v>12</v>
      </c>
    </row>
    <row r="115" spans="1:9" ht="15.75" customHeight="1">
      <c r="A115" s="28"/>
      <c r="C115" s="12"/>
      <c r="D115" s="12"/>
      <c r="G115" s="12"/>
      <c r="H115" s="12"/>
    </row>
    <row r="116" spans="1:9" ht="15.75">
      <c r="B116" s="66" t="s">
        <v>13</v>
      </c>
      <c r="C116" s="199"/>
      <c r="D116" s="199"/>
      <c r="E116" s="199"/>
      <c r="F116" s="74"/>
      <c r="I116" s="68"/>
    </row>
    <row r="117" spans="1:9">
      <c r="A117" s="69"/>
      <c r="C117" s="188" t="s">
        <v>11</v>
      </c>
      <c r="D117" s="188"/>
      <c r="E117" s="188"/>
      <c r="F117" s="69"/>
      <c r="I117" s="67" t="s">
        <v>12</v>
      </c>
    </row>
    <row r="118" spans="1:9" ht="15.75">
      <c r="A118" s="4" t="s">
        <v>14</v>
      </c>
    </row>
    <row r="119" spans="1:9">
      <c r="A119" s="186" t="s">
        <v>15</v>
      </c>
      <c r="B119" s="186"/>
      <c r="C119" s="186"/>
      <c r="D119" s="186"/>
      <c r="E119" s="186"/>
      <c r="F119" s="186"/>
      <c r="G119" s="186"/>
      <c r="H119" s="186"/>
      <c r="I119" s="186"/>
    </row>
    <row r="120" spans="1:9" ht="45" customHeight="1">
      <c r="A120" s="187" t="s">
        <v>16</v>
      </c>
      <c r="B120" s="187"/>
      <c r="C120" s="187"/>
      <c r="D120" s="187"/>
      <c r="E120" s="187"/>
      <c r="F120" s="187"/>
      <c r="G120" s="187"/>
      <c r="H120" s="187"/>
      <c r="I120" s="187"/>
    </row>
    <row r="121" spans="1:9" ht="30" customHeight="1">
      <c r="A121" s="187" t="s">
        <v>17</v>
      </c>
      <c r="B121" s="187"/>
      <c r="C121" s="187"/>
      <c r="D121" s="187"/>
      <c r="E121" s="187"/>
      <c r="F121" s="187"/>
      <c r="G121" s="187"/>
      <c r="H121" s="187"/>
      <c r="I121" s="187"/>
    </row>
    <row r="122" spans="1:9" ht="30" customHeight="1">
      <c r="A122" s="187" t="s">
        <v>21</v>
      </c>
      <c r="B122" s="187"/>
      <c r="C122" s="187"/>
      <c r="D122" s="187"/>
      <c r="E122" s="187"/>
      <c r="F122" s="187"/>
      <c r="G122" s="187"/>
      <c r="H122" s="187"/>
      <c r="I122" s="187"/>
    </row>
    <row r="123" spans="1:9" ht="15" customHeight="1">
      <c r="A123" s="187" t="s">
        <v>20</v>
      </c>
      <c r="B123" s="187"/>
      <c r="C123" s="187"/>
      <c r="D123" s="187"/>
      <c r="E123" s="187"/>
      <c r="F123" s="187"/>
      <c r="G123" s="187"/>
      <c r="H123" s="187"/>
      <c r="I123" s="187"/>
    </row>
  </sheetData>
  <autoFilter ref="I12:I60"/>
  <mergeCells count="30">
    <mergeCell ref="A120:I120"/>
    <mergeCell ref="A121:I121"/>
    <mergeCell ref="A122:I122"/>
    <mergeCell ref="A123:I123"/>
    <mergeCell ref="A111:I111"/>
    <mergeCell ref="C113:E113"/>
    <mergeCell ref="C114:E114"/>
    <mergeCell ref="C116:E116"/>
    <mergeCell ref="C117:E117"/>
    <mergeCell ref="A119:I119"/>
    <mergeCell ref="A109:I109"/>
    <mergeCell ref="A15:I15"/>
    <mergeCell ref="A28:I28"/>
    <mergeCell ref="A46:I46"/>
    <mergeCell ref="A56:I56"/>
    <mergeCell ref="A85:I85"/>
    <mergeCell ref="A103:I103"/>
    <mergeCell ref="B104:G104"/>
    <mergeCell ref="B105:G105"/>
    <mergeCell ref="A107:I107"/>
    <mergeCell ref="A108:I108"/>
    <mergeCell ref="A102:I102"/>
    <mergeCell ref="R65:U65"/>
    <mergeCell ref="A81:I81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22"/>
  <sheetViews>
    <sheetView topLeftCell="A87" workbookViewId="0">
      <selection activeCell="B103" sqref="B103:G10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0.140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87</v>
      </c>
      <c r="I1" s="29"/>
      <c r="J1" s="1"/>
      <c r="K1" s="1"/>
      <c r="L1" s="1"/>
      <c r="M1" s="1"/>
    </row>
    <row r="2" spans="1:13" ht="15.75">
      <c r="A2" s="31" t="s">
        <v>62</v>
      </c>
      <c r="J2" s="2"/>
      <c r="K2" s="2"/>
      <c r="L2" s="2"/>
      <c r="M2" s="2"/>
    </row>
    <row r="3" spans="1:13" ht="15.75" customHeight="1">
      <c r="A3" s="210" t="s">
        <v>170</v>
      </c>
      <c r="B3" s="210"/>
      <c r="C3" s="210"/>
      <c r="D3" s="210"/>
      <c r="E3" s="210"/>
      <c r="F3" s="210"/>
      <c r="G3" s="210"/>
      <c r="H3" s="210"/>
      <c r="I3" s="210"/>
      <c r="J3" s="3"/>
      <c r="K3" s="3"/>
      <c r="L3" s="3"/>
    </row>
    <row r="4" spans="1:13" ht="31.5" customHeight="1">
      <c r="A4" s="211" t="s">
        <v>139</v>
      </c>
      <c r="B4" s="211"/>
      <c r="C4" s="211"/>
      <c r="D4" s="211"/>
      <c r="E4" s="211"/>
      <c r="F4" s="211"/>
      <c r="G4" s="211"/>
      <c r="H4" s="211"/>
      <c r="I4" s="211"/>
    </row>
    <row r="5" spans="1:13" ht="15.75">
      <c r="A5" s="210" t="s">
        <v>228</v>
      </c>
      <c r="B5" s="212"/>
      <c r="C5" s="212"/>
      <c r="D5" s="212"/>
      <c r="E5" s="212"/>
      <c r="F5" s="212"/>
      <c r="G5" s="212"/>
      <c r="H5" s="212"/>
      <c r="I5" s="212"/>
      <c r="J5" s="2"/>
      <c r="K5" s="2"/>
      <c r="L5" s="2"/>
      <c r="M5" s="2"/>
    </row>
    <row r="6" spans="1:13" ht="15.75">
      <c r="A6" s="2"/>
      <c r="B6" s="65"/>
      <c r="C6" s="65"/>
      <c r="D6" s="65"/>
      <c r="E6" s="65"/>
      <c r="F6" s="65"/>
      <c r="G6" s="65"/>
      <c r="H6" s="65"/>
      <c r="I6" s="33">
        <v>43281</v>
      </c>
      <c r="J6" s="2"/>
      <c r="K6" s="2"/>
      <c r="L6" s="2"/>
      <c r="M6" s="2"/>
    </row>
    <row r="7" spans="1:13" ht="15.75">
      <c r="B7" s="66"/>
      <c r="C7" s="66"/>
      <c r="D7" s="66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213" t="s">
        <v>145</v>
      </c>
      <c r="B8" s="213"/>
      <c r="C8" s="213"/>
      <c r="D8" s="213"/>
      <c r="E8" s="213"/>
      <c r="F8" s="213"/>
      <c r="G8" s="213"/>
      <c r="H8" s="213"/>
      <c r="I8" s="213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214" t="s">
        <v>175</v>
      </c>
      <c r="B10" s="214"/>
      <c r="C10" s="214"/>
      <c r="D10" s="214"/>
      <c r="E10" s="214"/>
      <c r="F10" s="214"/>
      <c r="G10" s="214"/>
      <c r="H10" s="214"/>
      <c r="I10" s="214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09" t="s">
        <v>59</v>
      </c>
      <c r="B14" s="209"/>
      <c r="C14" s="209"/>
      <c r="D14" s="209"/>
      <c r="E14" s="209"/>
      <c r="F14" s="209"/>
      <c r="G14" s="209"/>
      <c r="H14" s="209"/>
      <c r="I14" s="209"/>
      <c r="J14" s="8"/>
      <c r="K14" s="8"/>
      <c r="L14" s="8"/>
      <c r="M14" s="8"/>
    </row>
    <row r="15" spans="1:13" ht="15.75" customHeight="1">
      <c r="A15" s="205" t="s">
        <v>4</v>
      </c>
      <c r="B15" s="205"/>
      <c r="C15" s="205"/>
      <c r="D15" s="205"/>
      <c r="E15" s="205"/>
      <c r="F15" s="205"/>
      <c r="G15" s="205"/>
      <c r="H15" s="205"/>
      <c r="I15" s="205"/>
      <c r="J15" s="8"/>
      <c r="K15" s="8"/>
      <c r="L15" s="8"/>
      <c r="M15" s="8"/>
    </row>
    <row r="16" spans="1:13" ht="15.75" customHeight="1">
      <c r="A16" s="32">
        <v>1</v>
      </c>
      <c r="B16" s="76" t="s">
        <v>88</v>
      </c>
      <c r="C16" s="77" t="s">
        <v>89</v>
      </c>
      <c r="D16" s="76" t="s">
        <v>178</v>
      </c>
      <c r="E16" s="78">
        <v>208.08</v>
      </c>
      <c r="F16" s="79">
        <f>SUM(E16*156/100)</f>
        <v>324.60480000000001</v>
      </c>
      <c r="G16" s="79">
        <v>175.38</v>
      </c>
      <c r="H16" s="80">
        <f t="shared" ref="H16:H25" si="0">SUM(F16*G16/1000)</f>
        <v>56.929189823999998</v>
      </c>
      <c r="I16" s="13">
        <f>F16/12*G16</f>
        <v>4744.0991519999998</v>
      </c>
      <c r="J16" s="24"/>
      <c r="K16" s="8"/>
      <c r="L16" s="8"/>
      <c r="M16" s="8"/>
    </row>
    <row r="17" spans="1:13" ht="15.75" customHeight="1">
      <c r="A17" s="32">
        <v>2</v>
      </c>
      <c r="B17" s="76" t="s">
        <v>119</v>
      </c>
      <c r="C17" s="77" t="s">
        <v>89</v>
      </c>
      <c r="D17" s="76" t="s">
        <v>177</v>
      </c>
      <c r="E17" s="78">
        <v>832.32</v>
      </c>
      <c r="F17" s="79">
        <f>SUM(E17*104/100)</f>
        <v>865.61279999999999</v>
      </c>
      <c r="G17" s="79">
        <v>175.38</v>
      </c>
      <c r="H17" s="80">
        <f t="shared" si="0"/>
        <v>151.81117286399999</v>
      </c>
      <c r="I17" s="13">
        <f>F17/12*G17</f>
        <v>12650.931071999999</v>
      </c>
      <c r="J17" s="25"/>
      <c r="K17" s="8"/>
      <c r="L17" s="8"/>
      <c r="M17" s="8"/>
    </row>
    <row r="18" spans="1:13" ht="15.75" customHeight="1">
      <c r="A18" s="32">
        <v>3</v>
      </c>
      <c r="B18" s="76" t="s">
        <v>120</v>
      </c>
      <c r="C18" s="77" t="s">
        <v>89</v>
      </c>
      <c r="D18" s="76" t="s">
        <v>176</v>
      </c>
      <c r="E18" s="78">
        <v>1040.4000000000001</v>
      </c>
      <c r="F18" s="79">
        <f>SUM(E18*24/100)</f>
        <v>249.69600000000003</v>
      </c>
      <c r="G18" s="79">
        <v>504.5</v>
      </c>
      <c r="H18" s="80">
        <f t="shared" si="0"/>
        <v>125.97163200000001</v>
      </c>
      <c r="I18" s="13">
        <f>F18/12*G18</f>
        <v>10497.636000000002</v>
      </c>
      <c r="J18" s="25"/>
      <c r="K18" s="8"/>
      <c r="L18" s="8"/>
      <c r="M18" s="8"/>
    </row>
    <row r="19" spans="1:13" ht="15.75" hidden="1" customHeight="1">
      <c r="A19" s="32"/>
      <c r="B19" s="76" t="s">
        <v>96</v>
      </c>
      <c r="C19" s="77" t="s">
        <v>97</v>
      </c>
      <c r="D19" s="76" t="s">
        <v>98</v>
      </c>
      <c r="E19" s="78">
        <v>48</v>
      </c>
      <c r="F19" s="79">
        <f>SUM(E19/10)</f>
        <v>4.8</v>
      </c>
      <c r="G19" s="79">
        <v>170.16</v>
      </c>
      <c r="H19" s="80">
        <f t="shared" si="0"/>
        <v>0.81676799999999994</v>
      </c>
      <c r="I19" s="13">
        <v>0</v>
      </c>
      <c r="J19" s="25"/>
      <c r="K19" s="8"/>
      <c r="L19" s="8"/>
      <c r="M19" s="8"/>
    </row>
    <row r="20" spans="1:13" ht="15.75" customHeight="1">
      <c r="A20" s="32">
        <v>4</v>
      </c>
      <c r="B20" s="76" t="s">
        <v>99</v>
      </c>
      <c r="C20" s="77" t="s">
        <v>89</v>
      </c>
      <c r="D20" s="76" t="s">
        <v>121</v>
      </c>
      <c r="E20" s="78">
        <v>30.6</v>
      </c>
      <c r="F20" s="79">
        <f>SUM(E20*12/100)</f>
        <v>3.6720000000000006</v>
      </c>
      <c r="G20" s="79">
        <v>217.88</v>
      </c>
      <c r="H20" s="80">
        <f t="shared" si="0"/>
        <v>0.8000553600000001</v>
      </c>
      <c r="I20" s="13">
        <f>F20/12*G20</f>
        <v>66.67128000000001</v>
      </c>
      <c r="J20" s="25"/>
      <c r="K20" s="8"/>
      <c r="L20" s="8"/>
      <c r="M20" s="8"/>
    </row>
    <row r="21" spans="1:13" ht="15.75" customHeight="1">
      <c r="A21" s="32">
        <v>5</v>
      </c>
      <c r="B21" s="76" t="s">
        <v>100</v>
      </c>
      <c r="C21" s="77" t="s">
        <v>89</v>
      </c>
      <c r="D21" s="76" t="s">
        <v>30</v>
      </c>
      <c r="E21" s="78">
        <v>10.06</v>
      </c>
      <c r="F21" s="79">
        <f>SUM(E21*12/100)</f>
        <v>1.2072000000000001</v>
      </c>
      <c r="G21" s="79">
        <v>216.12</v>
      </c>
      <c r="H21" s="80">
        <f t="shared" si="0"/>
        <v>0.26090006400000004</v>
      </c>
      <c r="I21" s="13">
        <f>F21/12*G21</f>
        <v>21.741672000000001</v>
      </c>
      <c r="J21" s="25"/>
      <c r="K21" s="8"/>
      <c r="L21" s="8"/>
      <c r="M21" s="8"/>
    </row>
    <row r="22" spans="1:13" ht="15.75" hidden="1" customHeight="1">
      <c r="A22" s="32"/>
      <c r="B22" s="76" t="s">
        <v>101</v>
      </c>
      <c r="C22" s="77" t="s">
        <v>52</v>
      </c>
      <c r="D22" s="76" t="s">
        <v>98</v>
      </c>
      <c r="E22" s="78">
        <v>769.2</v>
      </c>
      <c r="F22" s="79">
        <f>SUM(E22/100)</f>
        <v>7.6920000000000002</v>
      </c>
      <c r="G22" s="79">
        <v>269.26</v>
      </c>
      <c r="H22" s="80">
        <f t="shared" si="0"/>
        <v>2.07114792</v>
      </c>
      <c r="I22" s="13">
        <v>0</v>
      </c>
      <c r="J22" s="25"/>
      <c r="K22" s="8"/>
      <c r="L22" s="8"/>
      <c r="M22" s="8"/>
    </row>
    <row r="23" spans="1:13" ht="15.75" hidden="1" customHeight="1">
      <c r="A23" s="32"/>
      <c r="B23" s="76" t="s">
        <v>102</v>
      </c>
      <c r="C23" s="77" t="s">
        <v>52</v>
      </c>
      <c r="D23" s="76" t="s">
        <v>98</v>
      </c>
      <c r="E23" s="81">
        <v>35.28</v>
      </c>
      <c r="F23" s="79">
        <f>SUM(E23/100)</f>
        <v>0.3528</v>
      </c>
      <c r="G23" s="79">
        <v>44.29</v>
      </c>
      <c r="H23" s="80">
        <f t="shared" si="0"/>
        <v>1.5625512000000001E-2</v>
      </c>
      <c r="I23" s="13">
        <v>0</v>
      </c>
      <c r="J23" s="25"/>
      <c r="K23" s="8"/>
      <c r="L23" s="8"/>
      <c r="M23" s="8"/>
    </row>
    <row r="24" spans="1:13" ht="15.75" customHeight="1">
      <c r="A24" s="32">
        <v>6</v>
      </c>
      <c r="B24" s="76" t="s">
        <v>103</v>
      </c>
      <c r="C24" s="77" t="s">
        <v>52</v>
      </c>
      <c r="D24" s="76" t="s">
        <v>30</v>
      </c>
      <c r="E24" s="78">
        <v>10.8</v>
      </c>
      <c r="F24" s="79">
        <f>E24*12/100</f>
        <v>1.2960000000000003</v>
      </c>
      <c r="G24" s="79">
        <v>389.72</v>
      </c>
      <c r="H24" s="80">
        <f t="shared" si="0"/>
        <v>0.50507712000000016</v>
      </c>
      <c r="I24" s="13">
        <f>F24/12*G24</f>
        <v>42.089760000000012</v>
      </c>
      <c r="J24" s="25"/>
      <c r="K24" s="8"/>
      <c r="L24" s="8"/>
      <c r="M24" s="8"/>
    </row>
    <row r="25" spans="1:13" ht="15.75" customHeight="1">
      <c r="A25" s="32">
        <v>7</v>
      </c>
      <c r="B25" s="76" t="s">
        <v>104</v>
      </c>
      <c r="C25" s="77" t="s">
        <v>52</v>
      </c>
      <c r="D25" s="76" t="s">
        <v>122</v>
      </c>
      <c r="E25" s="78">
        <v>21.6</v>
      </c>
      <c r="F25" s="79">
        <f>SUM(E25*12/100)</f>
        <v>2.5920000000000005</v>
      </c>
      <c r="G25" s="79">
        <v>520.79999999999995</v>
      </c>
      <c r="H25" s="80">
        <f t="shared" si="0"/>
        <v>1.3499136</v>
      </c>
      <c r="I25" s="13">
        <f>F25/12*G25</f>
        <v>112.49280000000002</v>
      </c>
      <c r="J25" s="25"/>
      <c r="K25" s="8"/>
      <c r="L25" s="8"/>
      <c r="M25" s="8"/>
    </row>
    <row r="26" spans="1:13" ht="15.75" customHeight="1">
      <c r="A26" s="32">
        <v>8</v>
      </c>
      <c r="B26" s="76" t="s">
        <v>64</v>
      </c>
      <c r="C26" s="77" t="s">
        <v>33</v>
      </c>
      <c r="D26" s="76"/>
      <c r="E26" s="78">
        <v>0.1</v>
      </c>
      <c r="F26" s="79">
        <f>SUM(E26*365)</f>
        <v>36.5</v>
      </c>
      <c r="G26" s="79">
        <v>147.03</v>
      </c>
      <c r="H26" s="80">
        <f>SUM(F26*G26/1000)</f>
        <v>5.3665950000000002</v>
      </c>
      <c r="I26" s="13">
        <f>F26/12*G26</f>
        <v>447.21625</v>
      </c>
      <c r="J26" s="26"/>
    </row>
    <row r="27" spans="1:13" ht="15.75" customHeight="1">
      <c r="A27" s="32">
        <v>9</v>
      </c>
      <c r="B27" s="84" t="s">
        <v>23</v>
      </c>
      <c r="C27" s="77" t="s">
        <v>24</v>
      </c>
      <c r="D27" s="76"/>
      <c r="E27" s="78">
        <v>6980.3</v>
      </c>
      <c r="F27" s="79">
        <f>SUM(E27*12)</f>
        <v>83763.600000000006</v>
      </c>
      <c r="G27" s="79">
        <v>4.4000000000000004</v>
      </c>
      <c r="H27" s="80">
        <f>SUM(F27*G27/1000)</f>
        <v>368.55984000000007</v>
      </c>
      <c r="I27" s="13">
        <f>F27/12*G27</f>
        <v>30713.320000000003</v>
      </c>
      <c r="J27" s="26"/>
    </row>
    <row r="28" spans="1:13" ht="15" customHeight="1">
      <c r="A28" s="205" t="s">
        <v>86</v>
      </c>
      <c r="B28" s="205"/>
      <c r="C28" s="205"/>
      <c r="D28" s="205"/>
      <c r="E28" s="205"/>
      <c r="F28" s="205"/>
      <c r="G28" s="205"/>
      <c r="H28" s="205"/>
      <c r="I28" s="205"/>
      <c r="J28" s="25"/>
      <c r="K28" s="8"/>
      <c r="L28" s="8"/>
      <c r="M28" s="8"/>
    </row>
    <row r="29" spans="1:13" ht="15.75" customHeight="1">
      <c r="A29" s="32"/>
      <c r="B29" s="100" t="s">
        <v>28</v>
      </c>
      <c r="C29" s="77"/>
      <c r="D29" s="76"/>
      <c r="E29" s="78"/>
      <c r="F29" s="79"/>
      <c r="G29" s="79"/>
      <c r="H29" s="80"/>
      <c r="I29" s="13"/>
      <c r="J29" s="25"/>
      <c r="K29" s="8"/>
      <c r="L29" s="8"/>
      <c r="M29" s="8"/>
    </row>
    <row r="30" spans="1:13" ht="15.75" customHeight="1">
      <c r="A30" s="32">
        <v>10</v>
      </c>
      <c r="B30" s="76" t="s">
        <v>108</v>
      </c>
      <c r="C30" s="77" t="s">
        <v>91</v>
      </c>
      <c r="D30" s="76" t="s">
        <v>185</v>
      </c>
      <c r="E30" s="79">
        <v>1168.05</v>
      </c>
      <c r="F30" s="79">
        <f>SUM(E30*52/1000)</f>
        <v>60.738599999999998</v>
      </c>
      <c r="G30" s="79">
        <v>155.88999999999999</v>
      </c>
      <c r="H30" s="80">
        <f t="shared" ref="H30:H36" si="1">SUM(F30*G30/1000)</f>
        <v>9.4685403539999982</v>
      </c>
      <c r="I30" s="13">
        <f>F30/6*G30</f>
        <v>1578.0900589999997</v>
      </c>
      <c r="J30" s="25"/>
      <c r="K30" s="8"/>
      <c r="L30" s="8"/>
      <c r="M30" s="8"/>
    </row>
    <row r="31" spans="1:13" ht="31.5" customHeight="1">
      <c r="A31" s="32">
        <v>11</v>
      </c>
      <c r="B31" s="76" t="s">
        <v>124</v>
      </c>
      <c r="C31" s="77" t="s">
        <v>91</v>
      </c>
      <c r="D31" s="76" t="s">
        <v>186</v>
      </c>
      <c r="E31" s="79">
        <v>1039.2</v>
      </c>
      <c r="F31" s="79">
        <f>SUM(E31*78/1000)</f>
        <v>81.057600000000008</v>
      </c>
      <c r="G31" s="79">
        <v>258.63</v>
      </c>
      <c r="H31" s="80">
        <f t="shared" si="1"/>
        <v>20.963927088000002</v>
      </c>
      <c r="I31" s="13">
        <f t="shared" ref="I31:I34" si="2">F31/6*G31</f>
        <v>3493.9878480000002</v>
      </c>
      <c r="J31" s="25"/>
      <c r="K31" s="8"/>
      <c r="L31" s="8"/>
      <c r="M31" s="8"/>
    </row>
    <row r="32" spans="1:13" ht="15.75" hidden="1" customHeight="1">
      <c r="A32" s="32">
        <v>16</v>
      </c>
      <c r="B32" s="76" t="s">
        <v>27</v>
      </c>
      <c r="C32" s="77" t="s">
        <v>91</v>
      </c>
      <c r="D32" s="76" t="s">
        <v>53</v>
      </c>
      <c r="E32" s="79">
        <v>584.03</v>
      </c>
      <c r="F32" s="79">
        <f>SUM(E32/1000)</f>
        <v>0.58402999999999994</v>
      </c>
      <c r="G32" s="79">
        <v>3020.33</v>
      </c>
      <c r="H32" s="80">
        <f t="shared" si="1"/>
        <v>1.7639633298999997</v>
      </c>
      <c r="I32" s="13">
        <f>F32*G32</f>
        <v>1763.9633298999997</v>
      </c>
      <c r="J32" s="25"/>
      <c r="K32" s="8"/>
      <c r="L32" s="8"/>
      <c r="M32" s="8"/>
    </row>
    <row r="33" spans="1:14" ht="15.75" customHeight="1">
      <c r="A33" s="32">
        <v>12</v>
      </c>
      <c r="B33" s="76" t="s">
        <v>123</v>
      </c>
      <c r="C33" s="77" t="s">
        <v>39</v>
      </c>
      <c r="D33" s="76" t="s">
        <v>63</v>
      </c>
      <c r="E33" s="79">
        <v>6</v>
      </c>
      <c r="F33" s="79">
        <f>E33*155/100</f>
        <v>9.3000000000000007</v>
      </c>
      <c r="G33" s="79">
        <v>1302.02</v>
      </c>
      <c r="H33" s="80">
        <f>G33*F33/1000</f>
        <v>12.108786</v>
      </c>
      <c r="I33" s="13">
        <f t="shared" si="2"/>
        <v>2018.1310000000001</v>
      </c>
      <c r="J33" s="25"/>
      <c r="K33" s="8"/>
      <c r="L33" s="8"/>
      <c r="M33" s="8"/>
    </row>
    <row r="34" spans="1:14" ht="15.75" customHeight="1">
      <c r="A34" s="32">
        <v>13</v>
      </c>
      <c r="B34" s="76" t="s">
        <v>107</v>
      </c>
      <c r="C34" s="77" t="s">
        <v>31</v>
      </c>
      <c r="D34" s="76" t="s">
        <v>63</v>
      </c>
      <c r="E34" s="83">
        <v>0.33333333333333331</v>
      </c>
      <c r="F34" s="79">
        <f>155/3</f>
        <v>51.666666666666664</v>
      </c>
      <c r="G34" s="79">
        <v>56.69</v>
      </c>
      <c r="H34" s="80">
        <f>SUM(G34*155/3/1000)</f>
        <v>2.9289833333333331</v>
      </c>
      <c r="I34" s="13">
        <f t="shared" si="2"/>
        <v>488.16388888888883</v>
      </c>
      <c r="J34" s="25"/>
      <c r="K34" s="8"/>
    </row>
    <row r="35" spans="1:14" ht="15.75" hidden="1" customHeight="1">
      <c r="A35" s="32"/>
      <c r="B35" s="76" t="s">
        <v>65</v>
      </c>
      <c r="C35" s="77" t="s">
        <v>33</v>
      </c>
      <c r="D35" s="76" t="s">
        <v>67</v>
      </c>
      <c r="E35" s="78"/>
      <c r="F35" s="79">
        <v>4</v>
      </c>
      <c r="G35" s="79">
        <v>180.15</v>
      </c>
      <c r="H35" s="80">
        <f t="shared" si="1"/>
        <v>0.72060000000000002</v>
      </c>
      <c r="I35" s="13">
        <v>0</v>
      </c>
      <c r="J35" s="26"/>
    </row>
    <row r="36" spans="1:14" ht="15.75" hidden="1" customHeight="1">
      <c r="A36" s="32"/>
      <c r="B36" s="76" t="s">
        <v>66</v>
      </c>
      <c r="C36" s="77" t="s">
        <v>32</v>
      </c>
      <c r="D36" s="76" t="s">
        <v>67</v>
      </c>
      <c r="E36" s="78"/>
      <c r="F36" s="79">
        <v>3</v>
      </c>
      <c r="G36" s="79">
        <v>1136.33</v>
      </c>
      <c r="H36" s="80">
        <f t="shared" si="1"/>
        <v>3.4089899999999997</v>
      </c>
      <c r="I36" s="13">
        <v>0</v>
      </c>
      <c r="J36" s="26"/>
    </row>
    <row r="37" spans="1:14" ht="15.75" hidden="1" customHeight="1">
      <c r="A37" s="32"/>
      <c r="B37" s="100" t="s">
        <v>5</v>
      </c>
      <c r="C37" s="77"/>
      <c r="D37" s="76"/>
      <c r="E37" s="78"/>
      <c r="F37" s="79"/>
      <c r="G37" s="79"/>
      <c r="H37" s="80" t="s">
        <v>150</v>
      </c>
      <c r="I37" s="13"/>
      <c r="J37" s="26"/>
    </row>
    <row r="38" spans="1:14" ht="15.75" hidden="1" customHeight="1">
      <c r="A38" s="32">
        <v>10</v>
      </c>
      <c r="B38" s="76" t="s">
        <v>26</v>
      </c>
      <c r="C38" s="77" t="s">
        <v>32</v>
      </c>
      <c r="D38" s="76"/>
      <c r="E38" s="78"/>
      <c r="F38" s="79">
        <v>10</v>
      </c>
      <c r="G38" s="79">
        <v>1527.22</v>
      </c>
      <c r="H38" s="80">
        <f t="shared" ref="H38:H45" si="3">SUM(F38*G38/1000)</f>
        <v>15.272200000000002</v>
      </c>
      <c r="I38" s="13">
        <f>F38/6*G38</f>
        <v>2545.3666666666668</v>
      </c>
      <c r="J38" s="26"/>
    </row>
    <row r="39" spans="1:14" ht="15.75" hidden="1" customHeight="1">
      <c r="A39" s="32">
        <v>11</v>
      </c>
      <c r="B39" s="76" t="s">
        <v>125</v>
      </c>
      <c r="C39" s="77" t="s">
        <v>33</v>
      </c>
      <c r="D39" s="76"/>
      <c r="E39" s="78"/>
      <c r="F39" s="79">
        <v>10</v>
      </c>
      <c r="G39" s="79">
        <v>77.94</v>
      </c>
      <c r="H39" s="80">
        <f>G39*F39/1000</f>
        <v>0.77939999999999998</v>
      </c>
      <c r="I39" s="13">
        <f>F39/6*G39</f>
        <v>129.9</v>
      </c>
      <c r="J39" s="26"/>
      <c r="L39" s="19"/>
      <c r="M39" s="20"/>
      <c r="N39" s="21"/>
    </row>
    <row r="40" spans="1:14" ht="15.75" hidden="1" customHeight="1">
      <c r="A40" s="32">
        <v>12</v>
      </c>
      <c r="B40" s="76" t="s">
        <v>109</v>
      </c>
      <c r="C40" s="77" t="s">
        <v>29</v>
      </c>
      <c r="D40" s="76" t="s">
        <v>126</v>
      </c>
      <c r="E40" s="78">
        <v>1039.2</v>
      </c>
      <c r="F40" s="79">
        <f>E40*25/1000</f>
        <v>25.98</v>
      </c>
      <c r="G40" s="79">
        <v>2102.71</v>
      </c>
      <c r="H40" s="80">
        <f>G40*F40/1000</f>
        <v>54.628405800000003</v>
      </c>
      <c r="I40" s="13">
        <f>F40/6*G40</f>
        <v>9104.7343000000001</v>
      </c>
      <c r="J40" s="26"/>
      <c r="L40" s="19"/>
      <c r="M40" s="20"/>
      <c r="N40" s="21"/>
    </row>
    <row r="41" spans="1:14" ht="15.75" hidden="1" customHeight="1">
      <c r="A41" s="32"/>
      <c r="B41" s="76" t="s">
        <v>127</v>
      </c>
      <c r="C41" s="77" t="s">
        <v>128</v>
      </c>
      <c r="D41" s="76" t="s">
        <v>67</v>
      </c>
      <c r="E41" s="78"/>
      <c r="F41" s="79">
        <v>50</v>
      </c>
      <c r="G41" s="79">
        <v>213.2</v>
      </c>
      <c r="H41" s="80">
        <f>G41*F41/1000</f>
        <v>10.66</v>
      </c>
      <c r="I41" s="13">
        <v>0</v>
      </c>
      <c r="J41" s="26"/>
      <c r="L41" s="19"/>
      <c r="M41" s="20"/>
      <c r="N41" s="21"/>
    </row>
    <row r="42" spans="1:14" ht="15.75" hidden="1" customHeight="1">
      <c r="A42" s="32">
        <v>13</v>
      </c>
      <c r="B42" s="76" t="s">
        <v>68</v>
      </c>
      <c r="C42" s="77" t="s">
        <v>29</v>
      </c>
      <c r="D42" s="76" t="s">
        <v>90</v>
      </c>
      <c r="E42" s="79">
        <v>153</v>
      </c>
      <c r="F42" s="79">
        <f>SUM(E42*155/1000)</f>
        <v>23.715</v>
      </c>
      <c r="G42" s="79">
        <v>350.75</v>
      </c>
      <c r="H42" s="80">
        <f t="shared" si="3"/>
        <v>8.3180362499999987</v>
      </c>
      <c r="I42" s="13">
        <f>F42/6*G42</f>
        <v>1386.339375</v>
      </c>
      <c r="J42" s="26"/>
      <c r="L42" s="19"/>
      <c r="M42" s="20"/>
      <c r="N42" s="21"/>
    </row>
    <row r="43" spans="1:14" ht="47.25" hidden="1" customHeight="1">
      <c r="A43" s="32">
        <v>14</v>
      </c>
      <c r="B43" s="76" t="s">
        <v>84</v>
      </c>
      <c r="C43" s="77" t="s">
        <v>91</v>
      </c>
      <c r="D43" s="76" t="s">
        <v>129</v>
      </c>
      <c r="E43" s="79">
        <v>24</v>
      </c>
      <c r="F43" s="79">
        <f>SUM(E43*50/1000)</f>
        <v>1.2</v>
      </c>
      <c r="G43" s="79">
        <v>5803.28</v>
      </c>
      <c r="H43" s="80">
        <f t="shared" si="3"/>
        <v>6.9639359999999995</v>
      </c>
      <c r="I43" s="13">
        <f>F43/6*G43</f>
        <v>1160.6559999999999</v>
      </c>
      <c r="J43" s="26"/>
      <c r="L43" s="19"/>
      <c r="M43" s="20"/>
      <c r="N43" s="21"/>
    </row>
    <row r="44" spans="1:14" ht="15.75" hidden="1" customHeight="1">
      <c r="A44" s="32">
        <v>15</v>
      </c>
      <c r="B44" s="76" t="s">
        <v>92</v>
      </c>
      <c r="C44" s="77" t="s">
        <v>91</v>
      </c>
      <c r="D44" s="76" t="s">
        <v>69</v>
      </c>
      <c r="E44" s="79">
        <v>153</v>
      </c>
      <c r="F44" s="79">
        <f>SUM(E44*45/1000)</f>
        <v>6.8849999999999998</v>
      </c>
      <c r="G44" s="79">
        <v>428.7</v>
      </c>
      <c r="H44" s="80">
        <f t="shared" si="3"/>
        <v>2.9515994999999999</v>
      </c>
      <c r="I44" s="13">
        <f>F44/6*G44</f>
        <v>491.93324999999999</v>
      </c>
      <c r="J44" s="26"/>
      <c r="L44" s="19"/>
      <c r="M44" s="20"/>
      <c r="N44" s="21"/>
    </row>
    <row r="45" spans="1:14" ht="15.75" hidden="1" customHeight="1">
      <c r="A45" s="32">
        <v>16</v>
      </c>
      <c r="B45" s="76" t="s">
        <v>70</v>
      </c>
      <c r="C45" s="77" t="s">
        <v>33</v>
      </c>
      <c r="D45" s="76"/>
      <c r="E45" s="78"/>
      <c r="F45" s="79">
        <v>0.9</v>
      </c>
      <c r="G45" s="79">
        <v>798</v>
      </c>
      <c r="H45" s="80">
        <f t="shared" si="3"/>
        <v>0.71820000000000006</v>
      </c>
      <c r="I45" s="13">
        <f>F45/6*G45</f>
        <v>119.69999999999999</v>
      </c>
      <c r="J45" s="26"/>
      <c r="L45" s="19"/>
      <c r="M45" s="20"/>
      <c r="N45" s="21"/>
    </row>
    <row r="46" spans="1:14" ht="15" hidden="1" customHeight="1">
      <c r="A46" s="206" t="s">
        <v>146</v>
      </c>
      <c r="B46" s="207"/>
      <c r="C46" s="207"/>
      <c r="D46" s="207"/>
      <c r="E46" s="207"/>
      <c r="F46" s="207"/>
      <c r="G46" s="207"/>
      <c r="H46" s="207"/>
      <c r="I46" s="208"/>
      <c r="J46" s="26"/>
      <c r="L46" s="19"/>
      <c r="M46" s="20"/>
      <c r="N46" s="21"/>
    </row>
    <row r="47" spans="1:14" ht="15.75" hidden="1" customHeight="1">
      <c r="A47" s="32"/>
      <c r="B47" s="76" t="s">
        <v>130</v>
      </c>
      <c r="C47" s="77" t="s">
        <v>91</v>
      </c>
      <c r="D47" s="76" t="s">
        <v>42</v>
      </c>
      <c r="E47" s="78">
        <v>1895</v>
      </c>
      <c r="F47" s="79">
        <f>SUM(E47*2/1000)</f>
        <v>3.79</v>
      </c>
      <c r="G47" s="13">
        <v>849.49</v>
      </c>
      <c r="H47" s="80">
        <f t="shared" ref="H47:H55" si="4">SUM(F47*G47/1000)</f>
        <v>3.2195671000000003</v>
      </c>
      <c r="I47" s="13">
        <v>0</v>
      </c>
      <c r="J47" s="26"/>
      <c r="L47" s="19"/>
      <c r="M47" s="20"/>
      <c r="N47" s="21"/>
    </row>
    <row r="48" spans="1:14" ht="15.75" hidden="1" customHeight="1">
      <c r="A48" s="32"/>
      <c r="B48" s="76" t="s">
        <v>34</v>
      </c>
      <c r="C48" s="77" t="s">
        <v>91</v>
      </c>
      <c r="D48" s="76" t="s">
        <v>42</v>
      </c>
      <c r="E48" s="78">
        <v>118.2</v>
      </c>
      <c r="F48" s="79">
        <f>E48*2/1000</f>
        <v>0.2364</v>
      </c>
      <c r="G48" s="13">
        <v>579.48</v>
      </c>
      <c r="H48" s="80">
        <f t="shared" si="4"/>
        <v>0.13698907199999999</v>
      </c>
      <c r="I48" s="13">
        <v>0</v>
      </c>
      <c r="J48" s="26"/>
      <c r="L48" s="19"/>
      <c r="M48" s="20"/>
      <c r="N48" s="21"/>
    </row>
    <row r="49" spans="1:22" ht="15.75" hidden="1" customHeight="1">
      <c r="A49" s="32"/>
      <c r="B49" s="76" t="s">
        <v>35</v>
      </c>
      <c r="C49" s="77" t="s">
        <v>91</v>
      </c>
      <c r="D49" s="76" t="s">
        <v>42</v>
      </c>
      <c r="E49" s="78">
        <v>4675</v>
      </c>
      <c r="F49" s="79">
        <f>SUM(E49*2/1000)</f>
        <v>9.35</v>
      </c>
      <c r="G49" s="13">
        <v>579.48</v>
      </c>
      <c r="H49" s="80">
        <f t="shared" si="4"/>
        <v>5.4181379999999999</v>
      </c>
      <c r="I49" s="13">
        <v>0</v>
      </c>
      <c r="J49" s="26"/>
      <c r="L49" s="19"/>
      <c r="M49" s="20"/>
      <c r="N49" s="21"/>
    </row>
    <row r="50" spans="1:22" ht="15.75" hidden="1" customHeight="1">
      <c r="A50" s="32"/>
      <c r="B50" s="76" t="s">
        <v>36</v>
      </c>
      <c r="C50" s="77" t="s">
        <v>91</v>
      </c>
      <c r="D50" s="76" t="s">
        <v>42</v>
      </c>
      <c r="E50" s="78">
        <v>4675</v>
      </c>
      <c r="F50" s="79">
        <f>SUM(E50*2/1000)</f>
        <v>9.35</v>
      </c>
      <c r="G50" s="13">
        <v>606.77</v>
      </c>
      <c r="H50" s="80">
        <f t="shared" si="4"/>
        <v>5.6732994999999988</v>
      </c>
      <c r="I50" s="13">
        <v>0</v>
      </c>
      <c r="J50" s="26"/>
      <c r="L50" s="19"/>
      <c r="M50" s="20"/>
      <c r="N50" s="21"/>
    </row>
    <row r="51" spans="1:22" ht="15.75" hidden="1" customHeight="1">
      <c r="A51" s="32">
        <v>17</v>
      </c>
      <c r="B51" s="76" t="s">
        <v>56</v>
      </c>
      <c r="C51" s="77" t="s">
        <v>91</v>
      </c>
      <c r="D51" s="76" t="s">
        <v>164</v>
      </c>
      <c r="E51" s="78">
        <v>3988</v>
      </c>
      <c r="F51" s="79">
        <f>SUM(E51*5/1000)</f>
        <v>19.940000000000001</v>
      </c>
      <c r="G51" s="13">
        <v>1142.7</v>
      </c>
      <c r="H51" s="80">
        <f t="shared" si="4"/>
        <v>22.785438000000003</v>
      </c>
      <c r="I51" s="13">
        <f>F51/5*G51</f>
        <v>4557.0876000000007</v>
      </c>
      <c r="J51" s="26"/>
      <c r="L51" s="19"/>
      <c r="M51" s="20"/>
      <c r="N51" s="21"/>
    </row>
    <row r="52" spans="1:22" ht="31.5" hidden="1" customHeight="1">
      <c r="A52" s="32"/>
      <c r="B52" s="76" t="s">
        <v>93</v>
      </c>
      <c r="C52" s="77" t="s">
        <v>91</v>
      </c>
      <c r="D52" s="76" t="s">
        <v>42</v>
      </c>
      <c r="E52" s="78">
        <v>3988</v>
      </c>
      <c r="F52" s="79">
        <f>SUM(E52*2/1000)</f>
        <v>7.976</v>
      </c>
      <c r="G52" s="13">
        <v>1213.55</v>
      </c>
      <c r="H52" s="80">
        <f t="shared" si="4"/>
        <v>9.6792748</v>
      </c>
      <c r="I52" s="13">
        <v>0</v>
      </c>
      <c r="J52" s="26"/>
      <c r="L52" s="19"/>
      <c r="M52" s="20"/>
      <c r="N52" s="21"/>
    </row>
    <row r="53" spans="1:22" ht="31.5" hidden="1" customHeight="1">
      <c r="A53" s="32"/>
      <c r="B53" s="76" t="s">
        <v>94</v>
      </c>
      <c r="C53" s="77" t="s">
        <v>37</v>
      </c>
      <c r="D53" s="76" t="s">
        <v>42</v>
      </c>
      <c r="E53" s="78">
        <v>30</v>
      </c>
      <c r="F53" s="79">
        <f>SUM(E53*2/100)</f>
        <v>0.6</v>
      </c>
      <c r="G53" s="13">
        <v>2730.49</v>
      </c>
      <c r="H53" s="80">
        <f>SUM(F53*G53/1000)</f>
        <v>1.6382939999999999</v>
      </c>
      <c r="I53" s="13">
        <v>0</v>
      </c>
      <c r="J53" s="26"/>
      <c r="L53" s="19"/>
      <c r="M53" s="20"/>
      <c r="N53" s="21"/>
    </row>
    <row r="54" spans="1:22" ht="15.75" hidden="1" customHeight="1">
      <c r="A54" s="32"/>
      <c r="B54" s="76" t="s">
        <v>38</v>
      </c>
      <c r="C54" s="77" t="s">
        <v>39</v>
      </c>
      <c r="D54" s="76" t="s">
        <v>42</v>
      </c>
      <c r="E54" s="78">
        <v>1</v>
      </c>
      <c r="F54" s="79">
        <v>0.02</v>
      </c>
      <c r="G54" s="13">
        <v>5652.13</v>
      </c>
      <c r="H54" s="80">
        <f t="shared" si="4"/>
        <v>0.11304260000000001</v>
      </c>
      <c r="I54" s="13">
        <v>0</v>
      </c>
      <c r="J54" s="26"/>
      <c r="L54" s="19"/>
      <c r="M54" s="20"/>
      <c r="N54" s="21"/>
    </row>
    <row r="55" spans="1:22" ht="15.75" hidden="1" customHeight="1">
      <c r="A55" s="32">
        <v>18</v>
      </c>
      <c r="B55" s="76" t="s">
        <v>41</v>
      </c>
      <c r="C55" s="77" t="s">
        <v>110</v>
      </c>
      <c r="D55" s="76" t="s">
        <v>71</v>
      </c>
      <c r="E55" s="78">
        <v>236</v>
      </c>
      <c r="F55" s="79">
        <f>SUM(E55)*3</f>
        <v>708</v>
      </c>
      <c r="G55" s="13">
        <v>65.67</v>
      </c>
      <c r="H55" s="80">
        <f t="shared" si="4"/>
        <v>46.49436</v>
      </c>
      <c r="I55" s="13">
        <f>E55*G55</f>
        <v>15498.12</v>
      </c>
      <c r="J55" s="26"/>
      <c r="L55" s="19"/>
      <c r="M55" s="20"/>
      <c r="N55" s="21"/>
    </row>
    <row r="56" spans="1:22" ht="15.75" customHeight="1">
      <c r="A56" s="206" t="s">
        <v>144</v>
      </c>
      <c r="B56" s="207"/>
      <c r="C56" s="207"/>
      <c r="D56" s="207"/>
      <c r="E56" s="207"/>
      <c r="F56" s="207"/>
      <c r="G56" s="207"/>
      <c r="H56" s="207"/>
      <c r="I56" s="208"/>
      <c r="J56" s="26"/>
      <c r="L56" s="19"/>
      <c r="M56" s="20"/>
      <c r="N56" s="21"/>
    </row>
    <row r="57" spans="1:22" ht="15.75" hidden="1" customHeight="1">
      <c r="A57" s="32"/>
      <c r="B57" s="100" t="s">
        <v>43</v>
      </c>
      <c r="C57" s="77"/>
      <c r="D57" s="76"/>
      <c r="E57" s="78"/>
      <c r="F57" s="79"/>
      <c r="G57" s="79"/>
      <c r="H57" s="80"/>
      <c r="I57" s="13"/>
      <c r="J57" s="26"/>
      <c r="L57" s="19"/>
      <c r="M57" s="20"/>
      <c r="N57" s="21"/>
    </row>
    <row r="58" spans="1:22" ht="31.5" hidden="1" customHeight="1">
      <c r="A58" s="32">
        <v>19</v>
      </c>
      <c r="B58" s="76" t="s">
        <v>131</v>
      </c>
      <c r="C58" s="77" t="s">
        <v>89</v>
      </c>
      <c r="D58" s="76" t="s">
        <v>111</v>
      </c>
      <c r="E58" s="78">
        <v>30</v>
      </c>
      <c r="F58" s="79">
        <f>SUM(E58*6/100)</f>
        <v>1.8</v>
      </c>
      <c r="G58" s="13">
        <v>1547.28</v>
      </c>
      <c r="H58" s="80">
        <f>SUM(F58*G58/1000)</f>
        <v>2.785104</v>
      </c>
      <c r="I58" s="13">
        <f>F58/6*G58</f>
        <v>464.18399999999997</v>
      </c>
      <c r="J58" s="26"/>
      <c r="L58" s="19"/>
    </row>
    <row r="59" spans="1:22" ht="15.75" hidden="1" customHeight="1">
      <c r="A59" s="32">
        <v>20</v>
      </c>
      <c r="B59" s="85" t="s">
        <v>132</v>
      </c>
      <c r="C59" s="86" t="s">
        <v>133</v>
      </c>
      <c r="D59" s="85" t="s">
        <v>42</v>
      </c>
      <c r="E59" s="87">
        <v>6</v>
      </c>
      <c r="F59" s="88">
        <v>12</v>
      </c>
      <c r="G59" s="13">
        <v>180.78</v>
      </c>
      <c r="H59" s="89">
        <f>G59*F59/1000</f>
        <v>2.1693600000000002</v>
      </c>
      <c r="I59" s="13">
        <f>F59/2*G59</f>
        <v>1084.68</v>
      </c>
    </row>
    <row r="60" spans="1:22" ht="15.75" hidden="1" customHeight="1">
      <c r="A60" s="32">
        <v>21</v>
      </c>
      <c r="B60" s="85" t="s">
        <v>134</v>
      </c>
      <c r="C60" s="86" t="s">
        <v>52</v>
      </c>
      <c r="D60" s="85" t="s">
        <v>40</v>
      </c>
      <c r="E60" s="87">
        <v>6</v>
      </c>
      <c r="F60" s="88">
        <f>E60*4/100</f>
        <v>0.24</v>
      </c>
      <c r="G60" s="13">
        <v>1547.28</v>
      </c>
      <c r="H60" s="89">
        <f>G60*F60/1000</f>
        <v>0.37134719999999999</v>
      </c>
      <c r="I60" s="13">
        <f>F60/4*G60</f>
        <v>92.836799999999997</v>
      </c>
    </row>
    <row r="61" spans="1:22" ht="15.75" customHeight="1">
      <c r="A61" s="32"/>
      <c r="B61" s="101" t="s">
        <v>44</v>
      </c>
      <c r="C61" s="86"/>
      <c r="D61" s="85"/>
      <c r="E61" s="87"/>
      <c r="F61" s="88"/>
      <c r="G61" s="13"/>
      <c r="H61" s="89"/>
      <c r="I61" s="13"/>
    </row>
    <row r="62" spans="1:22" ht="15.75" hidden="1" customHeight="1">
      <c r="A62" s="32">
        <v>22</v>
      </c>
      <c r="B62" s="85" t="s">
        <v>135</v>
      </c>
      <c r="C62" s="86" t="s">
        <v>52</v>
      </c>
      <c r="D62" s="85" t="s">
        <v>53</v>
      </c>
      <c r="E62" s="87">
        <v>997</v>
      </c>
      <c r="F62" s="88">
        <v>9.9700000000000006</v>
      </c>
      <c r="G62" s="13">
        <v>793.61</v>
      </c>
      <c r="H62" s="89">
        <f>F62*G62/1000</f>
        <v>7.9122917000000008</v>
      </c>
      <c r="I62" s="13">
        <f>G62*F62</f>
        <v>7912.2917000000007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9"/>
    </row>
    <row r="63" spans="1:22" ht="15.75" customHeight="1">
      <c r="A63" s="32">
        <v>14</v>
      </c>
      <c r="B63" s="85" t="s">
        <v>136</v>
      </c>
      <c r="C63" s="86" t="s">
        <v>25</v>
      </c>
      <c r="D63" s="85" t="s">
        <v>30</v>
      </c>
      <c r="E63" s="87">
        <v>394</v>
      </c>
      <c r="F63" s="90">
        <v>2400</v>
      </c>
      <c r="G63" s="71">
        <v>1.2</v>
      </c>
      <c r="H63" s="88">
        <f>F63*G63/1000</f>
        <v>2.88</v>
      </c>
      <c r="I63" s="13">
        <f>F63/12*G63</f>
        <v>240</v>
      </c>
      <c r="J63" s="28"/>
      <c r="K63" s="28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15.75" customHeight="1">
      <c r="A64" s="32"/>
      <c r="B64" s="101" t="s">
        <v>45</v>
      </c>
      <c r="C64" s="86"/>
      <c r="D64" s="85"/>
      <c r="E64" s="87"/>
      <c r="F64" s="90"/>
      <c r="G64" s="90"/>
      <c r="H64" s="88" t="s">
        <v>150</v>
      </c>
      <c r="I64" s="13"/>
      <c r="J64" s="3"/>
      <c r="K64" s="3"/>
      <c r="L64" s="3"/>
      <c r="M64" s="3"/>
      <c r="N64" s="3"/>
      <c r="O64" s="3"/>
      <c r="P64" s="3"/>
      <c r="Q64" s="3"/>
      <c r="S64" s="3"/>
      <c r="T64" s="3"/>
      <c r="U64" s="3"/>
    </row>
    <row r="65" spans="1:21" ht="15.75" customHeight="1">
      <c r="A65" s="32">
        <v>15</v>
      </c>
      <c r="B65" s="14" t="s">
        <v>46</v>
      </c>
      <c r="C65" s="16" t="s">
        <v>110</v>
      </c>
      <c r="D65" s="76" t="s">
        <v>67</v>
      </c>
      <c r="E65" s="18">
        <v>15</v>
      </c>
      <c r="F65" s="79">
        <v>15</v>
      </c>
      <c r="G65" s="13">
        <v>222.4</v>
      </c>
      <c r="H65" s="91">
        <f t="shared" ref="H65:H78" si="5">SUM(F65*G65/1000)</f>
        <v>3.3359999999999999</v>
      </c>
      <c r="I65" s="13">
        <f>G65*2</f>
        <v>444.8</v>
      </c>
      <c r="J65" s="5"/>
      <c r="K65" s="5"/>
      <c r="L65" s="5"/>
      <c r="M65" s="5"/>
      <c r="N65" s="5"/>
      <c r="O65" s="5"/>
      <c r="P65" s="5"/>
      <c r="Q65" s="5"/>
      <c r="R65" s="188"/>
      <c r="S65" s="188"/>
      <c r="T65" s="188"/>
      <c r="U65" s="188"/>
    </row>
    <row r="66" spans="1:21" ht="15.75" hidden="1" customHeight="1">
      <c r="A66" s="32">
        <v>25</v>
      </c>
      <c r="B66" s="14" t="s">
        <v>47</v>
      </c>
      <c r="C66" s="16" t="s">
        <v>110</v>
      </c>
      <c r="D66" s="76" t="s">
        <v>67</v>
      </c>
      <c r="E66" s="18">
        <v>10</v>
      </c>
      <c r="F66" s="79">
        <v>10</v>
      </c>
      <c r="G66" s="13">
        <v>76.25</v>
      </c>
      <c r="H66" s="91">
        <f t="shared" si="5"/>
        <v>0.76249999999999996</v>
      </c>
      <c r="I66" s="13">
        <f>G66</f>
        <v>76.25</v>
      </c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1" ht="15.75" hidden="1" customHeight="1">
      <c r="A67" s="32"/>
      <c r="B67" s="14" t="s">
        <v>48</v>
      </c>
      <c r="C67" s="16" t="s">
        <v>112</v>
      </c>
      <c r="D67" s="14" t="s">
        <v>53</v>
      </c>
      <c r="E67" s="78">
        <v>28608</v>
      </c>
      <c r="F67" s="13">
        <f>SUM(E67/100)</f>
        <v>286.08</v>
      </c>
      <c r="G67" s="13">
        <v>199.77</v>
      </c>
      <c r="H67" s="91">
        <f t="shared" si="5"/>
        <v>57.150201600000003</v>
      </c>
      <c r="I67" s="13">
        <f>F67*G67</f>
        <v>57150.2016</v>
      </c>
    </row>
    <row r="68" spans="1:21" ht="15.75" hidden="1" customHeight="1">
      <c r="A68" s="32"/>
      <c r="B68" s="14" t="s">
        <v>49</v>
      </c>
      <c r="C68" s="16" t="s">
        <v>113</v>
      </c>
      <c r="D68" s="14"/>
      <c r="E68" s="78">
        <v>28608</v>
      </c>
      <c r="F68" s="13">
        <f>SUM(E68/1000)</f>
        <v>28.608000000000001</v>
      </c>
      <c r="G68" s="13">
        <v>155.57</v>
      </c>
      <c r="H68" s="91">
        <f t="shared" si="5"/>
        <v>4.4505465599999994</v>
      </c>
      <c r="I68" s="13">
        <f t="shared" ref="I68:I72" si="6">F68*G68</f>
        <v>4450.5465599999998</v>
      </c>
    </row>
    <row r="69" spans="1:21" ht="15.75" hidden="1" customHeight="1">
      <c r="A69" s="32"/>
      <c r="B69" s="14" t="s">
        <v>50</v>
      </c>
      <c r="C69" s="16" t="s">
        <v>77</v>
      </c>
      <c r="D69" s="14" t="s">
        <v>53</v>
      </c>
      <c r="E69" s="78">
        <v>4550</v>
      </c>
      <c r="F69" s="13">
        <f>SUM(E69/100)</f>
        <v>45.5</v>
      </c>
      <c r="G69" s="13">
        <v>2074.63</v>
      </c>
      <c r="H69" s="91">
        <f t="shared" si="5"/>
        <v>94.395665000000008</v>
      </c>
      <c r="I69" s="13">
        <f t="shared" si="6"/>
        <v>94395.665000000008</v>
      </c>
    </row>
    <row r="70" spans="1:21" ht="15.75" hidden="1" customHeight="1">
      <c r="A70" s="32"/>
      <c r="B70" s="92" t="s">
        <v>114</v>
      </c>
      <c r="C70" s="16" t="s">
        <v>33</v>
      </c>
      <c r="D70" s="14"/>
      <c r="E70" s="78">
        <v>58.5</v>
      </c>
      <c r="F70" s="13">
        <f>SUM(E70)</f>
        <v>58.5</v>
      </c>
      <c r="G70" s="13">
        <v>45.32</v>
      </c>
      <c r="H70" s="91">
        <f t="shared" si="5"/>
        <v>2.6512199999999999</v>
      </c>
      <c r="I70" s="13">
        <f t="shared" si="6"/>
        <v>2651.22</v>
      </c>
    </row>
    <row r="71" spans="1:21" ht="15.75" hidden="1" customHeight="1">
      <c r="A71" s="32"/>
      <c r="B71" s="92" t="s">
        <v>115</v>
      </c>
      <c r="C71" s="16" t="s">
        <v>33</v>
      </c>
      <c r="D71" s="14"/>
      <c r="E71" s="78">
        <v>58.5</v>
      </c>
      <c r="F71" s="13">
        <f>SUM(E71)</f>
        <v>58.5</v>
      </c>
      <c r="G71" s="13">
        <v>42.28</v>
      </c>
      <c r="H71" s="91">
        <f t="shared" si="5"/>
        <v>2.4733800000000001</v>
      </c>
      <c r="I71" s="13">
        <f t="shared" si="6"/>
        <v>2473.38</v>
      </c>
    </row>
    <row r="72" spans="1:21" ht="20.25" customHeight="1">
      <c r="A72" s="32">
        <v>16</v>
      </c>
      <c r="B72" s="14" t="s">
        <v>57</v>
      </c>
      <c r="C72" s="16" t="s">
        <v>58</v>
      </c>
      <c r="D72" s="14" t="s">
        <v>53</v>
      </c>
      <c r="E72" s="18">
        <v>5</v>
      </c>
      <c r="F72" s="79">
        <v>5</v>
      </c>
      <c r="G72" s="13">
        <v>49.88</v>
      </c>
      <c r="H72" s="91">
        <f t="shared" si="5"/>
        <v>0.24940000000000001</v>
      </c>
      <c r="I72" s="13">
        <f t="shared" si="6"/>
        <v>249.4</v>
      </c>
    </row>
    <row r="73" spans="1:21" ht="24" hidden="1" customHeight="1">
      <c r="A73" s="32"/>
      <c r="B73" s="64" t="s">
        <v>72</v>
      </c>
      <c r="C73" s="16"/>
      <c r="D73" s="14"/>
      <c r="E73" s="18"/>
      <c r="F73" s="13"/>
      <c r="G73" s="13"/>
      <c r="H73" s="91" t="s">
        <v>150</v>
      </c>
      <c r="I73" s="13"/>
    </row>
    <row r="74" spans="1:21" ht="21.75" hidden="1" customHeight="1">
      <c r="A74" s="32"/>
      <c r="B74" s="14" t="s">
        <v>73</v>
      </c>
      <c r="C74" s="16" t="s">
        <v>75</v>
      </c>
      <c r="D74" s="14"/>
      <c r="E74" s="18">
        <v>10</v>
      </c>
      <c r="F74" s="13">
        <v>1</v>
      </c>
      <c r="G74" s="13">
        <v>501.62</v>
      </c>
      <c r="H74" s="91">
        <f t="shared" si="5"/>
        <v>0.50161999999999995</v>
      </c>
      <c r="I74" s="13">
        <v>0</v>
      </c>
    </row>
    <row r="75" spans="1:21" ht="21.75" hidden="1" customHeight="1">
      <c r="A75" s="32"/>
      <c r="B75" s="14" t="s">
        <v>74</v>
      </c>
      <c r="C75" s="16" t="s">
        <v>31</v>
      </c>
      <c r="D75" s="14"/>
      <c r="E75" s="18">
        <v>3</v>
      </c>
      <c r="F75" s="71">
        <v>3</v>
      </c>
      <c r="G75" s="13">
        <v>852.99</v>
      </c>
      <c r="H75" s="91">
        <f>F75*G75/1000</f>
        <v>2.5589700000000004</v>
      </c>
      <c r="I75" s="13">
        <v>0</v>
      </c>
    </row>
    <row r="76" spans="1:21" ht="14.25" hidden="1" customHeight="1">
      <c r="A76" s="32"/>
      <c r="B76" s="14" t="s">
        <v>117</v>
      </c>
      <c r="C76" s="16" t="s">
        <v>31</v>
      </c>
      <c r="D76" s="14"/>
      <c r="E76" s="18">
        <v>1</v>
      </c>
      <c r="F76" s="13">
        <v>1</v>
      </c>
      <c r="G76" s="13">
        <v>358.51</v>
      </c>
      <c r="H76" s="91">
        <f>G76*F76/1000</f>
        <v>0.35851</v>
      </c>
      <c r="I76" s="13">
        <v>0</v>
      </c>
    </row>
    <row r="77" spans="1:21" ht="21.75" hidden="1" customHeight="1">
      <c r="A77" s="32"/>
      <c r="B77" s="94" t="s">
        <v>76</v>
      </c>
      <c r="C77" s="16"/>
      <c r="D77" s="14"/>
      <c r="E77" s="18"/>
      <c r="F77" s="13"/>
      <c r="G77" s="13" t="s">
        <v>150</v>
      </c>
      <c r="H77" s="91" t="s">
        <v>150</v>
      </c>
      <c r="I77" s="13"/>
    </row>
    <row r="78" spans="1:21" ht="14.25" hidden="1" customHeight="1">
      <c r="A78" s="32"/>
      <c r="B78" s="47" t="s">
        <v>165</v>
      </c>
      <c r="C78" s="16" t="s">
        <v>77</v>
      </c>
      <c r="D78" s="14"/>
      <c r="E78" s="18"/>
      <c r="F78" s="13">
        <v>1.2</v>
      </c>
      <c r="G78" s="13">
        <v>2759.44</v>
      </c>
      <c r="H78" s="91">
        <f t="shared" si="5"/>
        <v>3.311328</v>
      </c>
      <c r="I78" s="13">
        <v>0</v>
      </c>
    </row>
    <row r="79" spans="1:21" ht="18" hidden="1" customHeight="1">
      <c r="A79" s="32"/>
      <c r="B79" s="70" t="s">
        <v>95</v>
      </c>
      <c r="C79" s="70"/>
      <c r="D79" s="70"/>
      <c r="E79" s="70"/>
      <c r="F79" s="70"/>
      <c r="G79" s="82"/>
      <c r="H79" s="95">
        <f>SUM(H58:H78)</f>
        <v>188.31744405999999</v>
      </c>
      <c r="I79" s="82"/>
    </row>
    <row r="80" spans="1:21" ht="18" hidden="1" customHeight="1">
      <c r="A80" s="32"/>
      <c r="B80" s="102" t="s">
        <v>116</v>
      </c>
      <c r="C80" s="23"/>
      <c r="D80" s="22"/>
      <c r="E80" s="72"/>
      <c r="F80" s="103">
        <v>1</v>
      </c>
      <c r="G80" s="13">
        <v>23072.1</v>
      </c>
      <c r="H80" s="91">
        <f>G80*F80/1000</f>
        <v>23.072099999999999</v>
      </c>
      <c r="I80" s="13">
        <v>0</v>
      </c>
    </row>
    <row r="81" spans="1:9" ht="15.75" customHeight="1">
      <c r="A81" s="189" t="s">
        <v>143</v>
      </c>
      <c r="B81" s="190"/>
      <c r="C81" s="190"/>
      <c r="D81" s="190"/>
      <c r="E81" s="190"/>
      <c r="F81" s="190"/>
      <c r="G81" s="190"/>
      <c r="H81" s="190"/>
      <c r="I81" s="191"/>
    </row>
    <row r="82" spans="1:9" ht="15.75" customHeight="1">
      <c r="A82" s="32">
        <v>17</v>
      </c>
      <c r="B82" s="76" t="s">
        <v>118</v>
      </c>
      <c r="C82" s="16" t="s">
        <v>54</v>
      </c>
      <c r="D82" s="51" t="s">
        <v>55</v>
      </c>
      <c r="E82" s="13">
        <v>6980.3</v>
      </c>
      <c r="F82" s="13">
        <f>SUM(E82*12)</f>
        <v>83763.600000000006</v>
      </c>
      <c r="G82" s="13">
        <v>2.1</v>
      </c>
      <c r="H82" s="91">
        <f>SUM(F82*G82/1000)</f>
        <v>175.90356000000003</v>
      </c>
      <c r="I82" s="13">
        <f>F82/12*G82</f>
        <v>14658.630000000001</v>
      </c>
    </row>
    <row r="83" spans="1:9" ht="31.5" customHeight="1">
      <c r="A83" s="32">
        <v>18</v>
      </c>
      <c r="B83" s="14" t="s">
        <v>78</v>
      </c>
      <c r="C83" s="16"/>
      <c r="D83" s="51" t="s">
        <v>55</v>
      </c>
      <c r="E83" s="78">
        <f>E82</f>
        <v>6980.3</v>
      </c>
      <c r="F83" s="13">
        <f>E83*12</f>
        <v>83763.600000000006</v>
      </c>
      <c r="G83" s="13">
        <v>1.63</v>
      </c>
      <c r="H83" s="91">
        <f>F83*G83/1000</f>
        <v>136.53466800000001</v>
      </c>
      <c r="I83" s="13">
        <f>F83/12*G83</f>
        <v>11377.888999999999</v>
      </c>
    </row>
    <row r="84" spans="1:9" ht="15.75" customHeight="1">
      <c r="A84" s="32"/>
      <c r="B84" s="40" t="s">
        <v>81</v>
      </c>
      <c r="C84" s="94"/>
      <c r="D84" s="93"/>
      <c r="E84" s="82"/>
      <c r="F84" s="82"/>
      <c r="G84" s="82"/>
      <c r="H84" s="95">
        <f>H83</f>
        <v>136.53466800000001</v>
      </c>
      <c r="I84" s="82">
        <f>I83+I82+I72+I65+I63+I34+I33+I31+I30+I27+I26+I25+I24+I21+I20+I18+I17+I16</f>
        <v>93845.289781888903</v>
      </c>
    </row>
    <row r="85" spans="1:9" ht="15.75" customHeight="1">
      <c r="A85" s="200" t="s">
        <v>60</v>
      </c>
      <c r="B85" s="201"/>
      <c r="C85" s="201"/>
      <c r="D85" s="201"/>
      <c r="E85" s="201"/>
      <c r="F85" s="201"/>
      <c r="G85" s="201"/>
      <c r="H85" s="201"/>
      <c r="I85" s="202"/>
    </row>
    <row r="86" spans="1:9" ht="15.75" customHeight="1">
      <c r="A86" s="32">
        <v>19</v>
      </c>
      <c r="B86" s="50" t="s">
        <v>230</v>
      </c>
      <c r="C86" s="62" t="s">
        <v>85</v>
      </c>
      <c r="D86" s="14"/>
      <c r="E86" s="18"/>
      <c r="F86" s="13">
        <v>8</v>
      </c>
      <c r="G86" s="36">
        <v>203.68</v>
      </c>
      <c r="H86" s="91">
        <f>G86*F86/1000</f>
        <v>1.62944</v>
      </c>
      <c r="I86" s="13">
        <f>G86*2</f>
        <v>407.36</v>
      </c>
    </row>
    <row r="87" spans="1:9" ht="14.25" customHeight="1">
      <c r="A87" s="32">
        <v>20</v>
      </c>
      <c r="B87" s="52" t="s">
        <v>199</v>
      </c>
      <c r="C87" s="53" t="s">
        <v>191</v>
      </c>
      <c r="D87" s="14"/>
      <c r="E87" s="18"/>
      <c r="F87" s="13">
        <v>47.5</v>
      </c>
      <c r="G87" s="36">
        <v>134.12</v>
      </c>
      <c r="H87" s="91">
        <f t="shared" ref="H87:H89" si="7">G87*F87/1000</f>
        <v>6.3707000000000003</v>
      </c>
      <c r="I87" s="13">
        <f>G87*16</f>
        <v>2145.92</v>
      </c>
    </row>
    <row r="88" spans="1:9" ht="31.5" customHeight="1">
      <c r="A88" s="32">
        <v>21</v>
      </c>
      <c r="B88" s="52" t="s">
        <v>220</v>
      </c>
      <c r="C88" s="53" t="s">
        <v>221</v>
      </c>
      <c r="D88" s="39"/>
      <c r="E88" s="17"/>
      <c r="F88" s="36">
        <v>13</v>
      </c>
      <c r="G88" s="36">
        <v>24829.08</v>
      </c>
      <c r="H88" s="110">
        <f t="shared" si="7"/>
        <v>322.77804000000003</v>
      </c>
      <c r="I88" s="13">
        <f>G88*0.01</f>
        <v>248.29080000000002</v>
      </c>
    </row>
    <row r="89" spans="1:9" ht="15.75" customHeight="1">
      <c r="A89" s="32" t="s">
        <v>233</v>
      </c>
      <c r="B89" s="50" t="s">
        <v>137</v>
      </c>
      <c r="C89" s="62" t="s">
        <v>110</v>
      </c>
      <c r="D89" s="14"/>
      <c r="E89" s="18"/>
      <c r="F89" s="13">
        <v>1080</v>
      </c>
      <c r="G89" s="13">
        <v>55.55</v>
      </c>
      <c r="H89" s="91">
        <f t="shared" si="7"/>
        <v>59.994</v>
      </c>
      <c r="I89" s="13">
        <f>G89*120</f>
        <v>6666</v>
      </c>
    </row>
    <row r="90" spans="1:9" ht="15.75" customHeight="1">
      <c r="A90" s="32">
        <v>23</v>
      </c>
      <c r="B90" s="121" t="s">
        <v>215</v>
      </c>
      <c r="C90" s="122" t="s">
        <v>91</v>
      </c>
      <c r="D90" s="47"/>
      <c r="E90" s="13"/>
      <c r="F90" s="13">
        <f>(3+4+15+15+15+5+20+20+15+10+15+15+7+6+15+3)/3</f>
        <v>61</v>
      </c>
      <c r="G90" s="36">
        <v>1142.7</v>
      </c>
      <c r="H90" s="91">
        <f>G90*F90/1000</f>
        <v>69.704700000000003</v>
      </c>
      <c r="I90" s="13">
        <f>G90*0.7149</f>
        <v>816.91623000000004</v>
      </c>
    </row>
    <row r="91" spans="1:9" ht="31.5" customHeight="1">
      <c r="A91" s="32">
        <v>24</v>
      </c>
      <c r="B91" s="50" t="s">
        <v>229</v>
      </c>
      <c r="C91" s="62" t="s">
        <v>154</v>
      </c>
      <c r="D91" s="47"/>
      <c r="E91" s="13"/>
      <c r="F91" s="13">
        <v>26</v>
      </c>
      <c r="G91" s="36">
        <v>613.44000000000005</v>
      </c>
      <c r="H91" s="91">
        <f t="shared" ref="H91" si="8">G91*F91/1000</f>
        <v>15.949440000000003</v>
      </c>
      <c r="I91" s="13">
        <f>G91*1</f>
        <v>613.44000000000005</v>
      </c>
    </row>
    <row r="92" spans="1:9" ht="30.75" customHeight="1">
      <c r="A92" s="32">
        <v>25</v>
      </c>
      <c r="B92" s="50" t="s">
        <v>231</v>
      </c>
      <c r="C92" s="62" t="s">
        <v>152</v>
      </c>
      <c r="D92" s="14"/>
      <c r="E92" s="18"/>
      <c r="F92" s="13">
        <v>41.5</v>
      </c>
      <c r="G92" s="36">
        <v>56.34</v>
      </c>
      <c r="H92" s="91">
        <f>G92*F92/1000</f>
        <v>2.3381099999999999</v>
      </c>
      <c r="I92" s="13">
        <f>G92*1</f>
        <v>56.34</v>
      </c>
    </row>
    <row r="93" spans="1:9" ht="36" customHeight="1">
      <c r="A93" s="32">
        <v>26</v>
      </c>
      <c r="B93" s="52" t="s">
        <v>232</v>
      </c>
      <c r="C93" s="53" t="s">
        <v>54</v>
      </c>
      <c r="D93" s="111"/>
      <c r="E93" s="36"/>
      <c r="F93" s="36">
        <v>2</v>
      </c>
      <c r="G93" s="36">
        <v>671.8</v>
      </c>
      <c r="H93" s="110">
        <f t="shared" ref="H93:H97" si="9">G93*F93/1000</f>
        <v>1.3435999999999999</v>
      </c>
      <c r="I93" s="13">
        <f>G93*0.1</f>
        <v>67.179999999999993</v>
      </c>
    </row>
    <row r="94" spans="1:9" ht="31.5" hidden="1" customHeight="1">
      <c r="A94" s="32">
        <v>26</v>
      </c>
      <c r="B94" s="50"/>
      <c r="C94" s="62" t="s">
        <v>82</v>
      </c>
      <c r="D94" s="111"/>
      <c r="E94" s="36"/>
      <c r="F94" s="36">
        <v>4</v>
      </c>
      <c r="G94" s="36"/>
      <c r="H94" s="110">
        <f t="shared" si="9"/>
        <v>0</v>
      </c>
      <c r="I94" s="13"/>
    </row>
    <row r="95" spans="1:9" ht="31.5" hidden="1" customHeight="1">
      <c r="A95" s="32">
        <v>27</v>
      </c>
      <c r="B95" s="50"/>
      <c r="C95" s="62" t="s">
        <v>154</v>
      </c>
      <c r="D95" s="111"/>
      <c r="E95" s="36"/>
      <c r="F95" s="36">
        <v>1</v>
      </c>
      <c r="G95" s="36"/>
      <c r="H95" s="110">
        <f t="shared" si="9"/>
        <v>0</v>
      </c>
      <c r="I95" s="13"/>
    </row>
    <row r="96" spans="1:9" ht="31.5" hidden="1" customHeight="1">
      <c r="A96" s="32">
        <v>28</v>
      </c>
      <c r="B96" s="52"/>
      <c r="C96" s="53" t="s">
        <v>29</v>
      </c>
      <c r="D96" s="39"/>
      <c r="E96" s="17"/>
      <c r="F96" s="112">
        <f>0.001</f>
        <v>1E-3</v>
      </c>
      <c r="G96" s="36"/>
      <c r="H96" s="113">
        <f t="shared" si="9"/>
        <v>0</v>
      </c>
      <c r="I96" s="13"/>
    </row>
    <row r="97" spans="1:9" ht="15.75" hidden="1" customHeight="1">
      <c r="A97" s="32">
        <v>29</v>
      </c>
      <c r="B97" s="52"/>
      <c r="C97" s="53" t="s">
        <v>110</v>
      </c>
      <c r="D97" s="39"/>
      <c r="E97" s="17"/>
      <c r="F97" s="36">
        <v>1</v>
      </c>
      <c r="G97" s="36"/>
      <c r="H97" s="110">
        <f t="shared" si="9"/>
        <v>0</v>
      </c>
      <c r="I97" s="13"/>
    </row>
    <row r="98" spans="1:9" ht="15.75" customHeight="1">
      <c r="A98" s="32"/>
      <c r="B98" s="45" t="s">
        <v>51</v>
      </c>
      <c r="C98" s="41"/>
      <c r="D98" s="48"/>
      <c r="E98" s="41">
        <v>1</v>
      </c>
      <c r="F98" s="41"/>
      <c r="G98" s="41"/>
      <c r="H98" s="41"/>
      <c r="I98" s="34">
        <f>SUM(I86:I93)-I89</f>
        <v>4355.447030000003</v>
      </c>
    </row>
    <row r="99" spans="1:9">
      <c r="A99" s="32"/>
      <c r="B99" s="47" t="s">
        <v>79</v>
      </c>
      <c r="C99" s="15"/>
      <c r="D99" s="15"/>
      <c r="E99" s="42"/>
      <c r="F99" s="42"/>
      <c r="G99" s="43"/>
      <c r="H99" s="43"/>
      <c r="I99" s="17">
        <v>0</v>
      </c>
    </row>
    <row r="100" spans="1:9">
      <c r="A100" s="49"/>
      <c r="B100" s="46" t="s">
        <v>179</v>
      </c>
      <c r="C100" s="35"/>
      <c r="D100" s="35"/>
      <c r="E100" s="35"/>
      <c r="F100" s="35"/>
      <c r="G100" s="35"/>
      <c r="H100" s="35"/>
      <c r="I100" s="44">
        <f>I84+I98</f>
        <v>98200.736811888899</v>
      </c>
    </row>
    <row r="101" spans="1:9">
      <c r="A101" s="203" t="s">
        <v>234</v>
      </c>
      <c r="B101" s="204"/>
      <c r="C101" s="204"/>
      <c r="D101" s="204"/>
      <c r="E101" s="204"/>
      <c r="F101" s="204"/>
      <c r="G101" s="204"/>
      <c r="H101" s="204"/>
      <c r="I101" s="204"/>
    </row>
    <row r="102" spans="1:9" ht="15.75">
      <c r="A102" s="192" t="s">
        <v>235</v>
      </c>
      <c r="B102" s="192"/>
      <c r="C102" s="192"/>
      <c r="D102" s="192"/>
      <c r="E102" s="192"/>
      <c r="F102" s="192"/>
      <c r="G102" s="192"/>
      <c r="H102" s="192"/>
      <c r="I102" s="192"/>
    </row>
    <row r="103" spans="1:9" ht="15.75" customHeight="1">
      <c r="A103" s="60"/>
      <c r="B103" s="193" t="s">
        <v>236</v>
      </c>
      <c r="C103" s="193"/>
      <c r="D103" s="193"/>
      <c r="E103" s="193"/>
      <c r="F103" s="193"/>
      <c r="G103" s="193"/>
      <c r="H103" s="75"/>
      <c r="I103" s="3"/>
    </row>
    <row r="104" spans="1:9">
      <c r="A104" s="69"/>
      <c r="B104" s="194" t="s">
        <v>6</v>
      </c>
      <c r="C104" s="194"/>
      <c r="D104" s="194"/>
      <c r="E104" s="194"/>
      <c r="F104" s="194"/>
      <c r="G104" s="194"/>
      <c r="H104" s="27"/>
      <c r="I104" s="5"/>
    </row>
    <row r="105" spans="1:9">
      <c r="A105" s="10"/>
      <c r="B105" s="10"/>
      <c r="C105" s="10"/>
      <c r="D105" s="10"/>
      <c r="E105" s="10"/>
      <c r="F105" s="10"/>
      <c r="G105" s="10"/>
      <c r="H105" s="10"/>
      <c r="I105" s="10"/>
    </row>
    <row r="106" spans="1:9" ht="15.75">
      <c r="A106" s="195" t="s">
        <v>7</v>
      </c>
      <c r="B106" s="195"/>
      <c r="C106" s="195"/>
      <c r="D106" s="195"/>
      <c r="E106" s="195"/>
      <c r="F106" s="195"/>
      <c r="G106" s="195"/>
      <c r="H106" s="195"/>
      <c r="I106" s="195"/>
    </row>
    <row r="107" spans="1:9" ht="15.75">
      <c r="A107" s="195" t="s">
        <v>8</v>
      </c>
      <c r="B107" s="195"/>
      <c r="C107" s="195"/>
      <c r="D107" s="195"/>
      <c r="E107" s="195"/>
      <c r="F107" s="195"/>
      <c r="G107" s="195"/>
      <c r="H107" s="195"/>
      <c r="I107" s="195"/>
    </row>
    <row r="108" spans="1:9" ht="15.75">
      <c r="A108" s="196" t="s">
        <v>61</v>
      </c>
      <c r="B108" s="196"/>
      <c r="C108" s="196"/>
      <c r="D108" s="196"/>
      <c r="E108" s="196"/>
      <c r="F108" s="196"/>
      <c r="G108" s="196"/>
      <c r="H108" s="196"/>
      <c r="I108" s="196"/>
    </row>
    <row r="109" spans="1:9" ht="15.75">
      <c r="A109" s="11"/>
    </row>
    <row r="110" spans="1:9" ht="15.75">
      <c r="A110" s="197" t="s">
        <v>9</v>
      </c>
      <c r="B110" s="197"/>
      <c r="C110" s="197"/>
      <c r="D110" s="197"/>
      <c r="E110" s="197"/>
      <c r="F110" s="197"/>
      <c r="G110" s="197"/>
      <c r="H110" s="197"/>
      <c r="I110" s="197"/>
    </row>
    <row r="111" spans="1:9" ht="15.75" customHeight="1">
      <c r="A111" s="4"/>
    </row>
    <row r="112" spans="1:9" ht="15.75" customHeight="1">
      <c r="B112" s="66" t="s">
        <v>10</v>
      </c>
      <c r="C112" s="198" t="s">
        <v>142</v>
      </c>
      <c r="D112" s="198"/>
      <c r="E112" s="198"/>
      <c r="F112" s="73"/>
      <c r="I112" s="68"/>
    </row>
    <row r="113" spans="1:9" ht="15.75" customHeight="1">
      <c r="A113" s="69"/>
      <c r="C113" s="194" t="s">
        <v>11</v>
      </c>
      <c r="D113" s="194"/>
      <c r="E113" s="194"/>
      <c r="F113" s="27"/>
      <c r="I113" s="67" t="s">
        <v>12</v>
      </c>
    </row>
    <row r="114" spans="1:9" ht="15.75" customHeight="1">
      <c r="A114" s="28"/>
      <c r="C114" s="12"/>
      <c r="D114" s="12"/>
      <c r="G114" s="12"/>
      <c r="H114" s="12"/>
    </row>
    <row r="115" spans="1:9" ht="15.75">
      <c r="B115" s="66" t="s">
        <v>13</v>
      </c>
      <c r="C115" s="199"/>
      <c r="D115" s="199"/>
      <c r="E115" s="199"/>
      <c r="F115" s="74"/>
      <c r="I115" s="68"/>
    </row>
    <row r="116" spans="1:9">
      <c r="A116" s="69"/>
      <c r="C116" s="188" t="s">
        <v>11</v>
      </c>
      <c r="D116" s="188"/>
      <c r="E116" s="188"/>
      <c r="F116" s="69"/>
      <c r="I116" s="67" t="s">
        <v>12</v>
      </c>
    </row>
    <row r="117" spans="1:9" ht="15.75">
      <c r="A117" s="4" t="s">
        <v>14</v>
      </c>
    </row>
    <row r="118" spans="1:9">
      <c r="A118" s="186" t="s">
        <v>15</v>
      </c>
      <c r="B118" s="186"/>
      <c r="C118" s="186"/>
      <c r="D118" s="186"/>
      <c r="E118" s="186"/>
      <c r="F118" s="186"/>
      <c r="G118" s="186"/>
      <c r="H118" s="186"/>
      <c r="I118" s="186"/>
    </row>
    <row r="119" spans="1:9" ht="45" customHeight="1">
      <c r="A119" s="187" t="s">
        <v>16</v>
      </c>
      <c r="B119" s="187"/>
      <c r="C119" s="187"/>
      <c r="D119" s="187"/>
      <c r="E119" s="187"/>
      <c r="F119" s="187"/>
      <c r="G119" s="187"/>
      <c r="H119" s="187"/>
      <c r="I119" s="187"/>
    </row>
    <row r="120" spans="1:9" ht="30" customHeight="1">
      <c r="A120" s="187" t="s">
        <v>17</v>
      </c>
      <c r="B120" s="187"/>
      <c r="C120" s="187"/>
      <c r="D120" s="187"/>
      <c r="E120" s="187"/>
      <c r="F120" s="187"/>
      <c r="G120" s="187"/>
      <c r="H120" s="187"/>
      <c r="I120" s="187"/>
    </row>
    <row r="121" spans="1:9" ht="30" customHeight="1">
      <c r="A121" s="187" t="s">
        <v>21</v>
      </c>
      <c r="B121" s="187"/>
      <c r="C121" s="187"/>
      <c r="D121" s="187"/>
      <c r="E121" s="187"/>
      <c r="F121" s="187"/>
      <c r="G121" s="187"/>
      <c r="H121" s="187"/>
      <c r="I121" s="187"/>
    </row>
    <row r="122" spans="1:9" ht="15" customHeight="1">
      <c r="A122" s="187" t="s">
        <v>20</v>
      </c>
      <c r="B122" s="187"/>
      <c r="C122" s="187"/>
      <c r="D122" s="187"/>
      <c r="E122" s="187"/>
      <c r="F122" s="187"/>
      <c r="G122" s="187"/>
      <c r="H122" s="187"/>
      <c r="I122" s="187"/>
    </row>
  </sheetData>
  <autoFilter ref="I12:I60"/>
  <mergeCells count="30">
    <mergeCell ref="A119:I119"/>
    <mergeCell ref="A120:I120"/>
    <mergeCell ref="A121:I121"/>
    <mergeCell ref="A122:I122"/>
    <mergeCell ref="A110:I110"/>
    <mergeCell ref="C112:E112"/>
    <mergeCell ref="C113:E113"/>
    <mergeCell ref="C115:E115"/>
    <mergeCell ref="C116:E116"/>
    <mergeCell ref="A118:I118"/>
    <mergeCell ref="A108:I108"/>
    <mergeCell ref="A15:I15"/>
    <mergeCell ref="A28:I28"/>
    <mergeCell ref="A46:I46"/>
    <mergeCell ref="A56:I56"/>
    <mergeCell ref="A85:I85"/>
    <mergeCell ref="A102:I102"/>
    <mergeCell ref="B103:G103"/>
    <mergeCell ref="B104:G104"/>
    <mergeCell ref="A106:I106"/>
    <mergeCell ref="A107:I107"/>
    <mergeCell ref="A101:I101"/>
    <mergeCell ref="R65:U65"/>
    <mergeCell ref="A81:I81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15"/>
  <sheetViews>
    <sheetView topLeftCell="A84" workbookViewId="0">
      <selection activeCell="A4" sqref="A4:I4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3.42578125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257</v>
      </c>
      <c r="I1" s="29"/>
      <c r="J1" s="1"/>
      <c r="K1" s="1"/>
      <c r="L1" s="1"/>
      <c r="M1" s="1"/>
    </row>
    <row r="2" spans="1:13" ht="15.75">
      <c r="A2" s="31" t="s">
        <v>62</v>
      </c>
      <c r="J2" s="2"/>
      <c r="K2" s="2"/>
      <c r="L2" s="2"/>
      <c r="M2" s="2"/>
    </row>
    <row r="3" spans="1:13" ht="15.75" customHeight="1">
      <c r="A3" s="210" t="s">
        <v>171</v>
      </c>
      <c r="B3" s="210"/>
      <c r="C3" s="210"/>
      <c r="D3" s="210"/>
      <c r="E3" s="210"/>
      <c r="F3" s="210"/>
      <c r="G3" s="210"/>
      <c r="H3" s="210"/>
      <c r="I3" s="210"/>
      <c r="J3" s="3"/>
      <c r="K3" s="3"/>
      <c r="L3" s="3"/>
    </row>
    <row r="4" spans="1:13" ht="31.5" customHeight="1">
      <c r="A4" s="211" t="s">
        <v>139</v>
      </c>
      <c r="B4" s="211"/>
      <c r="C4" s="211"/>
      <c r="D4" s="211"/>
      <c r="E4" s="211"/>
      <c r="F4" s="211"/>
      <c r="G4" s="211"/>
      <c r="H4" s="211"/>
      <c r="I4" s="211"/>
    </row>
    <row r="5" spans="1:13" ht="15.75">
      <c r="A5" s="210" t="s">
        <v>245</v>
      </c>
      <c r="B5" s="212"/>
      <c r="C5" s="212"/>
      <c r="D5" s="212"/>
      <c r="E5" s="212"/>
      <c r="F5" s="212"/>
      <c r="G5" s="212"/>
      <c r="H5" s="212"/>
      <c r="I5" s="212"/>
      <c r="J5" s="2"/>
      <c r="K5" s="2"/>
      <c r="L5" s="2"/>
      <c r="M5" s="2"/>
    </row>
    <row r="6" spans="1:13" ht="15.75">
      <c r="A6" s="2"/>
      <c r="B6" s="65"/>
      <c r="C6" s="65"/>
      <c r="D6" s="65"/>
      <c r="E6" s="65"/>
      <c r="F6" s="65"/>
      <c r="G6" s="65"/>
      <c r="H6" s="65"/>
      <c r="I6" s="33">
        <v>43312</v>
      </c>
      <c r="J6" s="2"/>
      <c r="K6" s="2"/>
      <c r="L6" s="2"/>
      <c r="M6" s="2"/>
    </row>
    <row r="7" spans="1:13" ht="15.75">
      <c r="B7" s="66"/>
      <c r="C7" s="66"/>
      <c r="D7" s="66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213" t="s">
        <v>259</v>
      </c>
      <c r="B8" s="213"/>
      <c r="C8" s="213"/>
      <c r="D8" s="213"/>
      <c r="E8" s="213"/>
      <c r="F8" s="213"/>
      <c r="G8" s="213"/>
      <c r="H8" s="213"/>
      <c r="I8" s="213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214" t="s">
        <v>175</v>
      </c>
      <c r="B10" s="214"/>
      <c r="C10" s="214"/>
      <c r="D10" s="214"/>
      <c r="E10" s="214"/>
      <c r="F10" s="214"/>
      <c r="G10" s="214"/>
      <c r="H10" s="214"/>
      <c r="I10" s="214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09" t="s">
        <v>59</v>
      </c>
      <c r="B14" s="209"/>
      <c r="C14" s="209"/>
      <c r="D14" s="209"/>
      <c r="E14" s="209"/>
      <c r="F14" s="209"/>
      <c r="G14" s="209"/>
      <c r="H14" s="209"/>
      <c r="I14" s="209"/>
      <c r="J14" s="8"/>
      <c r="K14" s="8"/>
      <c r="L14" s="8"/>
      <c r="M14" s="8"/>
    </row>
    <row r="15" spans="1:13" ht="15.75" customHeight="1">
      <c r="A15" s="205" t="s">
        <v>4</v>
      </c>
      <c r="B15" s="205"/>
      <c r="C15" s="205"/>
      <c r="D15" s="205"/>
      <c r="E15" s="205"/>
      <c r="F15" s="205"/>
      <c r="G15" s="205"/>
      <c r="H15" s="205"/>
      <c r="I15" s="205"/>
      <c r="J15" s="8"/>
      <c r="K15" s="8"/>
      <c r="L15" s="8"/>
      <c r="M15" s="8"/>
    </row>
    <row r="16" spans="1:13" ht="15.75" customHeight="1">
      <c r="A16" s="32">
        <v>1</v>
      </c>
      <c r="B16" s="76" t="s">
        <v>88</v>
      </c>
      <c r="C16" s="77" t="s">
        <v>89</v>
      </c>
      <c r="D16" s="76" t="s">
        <v>178</v>
      </c>
      <c r="E16" s="78">
        <v>208.08</v>
      </c>
      <c r="F16" s="79">
        <f>SUM(E16*156/100)</f>
        <v>324.60480000000001</v>
      </c>
      <c r="G16" s="79">
        <v>175.38</v>
      </c>
      <c r="H16" s="80">
        <f t="shared" ref="H16:H25" si="0">SUM(F16*G16/1000)</f>
        <v>56.929189823999998</v>
      </c>
      <c r="I16" s="13">
        <f>F16/12*G16</f>
        <v>4744.0991519999998</v>
      </c>
      <c r="J16" s="24"/>
      <c r="K16" s="8"/>
      <c r="L16" s="8"/>
      <c r="M16" s="8"/>
    </row>
    <row r="17" spans="1:13" ht="15.75" customHeight="1">
      <c r="A17" s="32">
        <v>2</v>
      </c>
      <c r="B17" s="76" t="s">
        <v>119</v>
      </c>
      <c r="C17" s="77" t="s">
        <v>89</v>
      </c>
      <c r="D17" s="76" t="s">
        <v>177</v>
      </c>
      <c r="E17" s="78">
        <v>832.32</v>
      </c>
      <c r="F17" s="79">
        <f>SUM(E17*104/100)</f>
        <v>865.61279999999999</v>
      </c>
      <c r="G17" s="79">
        <v>175.38</v>
      </c>
      <c r="H17" s="80">
        <f t="shared" si="0"/>
        <v>151.81117286399999</v>
      </c>
      <c r="I17" s="13">
        <f>F17/12*G17</f>
        <v>12650.931071999999</v>
      </c>
      <c r="J17" s="25"/>
      <c r="K17" s="8"/>
      <c r="L17" s="8"/>
      <c r="M17" s="8"/>
    </row>
    <row r="18" spans="1:13" ht="15.75" customHeight="1">
      <c r="A18" s="32">
        <v>3</v>
      </c>
      <c r="B18" s="76" t="s">
        <v>120</v>
      </c>
      <c r="C18" s="77" t="s">
        <v>89</v>
      </c>
      <c r="D18" s="76" t="s">
        <v>176</v>
      </c>
      <c r="E18" s="78">
        <v>1040.4000000000001</v>
      </c>
      <c r="F18" s="79">
        <f>SUM(E18*24/100)</f>
        <v>249.69600000000003</v>
      </c>
      <c r="G18" s="79">
        <v>504.5</v>
      </c>
      <c r="H18" s="80">
        <f t="shared" si="0"/>
        <v>125.97163200000001</v>
      </c>
      <c r="I18" s="13">
        <f>F18/12*G18</f>
        <v>10497.636000000002</v>
      </c>
      <c r="J18" s="25"/>
      <c r="K18" s="8"/>
      <c r="L18" s="8"/>
      <c r="M18" s="8"/>
    </row>
    <row r="19" spans="1:13" ht="15.75" hidden="1" customHeight="1">
      <c r="A19" s="32"/>
      <c r="B19" s="76" t="s">
        <v>96</v>
      </c>
      <c r="C19" s="77" t="s">
        <v>97</v>
      </c>
      <c r="D19" s="76" t="s">
        <v>98</v>
      </c>
      <c r="E19" s="78">
        <v>48</v>
      </c>
      <c r="F19" s="79">
        <f>SUM(E19/10)</f>
        <v>4.8</v>
      </c>
      <c r="G19" s="79">
        <v>170.16</v>
      </c>
      <c r="H19" s="80">
        <f t="shared" si="0"/>
        <v>0.81676799999999994</v>
      </c>
      <c r="I19" s="13">
        <v>0</v>
      </c>
      <c r="J19" s="25"/>
      <c r="K19" s="8"/>
      <c r="L19" s="8"/>
      <c r="M19" s="8"/>
    </row>
    <row r="20" spans="1:13" ht="15.75" customHeight="1">
      <c r="A20" s="32">
        <v>4</v>
      </c>
      <c r="B20" s="76" t="s">
        <v>99</v>
      </c>
      <c r="C20" s="77" t="s">
        <v>89</v>
      </c>
      <c r="D20" s="76" t="s">
        <v>121</v>
      </c>
      <c r="E20" s="78">
        <v>30.6</v>
      </c>
      <c r="F20" s="79">
        <f>SUM(E20*12/100)</f>
        <v>3.6720000000000006</v>
      </c>
      <c r="G20" s="79">
        <v>217.88</v>
      </c>
      <c r="H20" s="80">
        <f t="shared" si="0"/>
        <v>0.8000553600000001</v>
      </c>
      <c r="I20" s="13">
        <f>F20/12*G20</f>
        <v>66.67128000000001</v>
      </c>
      <c r="J20" s="25"/>
      <c r="K20" s="8"/>
      <c r="L20" s="8"/>
      <c r="M20" s="8"/>
    </row>
    <row r="21" spans="1:13" ht="15.75" customHeight="1">
      <c r="A21" s="32">
        <v>5</v>
      </c>
      <c r="B21" s="76" t="s">
        <v>100</v>
      </c>
      <c r="C21" s="77" t="s">
        <v>89</v>
      </c>
      <c r="D21" s="76" t="s">
        <v>30</v>
      </c>
      <c r="E21" s="78">
        <v>10.06</v>
      </c>
      <c r="F21" s="79">
        <f>SUM(E21*12/100)</f>
        <v>1.2072000000000001</v>
      </c>
      <c r="G21" s="79">
        <v>216.12</v>
      </c>
      <c r="H21" s="80">
        <f t="shared" si="0"/>
        <v>0.26090006400000004</v>
      </c>
      <c r="I21" s="13">
        <f>F21/12*G21</f>
        <v>21.741672000000001</v>
      </c>
      <c r="J21" s="25"/>
      <c r="K21" s="8"/>
      <c r="L21" s="8"/>
      <c r="M21" s="8"/>
    </row>
    <row r="22" spans="1:13" ht="15.75" hidden="1" customHeight="1">
      <c r="A22" s="32"/>
      <c r="B22" s="76" t="s">
        <v>101</v>
      </c>
      <c r="C22" s="77" t="s">
        <v>52</v>
      </c>
      <c r="D22" s="76" t="s">
        <v>98</v>
      </c>
      <c r="E22" s="78">
        <v>769.2</v>
      </c>
      <c r="F22" s="79">
        <f>SUM(E22/100)</f>
        <v>7.6920000000000002</v>
      </c>
      <c r="G22" s="79">
        <v>269.26</v>
      </c>
      <c r="H22" s="80">
        <f t="shared" si="0"/>
        <v>2.07114792</v>
      </c>
      <c r="I22" s="13">
        <v>0</v>
      </c>
      <c r="J22" s="25"/>
      <c r="K22" s="8"/>
      <c r="L22" s="8"/>
      <c r="M22" s="8"/>
    </row>
    <row r="23" spans="1:13" ht="15.75" hidden="1" customHeight="1">
      <c r="A23" s="32"/>
      <c r="B23" s="76" t="s">
        <v>102</v>
      </c>
      <c r="C23" s="77" t="s">
        <v>52</v>
      </c>
      <c r="D23" s="76" t="s">
        <v>98</v>
      </c>
      <c r="E23" s="81">
        <v>35.28</v>
      </c>
      <c r="F23" s="79">
        <f>SUM(E23/100)</f>
        <v>0.3528</v>
      </c>
      <c r="G23" s="79">
        <v>44.29</v>
      </c>
      <c r="H23" s="80">
        <f t="shared" si="0"/>
        <v>1.5625512000000001E-2</v>
      </c>
      <c r="I23" s="13">
        <v>0</v>
      </c>
      <c r="J23" s="25"/>
      <c r="K23" s="8"/>
      <c r="L23" s="8"/>
      <c r="M23" s="8"/>
    </row>
    <row r="24" spans="1:13" ht="15.75" customHeight="1">
      <c r="A24" s="32">
        <v>6</v>
      </c>
      <c r="B24" s="76" t="s">
        <v>103</v>
      </c>
      <c r="C24" s="77" t="s">
        <v>52</v>
      </c>
      <c r="D24" s="76" t="s">
        <v>30</v>
      </c>
      <c r="E24" s="78">
        <v>10.8</v>
      </c>
      <c r="F24" s="79">
        <f>E24*12/100</f>
        <v>1.2960000000000003</v>
      </c>
      <c r="G24" s="79">
        <v>389.72</v>
      </c>
      <c r="H24" s="80">
        <f t="shared" si="0"/>
        <v>0.50507712000000016</v>
      </c>
      <c r="I24" s="13">
        <f>F24/12*G24</f>
        <v>42.089760000000012</v>
      </c>
      <c r="J24" s="25"/>
      <c r="K24" s="8"/>
      <c r="L24" s="8"/>
      <c r="M24" s="8"/>
    </row>
    <row r="25" spans="1:13" ht="15.75" customHeight="1">
      <c r="A25" s="32">
        <v>7</v>
      </c>
      <c r="B25" s="76" t="s">
        <v>104</v>
      </c>
      <c r="C25" s="77" t="s">
        <v>52</v>
      </c>
      <c r="D25" s="76" t="s">
        <v>122</v>
      </c>
      <c r="E25" s="78">
        <v>21.6</v>
      </c>
      <c r="F25" s="79">
        <f>SUM(E25*12/100)</f>
        <v>2.5920000000000005</v>
      </c>
      <c r="G25" s="79">
        <v>520.79999999999995</v>
      </c>
      <c r="H25" s="80">
        <f t="shared" si="0"/>
        <v>1.3499136</v>
      </c>
      <c r="I25" s="13">
        <f>F25/12*G25</f>
        <v>112.49280000000002</v>
      </c>
      <c r="J25" s="25"/>
      <c r="K25" s="8"/>
      <c r="L25" s="8"/>
      <c r="M25" s="8"/>
    </row>
    <row r="26" spans="1:13" ht="15.75" customHeight="1">
      <c r="A26" s="32">
        <v>8</v>
      </c>
      <c r="B26" s="76" t="s">
        <v>64</v>
      </c>
      <c r="C26" s="77" t="s">
        <v>33</v>
      </c>
      <c r="D26" s="76"/>
      <c r="E26" s="78">
        <v>0.1</v>
      </c>
      <c r="F26" s="79">
        <f>SUM(E26*365)</f>
        <v>36.5</v>
      </c>
      <c r="G26" s="79">
        <v>147.03</v>
      </c>
      <c r="H26" s="80">
        <f>SUM(F26*G26/1000)</f>
        <v>5.3665950000000002</v>
      </c>
      <c r="I26" s="13">
        <f>F26/12*G26</f>
        <v>447.21625</v>
      </c>
      <c r="J26" s="26"/>
    </row>
    <row r="27" spans="1:13" ht="15.75" customHeight="1">
      <c r="A27" s="32">
        <v>9</v>
      </c>
      <c r="B27" s="84" t="s">
        <v>23</v>
      </c>
      <c r="C27" s="77" t="s">
        <v>24</v>
      </c>
      <c r="D27" s="76"/>
      <c r="E27" s="78">
        <v>6980.3</v>
      </c>
      <c r="F27" s="79">
        <f>SUM(E27*12)</f>
        <v>83763.600000000006</v>
      </c>
      <c r="G27" s="79">
        <v>4.4000000000000004</v>
      </c>
      <c r="H27" s="80">
        <f>SUM(F27*G27/1000)</f>
        <v>368.55984000000007</v>
      </c>
      <c r="I27" s="13">
        <f>F27/12*G27</f>
        <v>30713.320000000003</v>
      </c>
      <c r="J27" s="26"/>
    </row>
    <row r="28" spans="1:13" ht="15.75" customHeight="1">
      <c r="A28" s="205" t="s">
        <v>86</v>
      </c>
      <c r="B28" s="205"/>
      <c r="C28" s="205"/>
      <c r="D28" s="205"/>
      <c r="E28" s="205"/>
      <c r="F28" s="205"/>
      <c r="G28" s="205"/>
      <c r="H28" s="205"/>
      <c r="I28" s="205"/>
      <c r="J28" s="25"/>
      <c r="K28" s="8"/>
      <c r="L28" s="8"/>
      <c r="M28" s="8"/>
    </row>
    <row r="29" spans="1:13" ht="15.75" customHeight="1">
      <c r="A29" s="32"/>
      <c r="B29" s="100" t="s">
        <v>28</v>
      </c>
      <c r="C29" s="77"/>
      <c r="D29" s="76"/>
      <c r="E29" s="78"/>
      <c r="F29" s="79"/>
      <c r="G29" s="79"/>
      <c r="H29" s="80"/>
      <c r="I29" s="13"/>
      <c r="J29" s="25"/>
      <c r="K29" s="8"/>
      <c r="L29" s="8"/>
      <c r="M29" s="8"/>
    </row>
    <row r="30" spans="1:13" ht="15.75" customHeight="1">
      <c r="A30" s="32">
        <v>10</v>
      </c>
      <c r="B30" s="76" t="s">
        <v>108</v>
      </c>
      <c r="C30" s="77" t="s">
        <v>91</v>
      </c>
      <c r="D30" s="76" t="s">
        <v>185</v>
      </c>
      <c r="E30" s="79">
        <v>1168.05</v>
      </c>
      <c r="F30" s="79">
        <f>SUM(E30*52/1000)</f>
        <v>60.738599999999998</v>
      </c>
      <c r="G30" s="79">
        <v>155.88999999999999</v>
      </c>
      <c r="H30" s="80">
        <f t="shared" ref="H30:H36" si="1">SUM(F30*G30/1000)</f>
        <v>9.4685403539999982</v>
      </c>
      <c r="I30" s="13">
        <f>F30/6*G30</f>
        <v>1578.0900589999997</v>
      </c>
      <c r="J30" s="25"/>
      <c r="K30" s="8"/>
      <c r="L30" s="8"/>
      <c r="M30" s="8"/>
    </row>
    <row r="31" spans="1:13" ht="31.5" customHeight="1">
      <c r="A31" s="32">
        <v>11</v>
      </c>
      <c r="B31" s="76" t="s">
        <v>124</v>
      </c>
      <c r="C31" s="77" t="s">
        <v>91</v>
      </c>
      <c r="D31" s="76" t="s">
        <v>186</v>
      </c>
      <c r="E31" s="79">
        <v>1039.2</v>
      </c>
      <c r="F31" s="79">
        <f>SUM(E31*78/1000)</f>
        <v>81.057600000000008</v>
      </c>
      <c r="G31" s="79">
        <v>258.63</v>
      </c>
      <c r="H31" s="80">
        <f t="shared" si="1"/>
        <v>20.963927088000002</v>
      </c>
      <c r="I31" s="13">
        <f t="shared" ref="I31:I34" si="2">F31/6*G31</f>
        <v>3493.9878480000002</v>
      </c>
      <c r="J31" s="25"/>
      <c r="K31" s="8"/>
      <c r="L31" s="8"/>
      <c r="M31" s="8"/>
    </row>
    <row r="32" spans="1:13" ht="15.75" hidden="1" customHeight="1">
      <c r="A32" s="32">
        <v>16</v>
      </c>
      <c r="B32" s="76" t="s">
        <v>27</v>
      </c>
      <c r="C32" s="77" t="s">
        <v>91</v>
      </c>
      <c r="D32" s="76" t="s">
        <v>53</v>
      </c>
      <c r="E32" s="79">
        <v>584.03</v>
      </c>
      <c r="F32" s="79">
        <f>SUM(E32/1000)</f>
        <v>0.58402999999999994</v>
      </c>
      <c r="G32" s="79">
        <v>3020.33</v>
      </c>
      <c r="H32" s="80">
        <f t="shared" si="1"/>
        <v>1.7639633298999997</v>
      </c>
      <c r="I32" s="13">
        <f>F32*G32</f>
        <v>1763.9633298999997</v>
      </c>
      <c r="J32" s="25"/>
      <c r="K32" s="8"/>
      <c r="L32" s="8"/>
      <c r="M32" s="8"/>
    </row>
    <row r="33" spans="1:14" ht="15.75" customHeight="1">
      <c r="A33" s="32">
        <v>12</v>
      </c>
      <c r="B33" s="76" t="s">
        <v>123</v>
      </c>
      <c r="C33" s="77" t="s">
        <v>39</v>
      </c>
      <c r="D33" s="76" t="s">
        <v>63</v>
      </c>
      <c r="E33" s="79">
        <v>6</v>
      </c>
      <c r="F33" s="79">
        <f>E33*155/100</f>
        <v>9.3000000000000007</v>
      </c>
      <c r="G33" s="79">
        <v>1302.02</v>
      </c>
      <c r="H33" s="80">
        <f>G33*F33/1000</f>
        <v>12.108786</v>
      </c>
      <c r="I33" s="13">
        <f t="shared" si="2"/>
        <v>2018.1310000000001</v>
      </c>
      <c r="J33" s="25"/>
      <c r="K33" s="8"/>
      <c r="L33" s="8"/>
      <c r="M33" s="8"/>
    </row>
    <row r="34" spans="1:14" ht="15.75" customHeight="1">
      <c r="A34" s="32">
        <v>13</v>
      </c>
      <c r="B34" s="76" t="s">
        <v>107</v>
      </c>
      <c r="C34" s="77" t="s">
        <v>31</v>
      </c>
      <c r="D34" s="76" t="s">
        <v>63</v>
      </c>
      <c r="E34" s="83">
        <v>0.33333333333333331</v>
      </c>
      <c r="F34" s="79">
        <f>155/3</f>
        <v>51.666666666666664</v>
      </c>
      <c r="G34" s="79">
        <v>56.69</v>
      </c>
      <c r="H34" s="80">
        <f>SUM(G34*155/3/1000)</f>
        <v>2.9289833333333331</v>
      </c>
      <c r="I34" s="13">
        <f t="shared" si="2"/>
        <v>488.16388888888883</v>
      </c>
      <c r="J34" s="25"/>
      <c r="K34" s="8"/>
    </row>
    <row r="35" spans="1:14" ht="15.75" hidden="1" customHeight="1">
      <c r="A35" s="32"/>
      <c r="B35" s="76" t="s">
        <v>65</v>
      </c>
      <c r="C35" s="77" t="s">
        <v>33</v>
      </c>
      <c r="D35" s="76" t="s">
        <v>67</v>
      </c>
      <c r="E35" s="78"/>
      <c r="F35" s="79">
        <v>4</v>
      </c>
      <c r="G35" s="79">
        <v>180.15</v>
      </c>
      <c r="H35" s="80">
        <f t="shared" si="1"/>
        <v>0.72060000000000002</v>
      </c>
      <c r="I35" s="13">
        <v>0</v>
      </c>
      <c r="J35" s="26"/>
    </row>
    <row r="36" spans="1:14" ht="15.75" hidden="1" customHeight="1">
      <c r="A36" s="32"/>
      <c r="B36" s="76" t="s">
        <v>66</v>
      </c>
      <c r="C36" s="77" t="s">
        <v>32</v>
      </c>
      <c r="D36" s="76" t="s">
        <v>67</v>
      </c>
      <c r="E36" s="78"/>
      <c r="F36" s="79">
        <v>3</v>
      </c>
      <c r="G36" s="79">
        <v>1136.33</v>
      </c>
      <c r="H36" s="80">
        <f t="shared" si="1"/>
        <v>3.4089899999999997</v>
      </c>
      <c r="I36" s="13">
        <v>0</v>
      </c>
      <c r="J36" s="26"/>
    </row>
    <row r="37" spans="1:14" ht="15.75" hidden="1" customHeight="1">
      <c r="A37" s="32"/>
      <c r="B37" s="100" t="s">
        <v>5</v>
      </c>
      <c r="C37" s="77"/>
      <c r="D37" s="76"/>
      <c r="E37" s="78"/>
      <c r="F37" s="79"/>
      <c r="G37" s="79"/>
      <c r="H37" s="80" t="s">
        <v>150</v>
      </c>
      <c r="I37" s="13"/>
      <c r="J37" s="26"/>
    </row>
    <row r="38" spans="1:14" ht="15.75" hidden="1" customHeight="1">
      <c r="A38" s="32">
        <v>10</v>
      </c>
      <c r="B38" s="76" t="s">
        <v>26</v>
      </c>
      <c r="C38" s="77" t="s">
        <v>32</v>
      </c>
      <c r="D38" s="76"/>
      <c r="E38" s="78"/>
      <c r="F38" s="79">
        <v>10</v>
      </c>
      <c r="G38" s="79">
        <v>1527.22</v>
      </c>
      <c r="H38" s="80">
        <f t="shared" ref="H38:H45" si="3">SUM(F38*G38/1000)</f>
        <v>15.272200000000002</v>
      </c>
      <c r="I38" s="13">
        <f>F38/6*G38</f>
        <v>2545.3666666666668</v>
      </c>
      <c r="J38" s="26"/>
    </row>
    <row r="39" spans="1:14" ht="15.75" hidden="1" customHeight="1">
      <c r="A39" s="32">
        <v>11</v>
      </c>
      <c r="B39" s="76" t="s">
        <v>125</v>
      </c>
      <c r="C39" s="77" t="s">
        <v>33</v>
      </c>
      <c r="D39" s="76"/>
      <c r="E39" s="78"/>
      <c r="F39" s="79">
        <v>10</v>
      </c>
      <c r="G39" s="79">
        <v>77.94</v>
      </c>
      <c r="H39" s="80">
        <f>G39*F39/1000</f>
        <v>0.77939999999999998</v>
      </c>
      <c r="I39" s="13">
        <f>F39/6*G39</f>
        <v>129.9</v>
      </c>
      <c r="J39" s="26"/>
      <c r="L39" s="19"/>
      <c r="M39" s="20"/>
      <c r="N39" s="21"/>
    </row>
    <row r="40" spans="1:14" ht="15.75" hidden="1" customHeight="1">
      <c r="A40" s="32">
        <v>12</v>
      </c>
      <c r="B40" s="76" t="s">
        <v>109</v>
      </c>
      <c r="C40" s="77" t="s">
        <v>29</v>
      </c>
      <c r="D40" s="76" t="s">
        <v>126</v>
      </c>
      <c r="E40" s="78">
        <v>1039.2</v>
      </c>
      <c r="F40" s="79">
        <f>E40*25/1000</f>
        <v>25.98</v>
      </c>
      <c r="G40" s="79">
        <v>2102.71</v>
      </c>
      <c r="H40" s="80">
        <f>G40*F40/1000</f>
        <v>54.628405800000003</v>
      </c>
      <c r="I40" s="13">
        <f>F40/6*G40</f>
        <v>9104.7343000000001</v>
      </c>
      <c r="J40" s="26"/>
      <c r="L40" s="19"/>
      <c r="M40" s="20"/>
      <c r="N40" s="21"/>
    </row>
    <row r="41" spans="1:14" ht="15.75" hidden="1" customHeight="1">
      <c r="A41" s="32"/>
      <c r="B41" s="76" t="s">
        <v>127</v>
      </c>
      <c r="C41" s="77" t="s">
        <v>128</v>
      </c>
      <c r="D41" s="76" t="s">
        <v>67</v>
      </c>
      <c r="E41" s="78"/>
      <c r="F41" s="79">
        <v>50</v>
      </c>
      <c r="G41" s="79">
        <v>213.2</v>
      </c>
      <c r="H41" s="80">
        <f>G41*F41/1000</f>
        <v>10.66</v>
      </c>
      <c r="I41" s="13">
        <v>0</v>
      </c>
      <c r="J41" s="26"/>
      <c r="L41" s="19"/>
      <c r="M41" s="20"/>
      <c r="N41" s="21"/>
    </row>
    <row r="42" spans="1:14" ht="15.75" hidden="1" customHeight="1">
      <c r="A42" s="32">
        <v>13</v>
      </c>
      <c r="B42" s="76" t="s">
        <v>68</v>
      </c>
      <c r="C42" s="77" t="s">
        <v>29</v>
      </c>
      <c r="D42" s="76" t="s">
        <v>90</v>
      </c>
      <c r="E42" s="79">
        <v>153</v>
      </c>
      <c r="F42" s="79">
        <f>SUM(E42*155/1000)</f>
        <v>23.715</v>
      </c>
      <c r="G42" s="79">
        <v>350.75</v>
      </c>
      <c r="H42" s="80">
        <f t="shared" si="3"/>
        <v>8.3180362499999987</v>
      </c>
      <c r="I42" s="13">
        <f>F42/6*G42</f>
        <v>1386.339375</v>
      </c>
      <c r="J42" s="26"/>
      <c r="L42" s="19"/>
      <c r="M42" s="20"/>
      <c r="N42" s="21"/>
    </row>
    <row r="43" spans="1:14" ht="47.25" hidden="1" customHeight="1">
      <c r="A43" s="32">
        <v>14</v>
      </c>
      <c r="B43" s="76" t="s">
        <v>84</v>
      </c>
      <c r="C43" s="77" t="s">
        <v>91</v>
      </c>
      <c r="D43" s="76" t="s">
        <v>129</v>
      </c>
      <c r="E43" s="79">
        <v>24</v>
      </c>
      <c r="F43" s="79">
        <f>SUM(E43*50/1000)</f>
        <v>1.2</v>
      </c>
      <c r="G43" s="79">
        <v>5803.28</v>
      </c>
      <c r="H43" s="80">
        <f t="shared" si="3"/>
        <v>6.9639359999999995</v>
      </c>
      <c r="I43" s="13">
        <f>F43/6*G43</f>
        <v>1160.6559999999999</v>
      </c>
      <c r="J43" s="26"/>
      <c r="L43" s="19"/>
      <c r="M43" s="20"/>
      <c r="N43" s="21"/>
    </row>
    <row r="44" spans="1:14" ht="15.75" hidden="1" customHeight="1">
      <c r="A44" s="32">
        <v>15</v>
      </c>
      <c r="B44" s="76" t="s">
        <v>92</v>
      </c>
      <c r="C44" s="77" t="s">
        <v>91</v>
      </c>
      <c r="D44" s="76" t="s">
        <v>69</v>
      </c>
      <c r="E44" s="79">
        <v>153</v>
      </c>
      <c r="F44" s="79">
        <f>SUM(E44*45/1000)</f>
        <v>6.8849999999999998</v>
      </c>
      <c r="G44" s="79">
        <v>428.7</v>
      </c>
      <c r="H44" s="80">
        <f t="shared" si="3"/>
        <v>2.9515994999999999</v>
      </c>
      <c r="I44" s="13">
        <f>F44/6*G44</f>
        <v>491.93324999999999</v>
      </c>
      <c r="J44" s="26"/>
      <c r="L44" s="19"/>
      <c r="M44" s="20"/>
      <c r="N44" s="21"/>
    </row>
    <row r="45" spans="1:14" ht="15.75" hidden="1" customHeight="1">
      <c r="A45" s="32">
        <v>16</v>
      </c>
      <c r="B45" s="76" t="s">
        <v>70</v>
      </c>
      <c r="C45" s="77" t="s">
        <v>33</v>
      </c>
      <c r="D45" s="76"/>
      <c r="E45" s="78"/>
      <c r="F45" s="79">
        <v>0.9</v>
      </c>
      <c r="G45" s="79">
        <v>798</v>
      </c>
      <c r="H45" s="80">
        <f t="shared" si="3"/>
        <v>0.71820000000000006</v>
      </c>
      <c r="I45" s="13">
        <f>F45/6*G45</f>
        <v>119.69999999999999</v>
      </c>
      <c r="J45" s="26"/>
      <c r="L45" s="19"/>
      <c r="M45" s="20"/>
      <c r="N45" s="21"/>
    </row>
    <row r="46" spans="1:14" ht="15" hidden="1" customHeight="1">
      <c r="A46" s="206" t="s">
        <v>146</v>
      </c>
      <c r="B46" s="207"/>
      <c r="C46" s="207"/>
      <c r="D46" s="207"/>
      <c r="E46" s="207"/>
      <c r="F46" s="207"/>
      <c r="G46" s="207"/>
      <c r="H46" s="207"/>
      <c r="I46" s="208"/>
      <c r="J46" s="26"/>
      <c r="L46" s="19"/>
      <c r="M46" s="20"/>
      <c r="N46" s="21"/>
    </row>
    <row r="47" spans="1:14" ht="15.75" hidden="1" customHeight="1">
      <c r="A47" s="32"/>
      <c r="B47" s="76" t="s">
        <v>130</v>
      </c>
      <c r="C47" s="77" t="s">
        <v>91</v>
      </c>
      <c r="D47" s="76" t="s">
        <v>42</v>
      </c>
      <c r="E47" s="78">
        <v>1895</v>
      </c>
      <c r="F47" s="79">
        <f>SUM(E47*2/1000)</f>
        <v>3.79</v>
      </c>
      <c r="G47" s="13">
        <v>849.49</v>
      </c>
      <c r="H47" s="80">
        <f t="shared" ref="H47:H55" si="4">SUM(F47*G47/1000)</f>
        <v>3.2195671000000003</v>
      </c>
      <c r="I47" s="13">
        <v>0</v>
      </c>
      <c r="J47" s="26"/>
      <c r="L47" s="19"/>
      <c r="M47" s="20"/>
      <c r="N47" s="21"/>
    </row>
    <row r="48" spans="1:14" ht="15.75" hidden="1" customHeight="1">
      <c r="A48" s="32"/>
      <c r="B48" s="76" t="s">
        <v>34</v>
      </c>
      <c r="C48" s="77" t="s">
        <v>91</v>
      </c>
      <c r="D48" s="76" t="s">
        <v>42</v>
      </c>
      <c r="E48" s="78">
        <v>118.2</v>
      </c>
      <c r="F48" s="79">
        <f>E48*2/1000</f>
        <v>0.2364</v>
      </c>
      <c r="G48" s="13">
        <v>579.48</v>
      </c>
      <c r="H48" s="80">
        <f t="shared" si="4"/>
        <v>0.13698907199999999</v>
      </c>
      <c r="I48" s="13">
        <v>0</v>
      </c>
      <c r="J48" s="26"/>
      <c r="L48" s="19"/>
      <c r="M48" s="20"/>
      <c r="N48" s="21"/>
    </row>
    <row r="49" spans="1:22" ht="15.75" hidden="1" customHeight="1">
      <c r="A49" s="32"/>
      <c r="B49" s="76" t="s">
        <v>35</v>
      </c>
      <c r="C49" s="77" t="s">
        <v>91</v>
      </c>
      <c r="D49" s="76" t="s">
        <v>42</v>
      </c>
      <c r="E49" s="78">
        <v>4675</v>
      </c>
      <c r="F49" s="79">
        <f>SUM(E49*2/1000)</f>
        <v>9.35</v>
      </c>
      <c r="G49" s="13">
        <v>579.48</v>
      </c>
      <c r="H49" s="80">
        <f t="shared" si="4"/>
        <v>5.4181379999999999</v>
      </c>
      <c r="I49" s="13">
        <v>0</v>
      </c>
      <c r="J49" s="26"/>
      <c r="L49" s="19"/>
      <c r="M49" s="20"/>
      <c r="N49" s="21"/>
    </row>
    <row r="50" spans="1:22" ht="15.75" hidden="1" customHeight="1">
      <c r="A50" s="32"/>
      <c r="B50" s="76" t="s">
        <v>36</v>
      </c>
      <c r="C50" s="77" t="s">
        <v>91</v>
      </c>
      <c r="D50" s="76" t="s">
        <v>42</v>
      </c>
      <c r="E50" s="78">
        <v>4675</v>
      </c>
      <c r="F50" s="79">
        <f>SUM(E50*2/1000)</f>
        <v>9.35</v>
      </c>
      <c r="G50" s="13">
        <v>606.77</v>
      </c>
      <c r="H50" s="80">
        <f t="shared" si="4"/>
        <v>5.6732994999999988</v>
      </c>
      <c r="I50" s="13">
        <v>0</v>
      </c>
      <c r="J50" s="26"/>
      <c r="L50" s="19"/>
      <c r="M50" s="20"/>
      <c r="N50" s="21"/>
    </row>
    <row r="51" spans="1:22" ht="15.75" hidden="1" customHeight="1">
      <c r="A51" s="32">
        <v>17</v>
      </c>
      <c r="B51" s="76" t="s">
        <v>56</v>
      </c>
      <c r="C51" s="77" t="s">
        <v>91</v>
      </c>
      <c r="D51" s="76" t="s">
        <v>164</v>
      </c>
      <c r="E51" s="78">
        <v>3988</v>
      </c>
      <c r="F51" s="79">
        <f>SUM(E51*5/1000)</f>
        <v>19.940000000000001</v>
      </c>
      <c r="G51" s="13">
        <v>1142.7</v>
      </c>
      <c r="H51" s="80">
        <f t="shared" si="4"/>
        <v>22.785438000000003</v>
      </c>
      <c r="I51" s="13">
        <f>F51/5*G51</f>
        <v>4557.0876000000007</v>
      </c>
      <c r="J51" s="26"/>
      <c r="L51" s="19"/>
      <c r="M51" s="20"/>
      <c r="N51" s="21"/>
    </row>
    <row r="52" spans="1:22" ht="31.5" hidden="1" customHeight="1">
      <c r="A52" s="32">
        <v>14</v>
      </c>
      <c r="B52" s="76" t="s">
        <v>93</v>
      </c>
      <c r="C52" s="77" t="s">
        <v>91</v>
      </c>
      <c r="D52" s="76" t="s">
        <v>42</v>
      </c>
      <c r="E52" s="78">
        <v>3988</v>
      </c>
      <c r="F52" s="79">
        <f>SUM(E52*2/1000)</f>
        <v>7.976</v>
      </c>
      <c r="G52" s="13">
        <v>1213.55</v>
      </c>
      <c r="H52" s="80">
        <f t="shared" si="4"/>
        <v>9.6792748</v>
      </c>
      <c r="I52" s="13">
        <f>F52/2*G52</f>
        <v>4839.6373999999996</v>
      </c>
      <c r="J52" s="26"/>
      <c r="L52" s="19"/>
      <c r="M52" s="20"/>
      <c r="N52" s="21"/>
    </row>
    <row r="53" spans="1:22" ht="31.5" hidden="1" customHeight="1">
      <c r="A53" s="32">
        <v>15</v>
      </c>
      <c r="B53" s="76" t="s">
        <v>94</v>
      </c>
      <c r="C53" s="77" t="s">
        <v>37</v>
      </c>
      <c r="D53" s="76" t="s">
        <v>42</v>
      </c>
      <c r="E53" s="78">
        <v>30</v>
      </c>
      <c r="F53" s="79">
        <f>SUM(E53*2/100)</f>
        <v>0.6</v>
      </c>
      <c r="G53" s="13">
        <v>2730.49</v>
      </c>
      <c r="H53" s="80">
        <f>SUM(F53*G53/1000)</f>
        <v>1.6382939999999999</v>
      </c>
      <c r="I53" s="13">
        <f>F53/2*G53</f>
        <v>819.14699999999993</v>
      </c>
      <c r="J53" s="26"/>
      <c r="L53" s="19"/>
      <c r="M53" s="20"/>
      <c r="N53" s="21"/>
    </row>
    <row r="54" spans="1:22" ht="15.75" hidden="1" customHeight="1">
      <c r="A54" s="32"/>
      <c r="B54" s="76" t="s">
        <v>38</v>
      </c>
      <c r="C54" s="77" t="s">
        <v>39</v>
      </c>
      <c r="D54" s="76" t="s">
        <v>42</v>
      </c>
      <c r="E54" s="78">
        <v>1</v>
      </c>
      <c r="F54" s="79">
        <v>0.02</v>
      </c>
      <c r="G54" s="13">
        <v>5652.13</v>
      </c>
      <c r="H54" s="80">
        <f t="shared" si="4"/>
        <v>0.11304260000000001</v>
      </c>
      <c r="I54" s="13">
        <v>0</v>
      </c>
      <c r="J54" s="26"/>
      <c r="L54" s="19"/>
      <c r="M54" s="20"/>
      <c r="N54" s="21"/>
    </row>
    <row r="55" spans="1:22" ht="15.75" hidden="1" customHeight="1">
      <c r="A55" s="32">
        <v>18</v>
      </c>
      <c r="B55" s="76" t="s">
        <v>41</v>
      </c>
      <c r="C55" s="77" t="s">
        <v>110</v>
      </c>
      <c r="D55" s="76" t="s">
        <v>71</v>
      </c>
      <c r="E55" s="78">
        <v>236</v>
      </c>
      <c r="F55" s="79">
        <f>SUM(E55)*3</f>
        <v>708</v>
      </c>
      <c r="G55" s="13">
        <v>65.67</v>
      </c>
      <c r="H55" s="80">
        <f t="shared" si="4"/>
        <v>46.49436</v>
      </c>
      <c r="I55" s="13">
        <f>E55*G55</f>
        <v>15498.12</v>
      </c>
      <c r="J55" s="26"/>
      <c r="L55" s="19"/>
      <c r="M55" s="20"/>
      <c r="N55" s="21"/>
    </row>
    <row r="56" spans="1:22" ht="15.75" customHeight="1">
      <c r="A56" s="206" t="s">
        <v>144</v>
      </c>
      <c r="B56" s="207"/>
      <c r="C56" s="207"/>
      <c r="D56" s="207"/>
      <c r="E56" s="207"/>
      <c r="F56" s="207"/>
      <c r="G56" s="207"/>
      <c r="H56" s="207"/>
      <c r="I56" s="208"/>
      <c r="J56" s="26"/>
      <c r="L56" s="19"/>
      <c r="M56" s="20"/>
      <c r="N56" s="21"/>
    </row>
    <row r="57" spans="1:22" ht="15.75" hidden="1" customHeight="1">
      <c r="A57" s="32"/>
      <c r="B57" s="100" t="s">
        <v>43</v>
      </c>
      <c r="C57" s="77"/>
      <c r="D57" s="76"/>
      <c r="E57" s="78"/>
      <c r="F57" s="79"/>
      <c r="G57" s="79"/>
      <c r="H57" s="80"/>
      <c r="I57" s="13"/>
      <c r="J57" s="26"/>
      <c r="L57" s="19"/>
      <c r="M57" s="20"/>
      <c r="N57" s="21"/>
    </row>
    <row r="58" spans="1:22" ht="31.5" hidden="1" customHeight="1">
      <c r="A58" s="32">
        <v>19</v>
      </c>
      <c r="B58" s="76" t="s">
        <v>131</v>
      </c>
      <c r="C58" s="77" t="s">
        <v>89</v>
      </c>
      <c r="D58" s="76" t="s">
        <v>111</v>
      </c>
      <c r="E58" s="78">
        <v>30</v>
      </c>
      <c r="F58" s="79">
        <f>SUM(E58*6/100)</f>
        <v>1.8</v>
      </c>
      <c r="G58" s="13">
        <v>1547.28</v>
      </c>
      <c r="H58" s="80">
        <f>SUM(F58*G58/1000)</f>
        <v>2.785104</v>
      </c>
      <c r="I58" s="13">
        <f>F58/6*G58</f>
        <v>464.18399999999997</v>
      </c>
      <c r="J58" s="26"/>
      <c r="L58" s="19"/>
    </row>
    <row r="59" spans="1:22" ht="15.75" hidden="1" customHeight="1">
      <c r="A59" s="32">
        <v>20</v>
      </c>
      <c r="B59" s="85" t="s">
        <v>132</v>
      </c>
      <c r="C59" s="86" t="s">
        <v>133</v>
      </c>
      <c r="D59" s="85" t="s">
        <v>42</v>
      </c>
      <c r="E59" s="87">
        <v>6</v>
      </c>
      <c r="F59" s="88">
        <v>12</v>
      </c>
      <c r="G59" s="13">
        <v>180.78</v>
      </c>
      <c r="H59" s="89">
        <f>G59*F59/1000</f>
        <v>2.1693600000000002</v>
      </c>
      <c r="I59" s="13">
        <f>F59/2*G59</f>
        <v>1084.68</v>
      </c>
    </row>
    <row r="60" spans="1:22" ht="15.75" hidden="1" customHeight="1">
      <c r="A60" s="32">
        <v>21</v>
      </c>
      <c r="B60" s="85" t="s">
        <v>134</v>
      </c>
      <c r="C60" s="86" t="s">
        <v>52</v>
      </c>
      <c r="D60" s="85" t="s">
        <v>40</v>
      </c>
      <c r="E60" s="87">
        <v>6</v>
      </c>
      <c r="F60" s="88">
        <f>E60*4/100</f>
        <v>0.24</v>
      </c>
      <c r="G60" s="13">
        <v>1547.28</v>
      </c>
      <c r="H60" s="89">
        <f>G60*F60/1000</f>
        <v>0.37134719999999999</v>
      </c>
      <c r="I60" s="13">
        <f>F60/4*G60</f>
        <v>92.836799999999997</v>
      </c>
    </row>
    <row r="61" spans="1:22" ht="15.75" customHeight="1">
      <c r="A61" s="32"/>
      <c r="B61" s="101" t="s">
        <v>44</v>
      </c>
      <c r="C61" s="86"/>
      <c r="D61" s="85"/>
      <c r="E61" s="87"/>
      <c r="F61" s="88"/>
      <c r="G61" s="13"/>
      <c r="H61" s="89"/>
      <c r="I61" s="13"/>
    </row>
    <row r="62" spans="1:22" ht="15.75" hidden="1" customHeight="1">
      <c r="A62" s="32">
        <v>22</v>
      </c>
      <c r="B62" s="85" t="s">
        <v>135</v>
      </c>
      <c r="C62" s="86" t="s">
        <v>52</v>
      </c>
      <c r="D62" s="85" t="s">
        <v>53</v>
      </c>
      <c r="E62" s="87">
        <v>997</v>
      </c>
      <c r="F62" s="88">
        <v>9.9700000000000006</v>
      </c>
      <c r="G62" s="13">
        <v>793.61</v>
      </c>
      <c r="H62" s="89">
        <f>F62*G62/1000</f>
        <v>7.9122917000000008</v>
      </c>
      <c r="I62" s="13">
        <f>G62*F62</f>
        <v>7912.2917000000007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9"/>
    </row>
    <row r="63" spans="1:22" ht="15.75" customHeight="1">
      <c r="A63" s="32">
        <v>14</v>
      </c>
      <c r="B63" s="85" t="s">
        <v>136</v>
      </c>
      <c r="C63" s="86" t="s">
        <v>25</v>
      </c>
      <c r="D63" s="85" t="s">
        <v>30</v>
      </c>
      <c r="E63" s="87">
        <v>394</v>
      </c>
      <c r="F63" s="90">
        <v>2400</v>
      </c>
      <c r="G63" s="71">
        <v>1.2</v>
      </c>
      <c r="H63" s="88">
        <f>F63*G63/1000</f>
        <v>2.88</v>
      </c>
      <c r="I63" s="13">
        <f>F63/12*G63</f>
        <v>240</v>
      </c>
      <c r="J63" s="28"/>
      <c r="K63" s="28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15.75" hidden="1" customHeight="1">
      <c r="A64" s="32"/>
      <c r="B64" s="101" t="s">
        <v>45</v>
      </c>
      <c r="C64" s="86"/>
      <c r="D64" s="85"/>
      <c r="E64" s="87"/>
      <c r="F64" s="90"/>
      <c r="G64" s="90"/>
      <c r="H64" s="88" t="s">
        <v>150</v>
      </c>
      <c r="I64" s="13"/>
      <c r="J64" s="3"/>
      <c r="K64" s="3"/>
      <c r="L64" s="3"/>
      <c r="M64" s="3"/>
      <c r="N64" s="3"/>
      <c r="O64" s="3"/>
      <c r="P64" s="3"/>
      <c r="Q64" s="3"/>
      <c r="S64" s="3"/>
      <c r="T64" s="3"/>
      <c r="U64" s="3"/>
    </row>
    <row r="65" spans="1:21" ht="15.75" hidden="1" customHeight="1">
      <c r="A65" s="32">
        <v>17</v>
      </c>
      <c r="B65" s="14" t="s">
        <v>46</v>
      </c>
      <c r="C65" s="16" t="s">
        <v>110</v>
      </c>
      <c r="D65" s="76" t="s">
        <v>67</v>
      </c>
      <c r="E65" s="18">
        <v>15</v>
      </c>
      <c r="F65" s="79">
        <v>15</v>
      </c>
      <c r="G65" s="13">
        <v>222.4</v>
      </c>
      <c r="H65" s="91">
        <f t="shared" ref="H65:H78" si="5">SUM(F65*G65/1000)</f>
        <v>3.3359999999999999</v>
      </c>
      <c r="I65" s="13">
        <f>G65*16</f>
        <v>3558.4</v>
      </c>
      <c r="J65" s="5"/>
      <c r="K65" s="5"/>
      <c r="L65" s="5"/>
      <c r="M65" s="5"/>
      <c r="N65" s="5"/>
      <c r="O65" s="5"/>
      <c r="P65" s="5"/>
      <c r="Q65" s="5"/>
      <c r="R65" s="188"/>
      <c r="S65" s="188"/>
      <c r="T65" s="188"/>
      <c r="U65" s="188"/>
    </row>
    <row r="66" spans="1:21" ht="15.75" hidden="1" customHeight="1">
      <c r="A66" s="32">
        <v>25</v>
      </c>
      <c r="B66" s="14" t="s">
        <v>47</v>
      </c>
      <c r="C66" s="16" t="s">
        <v>110</v>
      </c>
      <c r="D66" s="76" t="s">
        <v>67</v>
      </c>
      <c r="E66" s="18">
        <v>10</v>
      </c>
      <c r="F66" s="79">
        <v>10</v>
      </c>
      <c r="G66" s="13">
        <v>76.25</v>
      </c>
      <c r="H66" s="91">
        <f t="shared" si="5"/>
        <v>0.76249999999999996</v>
      </c>
      <c r="I66" s="13">
        <f>G66</f>
        <v>76.25</v>
      </c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1" ht="15.75" hidden="1" customHeight="1">
      <c r="A67" s="32"/>
      <c r="B67" s="14" t="s">
        <v>48</v>
      </c>
      <c r="C67" s="16" t="s">
        <v>112</v>
      </c>
      <c r="D67" s="14" t="s">
        <v>53</v>
      </c>
      <c r="E67" s="78">
        <v>28608</v>
      </c>
      <c r="F67" s="13">
        <f>SUM(E67/100)</f>
        <v>286.08</v>
      </c>
      <c r="G67" s="13">
        <v>199.77</v>
      </c>
      <c r="H67" s="91">
        <f t="shared" si="5"/>
        <v>57.150201600000003</v>
      </c>
      <c r="I67" s="13">
        <f>F67*G67</f>
        <v>57150.2016</v>
      </c>
    </row>
    <row r="68" spans="1:21" ht="15.75" hidden="1" customHeight="1">
      <c r="A68" s="32"/>
      <c r="B68" s="14" t="s">
        <v>49</v>
      </c>
      <c r="C68" s="16" t="s">
        <v>113</v>
      </c>
      <c r="D68" s="14"/>
      <c r="E68" s="78">
        <v>28608</v>
      </c>
      <c r="F68" s="13">
        <f>SUM(E68/1000)</f>
        <v>28.608000000000001</v>
      </c>
      <c r="G68" s="13">
        <v>155.57</v>
      </c>
      <c r="H68" s="91">
        <f t="shared" si="5"/>
        <v>4.4505465599999994</v>
      </c>
      <c r="I68" s="13">
        <f t="shared" ref="I68:I72" si="6">F68*G68</f>
        <v>4450.5465599999998</v>
      </c>
    </row>
    <row r="69" spans="1:21" ht="15.75" hidden="1" customHeight="1">
      <c r="A69" s="32"/>
      <c r="B69" s="14" t="s">
        <v>50</v>
      </c>
      <c r="C69" s="16" t="s">
        <v>77</v>
      </c>
      <c r="D69" s="14" t="s">
        <v>53</v>
      </c>
      <c r="E69" s="78">
        <v>4550</v>
      </c>
      <c r="F69" s="13">
        <f>SUM(E69/100)</f>
        <v>45.5</v>
      </c>
      <c r="G69" s="13">
        <v>2074.63</v>
      </c>
      <c r="H69" s="91">
        <f t="shared" si="5"/>
        <v>94.395665000000008</v>
      </c>
      <c r="I69" s="13">
        <f t="shared" si="6"/>
        <v>94395.665000000008</v>
      </c>
    </row>
    <row r="70" spans="1:21" ht="15.75" hidden="1" customHeight="1">
      <c r="A70" s="32"/>
      <c r="B70" s="92" t="s">
        <v>114</v>
      </c>
      <c r="C70" s="16" t="s">
        <v>33</v>
      </c>
      <c r="D70" s="14"/>
      <c r="E70" s="78">
        <v>58.5</v>
      </c>
      <c r="F70" s="13">
        <f>SUM(E70)</f>
        <v>58.5</v>
      </c>
      <c r="G70" s="13">
        <v>45.32</v>
      </c>
      <c r="H70" s="91">
        <f t="shared" si="5"/>
        <v>2.6512199999999999</v>
      </c>
      <c r="I70" s="13">
        <f t="shared" si="6"/>
        <v>2651.22</v>
      </c>
    </row>
    <row r="71" spans="1:21" ht="15.75" hidden="1" customHeight="1">
      <c r="A71" s="32"/>
      <c r="B71" s="92" t="s">
        <v>115</v>
      </c>
      <c r="C71" s="16" t="s">
        <v>33</v>
      </c>
      <c r="D71" s="14"/>
      <c r="E71" s="78">
        <v>58.5</v>
      </c>
      <c r="F71" s="13">
        <f>SUM(E71)</f>
        <v>58.5</v>
      </c>
      <c r="G71" s="13">
        <v>42.28</v>
      </c>
      <c r="H71" s="91">
        <f t="shared" si="5"/>
        <v>2.4733800000000001</v>
      </c>
      <c r="I71" s="13">
        <f t="shared" si="6"/>
        <v>2473.38</v>
      </c>
    </row>
    <row r="72" spans="1:21" ht="15.75" hidden="1" customHeight="1">
      <c r="A72" s="32"/>
      <c r="B72" s="14" t="s">
        <v>57</v>
      </c>
      <c r="C72" s="16" t="s">
        <v>58</v>
      </c>
      <c r="D72" s="14" t="s">
        <v>53</v>
      </c>
      <c r="E72" s="18">
        <v>5</v>
      </c>
      <c r="F72" s="79">
        <v>5</v>
      </c>
      <c r="G72" s="13">
        <v>49.88</v>
      </c>
      <c r="H72" s="91">
        <f t="shared" si="5"/>
        <v>0.24940000000000001</v>
      </c>
      <c r="I72" s="13">
        <f t="shared" si="6"/>
        <v>249.4</v>
      </c>
    </row>
    <row r="73" spans="1:21" ht="15.75" hidden="1" customHeight="1">
      <c r="A73" s="32"/>
      <c r="B73" s="64" t="s">
        <v>72</v>
      </c>
      <c r="C73" s="16"/>
      <c r="D73" s="14"/>
      <c r="E73" s="18"/>
      <c r="F73" s="13"/>
      <c r="G73" s="13"/>
      <c r="H73" s="91" t="s">
        <v>150</v>
      </c>
      <c r="I73" s="13"/>
    </row>
    <row r="74" spans="1:21" ht="15.75" hidden="1" customHeight="1">
      <c r="A74" s="32"/>
      <c r="B74" s="14" t="s">
        <v>73</v>
      </c>
      <c r="C74" s="16" t="s">
        <v>75</v>
      </c>
      <c r="D74" s="14"/>
      <c r="E74" s="18">
        <v>10</v>
      </c>
      <c r="F74" s="13">
        <v>1</v>
      </c>
      <c r="G74" s="13">
        <v>501.62</v>
      </c>
      <c r="H74" s="91">
        <f t="shared" si="5"/>
        <v>0.50161999999999995</v>
      </c>
      <c r="I74" s="13">
        <v>0</v>
      </c>
    </row>
    <row r="75" spans="1:21" ht="15.75" hidden="1" customHeight="1">
      <c r="A75" s="32"/>
      <c r="B75" s="14" t="s">
        <v>74</v>
      </c>
      <c r="C75" s="16" t="s">
        <v>31</v>
      </c>
      <c r="D75" s="14"/>
      <c r="E75" s="18">
        <v>3</v>
      </c>
      <c r="F75" s="71">
        <v>3</v>
      </c>
      <c r="G75" s="13">
        <v>852.99</v>
      </c>
      <c r="H75" s="91">
        <f>F75*G75/1000</f>
        <v>2.5589700000000004</v>
      </c>
      <c r="I75" s="13">
        <v>0</v>
      </c>
    </row>
    <row r="76" spans="1:21" ht="15.75" hidden="1" customHeight="1">
      <c r="A76" s="32"/>
      <c r="B76" s="14" t="s">
        <v>117</v>
      </c>
      <c r="C76" s="16" t="s">
        <v>31</v>
      </c>
      <c r="D76" s="14"/>
      <c r="E76" s="18">
        <v>1</v>
      </c>
      <c r="F76" s="13">
        <v>1</v>
      </c>
      <c r="G76" s="13">
        <v>358.51</v>
      </c>
      <c r="H76" s="91">
        <f>G76*F76/1000</f>
        <v>0.35851</v>
      </c>
      <c r="I76" s="13">
        <v>0</v>
      </c>
    </row>
    <row r="77" spans="1:21" ht="15.75" hidden="1" customHeight="1">
      <c r="A77" s="32"/>
      <c r="B77" s="94" t="s">
        <v>76</v>
      </c>
      <c r="C77" s="16"/>
      <c r="D77" s="14"/>
      <c r="E77" s="18"/>
      <c r="F77" s="13"/>
      <c r="G77" s="13" t="s">
        <v>150</v>
      </c>
      <c r="H77" s="91" t="s">
        <v>150</v>
      </c>
      <c r="I77" s="13"/>
    </row>
    <row r="78" spans="1:21" ht="15.75" hidden="1" customHeight="1">
      <c r="A78" s="32"/>
      <c r="B78" s="47" t="s">
        <v>165</v>
      </c>
      <c r="C78" s="16" t="s">
        <v>77</v>
      </c>
      <c r="D78" s="14"/>
      <c r="E78" s="18"/>
      <c r="F78" s="13">
        <v>1.2</v>
      </c>
      <c r="G78" s="13">
        <v>2759.44</v>
      </c>
      <c r="H78" s="91">
        <f t="shared" si="5"/>
        <v>3.311328</v>
      </c>
      <c r="I78" s="13">
        <v>0</v>
      </c>
    </row>
    <row r="79" spans="1:21" ht="15.75" hidden="1" customHeight="1">
      <c r="A79" s="32"/>
      <c r="B79" s="70" t="s">
        <v>95</v>
      </c>
      <c r="C79" s="70"/>
      <c r="D79" s="70"/>
      <c r="E79" s="70"/>
      <c r="F79" s="70"/>
      <c r="G79" s="82"/>
      <c r="H79" s="95">
        <f>SUM(H58:H78)</f>
        <v>188.31744405999999</v>
      </c>
      <c r="I79" s="82"/>
    </row>
    <row r="80" spans="1:21" ht="15.75" hidden="1" customHeight="1">
      <c r="A80" s="32"/>
      <c r="B80" s="102" t="s">
        <v>116</v>
      </c>
      <c r="C80" s="23"/>
      <c r="D80" s="22"/>
      <c r="E80" s="72"/>
      <c r="F80" s="103">
        <v>1</v>
      </c>
      <c r="G80" s="13">
        <v>23072.1</v>
      </c>
      <c r="H80" s="91">
        <f>G80*F80/1000</f>
        <v>23.072099999999999</v>
      </c>
      <c r="I80" s="13">
        <v>0</v>
      </c>
    </row>
    <row r="81" spans="1:9" ht="15.75" customHeight="1">
      <c r="A81" s="189" t="s">
        <v>148</v>
      </c>
      <c r="B81" s="190"/>
      <c r="C81" s="190"/>
      <c r="D81" s="190"/>
      <c r="E81" s="190"/>
      <c r="F81" s="190"/>
      <c r="G81" s="190"/>
      <c r="H81" s="190"/>
      <c r="I81" s="191"/>
    </row>
    <row r="82" spans="1:9" ht="15.75" customHeight="1">
      <c r="A82" s="32">
        <v>15</v>
      </c>
      <c r="B82" s="76" t="s">
        <v>118</v>
      </c>
      <c r="C82" s="16" t="s">
        <v>54</v>
      </c>
      <c r="D82" s="51" t="s">
        <v>55</v>
      </c>
      <c r="E82" s="13">
        <v>6980.3</v>
      </c>
      <c r="F82" s="13">
        <v>83763.600000000006</v>
      </c>
      <c r="G82" s="13">
        <v>2.1</v>
      </c>
      <c r="H82" s="91">
        <f>SUM(F82*G82/1000)</f>
        <v>175.90356000000003</v>
      </c>
      <c r="I82" s="13">
        <f>F82/12*G82</f>
        <v>14658.630000000001</v>
      </c>
    </row>
    <row r="83" spans="1:9" ht="31.5" customHeight="1">
      <c r="A83" s="32">
        <v>16</v>
      </c>
      <c r="B83" s="14" t="s">
        <v>78</v>
      </c>
      <c r="C83" s="16"/>
      <c r="D83" s="51" t="s">
        <v>55</v>
      </c>
      <c r="E83" s="78">
        <f>E82</f>
        <v>6980.3</v>
      </c>
      <c r="F83" s="13">
        <f>E83*12</f>
        <v>83763.600000000006</v>
      </c>
      <c r="G83" s="13">
        <v>1.63</v>
      </c>
      <c r="H83" s="91">
        <f>F83*G83/1000</f>
        <v>136.53466800000001</v>
      </c>
      <c r="I83" s="13">
        <f>F83/12*G83</f>
        <v>11377.888999999999</v>
      </c>
    </row>
    <row r="84" spans="1:9" ht="15.75" customHeight="1">
      <c r="A84" s="32"/>
      <c r="B84" s="40" t="s">
        <v>81</v>
      </c>
      <c r="C84" s="94"/>
      <c r="D84" s="93"/>
      <c r="E84" s="82"/>
      <c r="F84" s="82"/>
      <c r="G84" s="82"/>
      <c r="H84" s="95">
        <f>H83</f>
        <v>136.53466800000001</v>
      </c>
      <c r="I84" s="82">
        <f>I83+I82+I63+I34+I33+I31+I30+I27+I26+I25+I24+I21+I20+I18+I17+I16</f>
        <v>93151.089781888892</v>
      </c>
    </row>
    <row r="85" spans="1:9" ht="15.75" customHeight="1">
      <c r="A85" s="200" t="s">
        <v>60</v>
      </c>
      <c r="B85" s="201"/>
      <c r="C85" s="201"/>
      <c r="D85" s="201"/>
      <c r="E85" s="201"/>
      <c r="F85" s="201"/>
      <c r="G85" s="201"/>
      <c r="H85" s="201"/>
      <c r="I85" s="202"/>
    </row>
    <row r="86" spans="1:9" ht="15.75" customHeight="1">
      <c r="A86" s="32">
        <v>17</v>
      </c>
      <c r="B86" s="50" t="s">
        <v>141</v>
      </c>
      <c r="C86" s="62" t="s">
        <v>85</v>
      </c>
      <c r="D86" s="14"/>
      <c r="E86" s="18"/>
      <c r="F86" s="13">
        <v>8</v>
      </c>
      <c r="G86" s="36">
        <v>203.68</v>
      </c>
      <c r="H86" s="91">
        <f>G86*F86/1000</f>
        <v>1.62944</v>
      </c>
      <c r="I86" s="13">
        <f>G86</f>
        <v>203.68</v>
      </c>
    </row>
    <row r="87" spans="1:9" ht="18" customHeight="1">
      <c r="A87" s="32">
        <v>18</v>
      </c>
      <c r="B87" s="52" t="s">
        <v>246</v>
      </c>
      <c r="C87" s="53" t="s">
        <v>29</v>
      </c>
      <c r="D87" s="39"/>
      <c r="E87" s="17"/>
      <c r="F87" s="36">
        <v>13</v>
      </c>
      <c r="G87" s="36">
        <v>1158.7</v>
      </c>
      <c r="H87" s="110">
        <f t="shared" ref="H87:H89" si="7">G87*F87/1000</f>
        <v>15.0631</v>
      </c>
      <c r="I87" s="13">
        <f>G87*0.316</f>
        <v>366.14920000000001</v>
      </c>
    </row>
    <row r="88" spans="1:9" ht="15.75" customHeight="1">
      <c r="A88" s="32" t="s">
        <v>249</v>
      </c>
      <c r="B88" s="50" t="s">
        <v>137</v>
      </c>
      <c r="C88" s="62" t="s">
        <v>110</v>
      </c>
      <c r="D88" s="14"/>
      <c r="E88" s="18"/>
      <c r="F88" s="13">
        <v>1080</v>
      </c>
      <c r="G88" s="13">
        <v>55.55</v>
      </c>
      <c r="H88" s="91">
        <f t="shared" si="7"/>
        <v>59.994</v>
      </c>
      <c r="I88" s="13">
        <f>G88*120</f>
        <v>6666</v>
      </c>
    </row>
    <row r="89" spans="1:9" ht="34.5" customHeight="1">
      <c r="A89" s="32">
        <v>20</v>
      </c>
      <c r="B89" s="50" t="s">
        <v>231</v>
      </c>
      <c r="C89" s="62" t="s">
        <v>152</v>
      </c>
      <c r="D89" s="14"/>
      <c r="E89" s="18"/>
      <c r="F89" s="13">
        <v>6</v>
      </c>
      <c r="G89" s="36">
        <v>56.34</v>
      </c>
      <c r="H89" s="91">
        <f t="shared" si="7"/>
        <v>0.33804000000000001</v>
      </c>
      <c r="I89" s="13">
        <f>G89*2</f>
        <v>112.68</v>
      </c>
    </row>
    <row r="90" spans="1:9" ht="39" customHeight="1">
      <c r="A90" s="32">
        <v>21</v>
      </c>
      <c r="B90" s="50" t="s">
        <v>138</v>
      </c>
      <c r="C90" s="62" t="s">
        <v>37</v>
      </c>
      <c r="D90" s="111"/>
      <c r="E90" s="36"/>
      <c r="F90" s="36">
        <f>(3+4+15+15+15+5+20+20+15+10+15+15+7+6+15+3)/3</f>
        <v>61</v>
      </c>
      <c r="G90" s="37">
        <v>3724.37</v>
      </c>
      <c r="H90" s="110">
        <f>G90*F90/1000</f>
        <v>227.18657000000002</v>
      </c>
      <c r="I90" s="13">
        <f>G90*0.01</f>
        <v>37.243699999999997</v>
      </c>
    </row>
    <row r="91" spans="1:9" ht="15.75" customHeight="1">
      <c r="A91" s="32"/>
      <c r="B91" s="45" t="s">
        <v>51</v>
      </c>
      <c r="C91" s="41"/>
      <c r="D91" s="48"/>
      <c r="E91" s="41">
        <v>1</v>
      </c>
      <c r="F91" s="41"/>
      <c r="G91" s="41"/>
      <c r="H91" s="41"/>
      <c r="I91" s="34">
        <f>I90+I89+I87+I86</f>
        <v>719.75289999999995</v>
      </c>
    </row>
    <row r="92" spans="1:9">
      <c r="A92" s="32"/>
      <c r="B92" s="47" t="s">
        <v>79</v>
      </c>
      <c r="C92" s="15"/>
      <c r="D92" s="15"/>
      <c r="E92" s="42"/>
      <c r="F92" s="42"/>
      <c r="G92" s="43"/>
      <c r="H92" s="43"/>
      <c r="I92" s="17">
        <v>0</v>
      </c>
    </row>
    <row r="93" spans="1:9">
      <c r="A93" s="49"/>
      <c r="B93" s="46" t="s">
        <v>179</v>
      </c>
      <c r="C93" s="35"/>
      <c r="D93" s="35"/>
      <c r="E93" s="35"/>
      <c r="F93" s="35"/>
      <c r="G93" s="35"/>
      <c r="H93" s="35"/>
      <c r="I93" s="44">
        <f>I84+I91</f>
        <v>93870.842681888898</v>
      </c>
    </row>
    <row r="94" spans="1:9">
      <c r="A94" s="203" t="s">
        <v>250</v>
      </c>
      <c r="B94" s="204"/>
      <c r="C94" s="204"/>
      <c r="D94" s="204"/>
      <c r="E94" s="204"/>
      <c r="F94" s="204"/>
      <c r="G94" s="204"/>
      <c r="H94" s="204"/>
      <c r="I94" s="204"/>
    </row>
    <row r="95" spans="1:9" ht="15.75">
      <c r="A95" s="192" t="s">
        <v>247</v>
      </c>
      <c r="B95" s="192"/>
      <c r="C95" s="192"/>
      <c r="D95" s="192"/>
      <c r="E95" s="192"/>
      <c r="F95" s="192"/>
      <c r="G95" s="192"/>
      <c r="H95" s="192"/>
      <c r="I95" s="192"/>
    </row>
    <row r="96" spans="1:9" ht="15.75" customHeight="1">
      <c r="A96" s="60"/>
      <c r="B96" s="193" t="s">
        <v>248</v>
      </c>
      <c r="C96" s="193"/>
      <c r="D96" s="193"/>
      <c r="E96" s="193"/>
      <c r="F96" s="193"/>
      <c r="G96" s="193"/>
      <c r="H96" s="75"/>
      <c r="I96" s="3"/>
    </row>
    <row r="97" spans="1:9">
      <c r="A97" s="69"/>
      <c r="B97" s="194" t="s">
        <v>6</v>
      </c>
      <c r="C97" s="194"/>
      <c r="D97" s="194"/>
      <c r="E97" s="194"/>
      <c r="F97" s="194"/>
      <c r="G97" s="194"/>
      <c r="H97" s="27"/>
      <c r="I97" s="5"/>
    </row>
    <row r="98" spans="1:9">
      <c r="A98" s="10"/>
      <c r="B98" s="10"/>
      <c r="C98" s="10"/>
      <c r="D98" s="10"/>
      <c r="E98" s="10"/>
      <c r="F98" s="10"/>
      <c r="G98" s="10"/>
      <c r="H98" s="10"/>
      <c r="I98" s="10"/>
    </row>
    <row r="99" spans="1:9" ht="15.75">
      <c r="A99" s="195" t="s">
        <v>7</v>
      </c>
      <c r="B99" s="195"/>
      <c r="C99" s="195"/>
      <c r="D99" s="195"/>
      <c r="E99" s="195"/>
      <c r="F99" s="195"/>
      <c r="G99" s="195"/>
      <c r="H99" s="195"/>
      <c r="I99" s="195"/>
    </row>
    <row r="100" spans="1:9" ht="15.75">
      <c r="A100" s="195" t="s">
        <v>8</v>
      </c>
      <c r="B100" s="195"/>
      <c r="C100" s="195"/>
      <c r="D100" s="195"/>
      <c r="E100" s="195"/>
      <c r="F100" s="195"/>
      <c r="G100" s="195"/>
      <c r="H100" s="195"/>
      <c r="I100" s="195"/>
    </row>
    <row r="101" spans="1:9" ht="15.75">
      <c r="A101" s="196" t="s">
        <v>61</v>
      </c>
      <c r="B101" s="196"/>
      <c r="C101" s="196"/>
      <c r="D101" s="196"/>
      <c r="E101" s="196"/>
      <c r="F101" s="196"/>
      <c r="G101" s="196"/>
      <c r="H101" s="196"/>
      <c r="I101" s="196"/>
    </row>
    <row r="102" spans="1:9" ht="15.75">
      <c r="A102" s="11"/>
    </row>
    <row r="103" spans="1:9" ht="15.75">
      <c r="A103" s="197" t="s">
        <v>9</v>
      </c>
      <c r="B103" s="197"/>
      <c r="C103" s="197"/>
      <c r="D103" s="197"/>
      <c r="E103" s="197"/>
      <c r="F103" s="197"/>
      <c r="G103" s="197"/>
      <c r="H103" s="197"/>
      <c r="I103" s="197"/>
    </row>
    <row r="104" spans="1:9" ht="15.75" customHeight="1">
      <c r="A104" s="4"/>
    </row>
    <row r="105" spans="1:9" ht="15.75" customHeight="1">
      <c r="B105" s="66" t="s">
        <v>10</v>
      </c>
      <c r="C105" s="198" t="s">
        <v>142</v>
      </c>
      <c r="D105" s="198"/>
      <c r="E105" s="198"/>
      <c r="F105" s="73"/>
      <c r="I105" s="68"/>
    </row>
    <row r="106" spans="1:9" ht="15.75" customHeight="1">
      <c r="A106" s="69"/>
      <c r="C106" s="194" t="s">
        <v>11</v>
      </c>
      <c r="D106" s="194"/>
      <c r="E106" s="194"/>
      <c r="F106" s="27"/>
      <c r="I106" s="67" t="s">
        <v>12</v>
      </c>
    </row>
    <row r="107" spans="1:9" ht="15.75" customHeight="1">
      <c r="A107" s="28"/>
      <c r="C107" s="12"/>
      <c r="D107" s="12"/>
      <c r="G107" s="12"/>
      <c r="H107" s="12"/>
    </row>
    <row r="108" spans="1:9" ht="15.75">
      <c r="B108" s="66" t="s">
        <v>13</v>
      </c>
      <c r="C108" s="199"/>
      <c r="D108" s="199"/>
      <c r="E108" s="199"/>
      <c r="F108" s="74"/>
      <c r="I108" s="68"/>
    </row>
    <row r="109" spans="1:9">
      <c r="A109" s="69"/>
      <c r="C109" s="188" t="s">
        <v>11</v>
      </c>
      <c r="D109" s="188"/>
      <c r="E109" s="188"/>
      <c r="F109" s="69"/>
      <c r="I109" s="67" t="s">
        <v>12</v>
      </c>
    </row>
    <row r="110" spans="1:9" ht="15.75">
      <c r="A110" s="4" t="s">
        <v>14</v>
      </c>
    </row>
    <row r="111" spans="1:9">
      <c r="A111" s="186" t="s">
        <v>15</v>
      </c>
      <c r="B111" s="186"/>
      <c r="C111" s="186"/>
      <c r="D111" s="186"/>
      <c r="E111" s="186"/>
      <c r="F111" s="186"/>
      <c r="G111" s="186"/>
      <c r="H111" s="186"/>
      <c r="I111" s="186"/>
    </row>
    <row r="112" spans="1:9" ht="45" customHeight="1">
      <c r="A112" s="187" t="s">
        <v>16</v>
      </c>
      <c r="B112" s="187"/>
      <c r="C112" s="187"/>
      <c r="D112" s="187"/>
      <c r="E112" s="187"/>
      <c r="F112" s="187"/>
      <c r="G112" s="187"/>
      <c r="H112" s="187"/>
      <c r="I112" s="187"/>
    </row>
    <row r="113" spans="1:9" ht="30" customHeight="1">
      <c r="A113" s="187" t="s">
        <v>17</v>
      </c>
      <c r="B113" s="187"/>
      <c r="C113" s="187"/>
      <c r="D113" s="187"/>
      <c r="E113" s="187"/>
      <c r="F113" s="187"/>
      <c r="G113" s="187"/>
      <c r="H113" s="187"/>
      <c r="I113" s="187"/>
    </row>
    <row r="114" spans="1:9" ht="30" customHeight="1">
      <c r="A114" s="187" t="s">
        <v>21</v>
      </c>
      <c r="B114" s="187"/>
      <c r="C114" s="187"/>
      <c r="D114" s="187"/>
      <c r="E114" s="187"/>
      <c r="F114" s="187"/>
      <c r="G114" s="187"/>
      <c r="H114" s="187"/>
      <c r="I114" s="187"/>
    </row>
    <row r="115" spans="1:9" ht="15" customHeight="1">
      <c r="A115" s="187" t="s">
        <v>20</v>
      </c>
      <c r="B115" s="187"/>
      <c r="C115" s="187"/>
      <c r="D115" s="187"/>
      <c r="E115" s="187"/>
      <c r="F115" s="187"/>
      <c r="G115" s="187"/>
      <c r="H115" s="187"/>
      <c r="I115" s="187"/>
    </row>
  </sheetData>
  <autoFilter ref="I12:I60"/>
  <mergeCells count="30">
    <mergeCell ref="A112:I112"/>
    <mergeCell ref="A113:I113"/>
    <mergeCell ref="A114:I114"/>
    <mergeCell ref="A115:I115"/>
    <mergeCell ref="A103:I103"/>
    <mergeCell ref="C105:E105"/>
    <mergeCell ref="C106:E106"/>
    <mergeCell ref="C108:E108"/>
    <mergeCell ref="C109:E109"/>
    <mergeCell ref="A111:I111"/>
    <mergeCell ref="A101:I101"/>
    <mergeCell ref="A15:I15"/>
    <mergeCell ref="A28:I28"/>
    <mergeCell ref="A46:I46"/>
    <mergeCell ref="A56:I56"/>
    <mergeCell ref="A85:I85"/>
    <mergeCell ref="A95:I95"/>
    <mergeCell ref="B96:G96"/>
    <mergeCell ref="B97:G97"/>
    <mergeCell ref="A99:I99"/>
    <mergeCell ref="A100:I100"/>
    <mergeCell ref="A94:I94"/>
    <mergeCell ref="R65:U65"/>
    <mergeCell ref="A81:I81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59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17"/>
  <sheetViews>
    <sheetView view="pageBreakPreview" topLeftCell="A87" zoomScale="60" workbookViewId="0">
      <selection activeCell="B98" sqref="B98:G9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6.140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257</v>
      </c>
      <c r="I1" s="29"/>
      <c r="J1" s="1"/>
      <c r="K1" s="1"/>
      <c r="L1" s="1"/>
      <c r="M1" s="1"/>
    </row>
    <row r="2" spans="1:13" ht="15.75">
      <c r="A2" s="31" t="s">
        <v>62</v>
      </c>
      <c r="J2" s="2"/>
      <c r="K2" s="2"/>
      <c r="L2" s="2"/>
      <c r="M2" s="2"/>
    </row>
    <row r="3" spans="1:13" ht="15.75" customHeight="1">
      <c r="A3" s="210" t="s">
        <v>172</v>
      </c>
      <c r="B3" s="210"/>
      <c r="C3" s="210"/>
      <c r="D3" s="210"/>
      <c r="E3" s="210"/>
      <c r="F3" s="210"/>
      <c r="G3" s="210"/>
      <c r="H3" s="210"/>
      <c r="I3" s="210"/>
      <c r="J3" s="3"/>
      <c r="K3" s="3"/>
      <c r="L3" s="3"/>
    </row>
    <row r="4" spans="1:13" ht="31.5" customHeight="1">
      <c r="A4" s="211" t="s">
        <v>139</v>
      </c>
      <c r="B4" s="211"/>
      <c r="C4" s="211"/>
      <c r="D4" s="211"/>
      <c r="E4" s="211"/>
      <c r="F4" s="211"/>
      <c r="G4" s="211"/>
      <c r="H4" s="211"/>
      <c r="I4" s="211"/>
    </row>
    <row r="5" spans="1:13" ht="15.75">
      <c r="A5" s="210" t="s">
        <v>258</v>
      </c>
      <c r="B5" s="212"/>
      <c r="C5" s="212"/>
      <c r="D5" s="212"/>
      <c r="E5" s="212"/>
      <c r="F5" s="212"/>
      <c r="G5" s="212"/>
      <c r="H5" s="212"/>
      <c r="I5" s="212"/>
      <c r="J5" s="2"/>
      <c r="K5" s="2"/>
      <c r="L5" s="2"/>
      <c r="M5" s="2"/>
    </row>
    <row r="6" spans="1:13" ht="15.75">
      <c r="A6" s="2"/>
      <c r="B6" s="65"/>
      <c r="C6" s="65"/>
      <c r="D6" s="65"/>
      <c r="E6" s="65"/>
      <c r="F6" s="65"/>
      <c r="G6" s="65"/>
      <c r="H6" s="65"/>
      <c r="I6" s="33">
        <v>43343</v>
      </c>
      <c r="J6" s="2"/>
      <c r="K6" s="2"/>
      <c r="L6" s="2"/>
      <c r="M6" s="2"/>
    </row>
    <row r="7" spans="1:13" ht="15.75">
      <c r="B7" s="66"/>
      <c r="C7" s="66"/>
      <c r="D7" s="66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213" t="s">
        <v>259</v>
      </c>
      <c r="B8" s="213"/>
      <c r="C8" s="213"/>
      <c r="D8" s="213"/>
      <c r="E8" s="213"/>
      <c r="F8" s="213"/>
      <c r="G8" s="213"/>
      <c r="H8" s="213"/>
      <c r="I8" s="213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214" t="s">
        <v>175</v>
      </c>
      <c r="B10" s="214"/>
      <c r="C10" s="214"/>
      <c r="D10" s="214"/>
      <c r="E10" s="214"/>
      <c r="F10" s="214"/>
      <c r="G10" s="214"/>
      <c r="H10" s="214"/>
      <c r="I10" s="214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09" t="s">
        <v>59</v>
      </c>
      <c r="B14" s="209"/>
      <c r="C14" s="209"/>
      <c r="D14" s="209"/>
      <c r="E14" s="209"/>
      <c r="F14" s="209"/>
      <c r="G14" s="209"/>
      <c r="H14" s="209"/>
      <c r="I14" s="209"/>
      <c r="J14" s="8"/>
      <c r="K14" s="8"/>
      <c r="L14" s="8"/>
      <c r="M14" s="8"/>
    </row>
    <row r="15" spans="1:13" ht="15.75" customHeight="1">
      <c r="A15" s="205" t="s">
        <v>4</v>
      </c>
      <c r="B15" s="205"/>
      <c r="C15" s="205"/>
      <c r="D15" s="205"/>
      <c r="E15" s="205"/>
      <c r="F15" s="205"/>
      <c r="G15" s="205"/>
      <c r="H15" s="205"/>
      <c r="I15" s="205"/>
      <c r="J15" s="8"/>
      <c r="K15" s="8"/>
      <c r="L15" s="8"/>
      <c r="M15" s="8"/>
    </row>
    <row r="16" spans="1:13" ht="15.75" customHeight="1">
      <c r="A16" s="32">
        <v>1</v>
      </c>
      <c r="B16" s="76" t="s">
        <v>88</v>
      </c>
      <c r="C16" s="77" t="s">
        <v>89</v>
      </c>
      <c r="D16" s="76" t="s">
        <v>178</v>
      </c>
      <c r="E16" s="78">
        <v>208.08</v>
      </c>
      <c r="F16" s="79">
        <f>SUM(E16*156/100)</f>
        <v>324.60480000000001</v>
      </c>
      <c r="G16" s="79">
        <v>175.38</v>
      </c>
      <c r="H16" s="80">
        <f t="shared" ref="H16:H25" si="0">SUM(F16*G16/1000)</f>
        <v>56.929189823999998</v>
      </c>
      <c r="I16" s="13">
        <f>F16/12*G16</f>
        <v>4744.0991519999998</v>
      </c>
      <c r="J16" s="24"/>
      <c r="K16" s="8"/>
      <c r="L16" s="8"/>
      <c r="M16" s="8"/>
    </row>
    <row r="17" spans="1:13" ht="15.75" customHeight="1">
      <c r="A17" s="32">
        <v>2</v>
      </c>
      <c r="B17" s="76" t="s">
        <v>119</v>
      </c>
      <c r="C17" s="77" t="s">
        <v>89</v>
      </c>
      <c r="D17" s="76" t="s">
        <v>177</v>
      </c>
      <c r="E17" s="78">
        <v>832.32</v>
      </c>
      <c r="F17" s="79">
        <f>SUM(E17*104/100)</f>
        <v>865.61279999999999</v>
      </c>
      <c r="G17" s="79">
        <v>175.38</v>
      </c>
      <c r="H17" s="80">
        <f t="shared" si="0"/>
        <v>151.81117286399999</v>
      </c>
      <c r="I17" s="13">
        <f>F17/12*G17</f>
        <v>12650.931071999999</v>
      </c>
      <c r="J17" s="25"/>
      <c r="K17" s="8"/>
      <c r="L17" s="8"/>
      <c r="M17" s="8"/>
    </row>
    <row r="18" spans="1:13" ht="15.75" customHeight="1">
      <c r="A18" s="32">
        <v>3</v>
      </c>
      <c r="B18" s="76" t="s">
        <v>120</v>
      </c>
      <c r="C18" s="77" t="s">
        <v>89</v>
      </c>
      <c r="D18" s="76" t="s">
        <v>176</v>
      </c>
      <c r="E18" s="78">
        <v>1040.4000000000001</v>
      </c>
      <c r="F18" s="79">
        <f>SUM(E18*24/100)</f>
        <v>249.69600000000003</v>
      </c>
      <c r="G18" s="79">
        <v>504.5</v>
      </c>
      <c r="H18" s="80">
        <f t="shared" si="0"/>
        <v>125.97163200000001</v>
      </c>
      <c r="I18" s="13">
        <f>F18/12*G18</f>
        <v>10497.636000000002</v>
      </c>
      <c r="J18" s="25"/>
      <c r="K18" s="8"/>
      <c r="L18" s="8"/>
      <c r="M18" s="8"/>
    </row>
    <row r="19" spans="1:13" ht="15.75" hidden="1" customHeight="1">
      <c r="A19" s="32"/>
      <c r="B19" s="76" t="s">
        <v>96</v>
      </c>
      <c r="C19" s="77" t="s">
        <v>97</v>
      </c>
      <c r="D19" s="76" t="s">
        <v>98</v>
      </c>
      <c r="E19" s="78">
        <v>48</v>
      </c>
      <c r="F19" s="79">
        <f>SUM(E19/10)</f>
        <v>4.8</v>
      </c>
      <c r="G19" s="79">
        <v>170.16</v>
      </c>
      <c r="H19" s="80">
        <f t="shared" si="0"/>
        <v>0.81676799999999994</v>
      </c>
      <c r="I19" s="13">
        <v>0</v>
      </c>
      <c r="J19" s="25"/>
      <c r="K19" s="8"/>
      <c r="L19" s="8"/>
      <c r="M19" s="8"/>
    </row>
    <row r="20" spans="1:13" ht="15.75" customHeight="1">
      <c r="A20" s="32">
        <v>4</v>
      </c>
      <c r="B20" s="76" t="s">
        <v>99</v>
      </c>
      <c r="C20" s="77" t="s">
        <v>89</v>
      </c>
      <c r="D20" s="76" t="s">
        <v>121</v>
      </c>
      <c r="E20" s="78">
        <v>30.6</v>
      </c>
      <c r="F20" s="79">
        <f>SUM(E20*12/100)</f>
        <v>3.6720000000000006</v>
      </c>
      <c r="G20" s="79">
        <v>217.88</v>
      </c>
      <c r="H20" s="80">
        <f t="shared" si="0"/>
        <v>0.8000553600000001</v>
      </c>
      <c r="I20" s="13">
        <f>F20/12*G20</f>
        <v>66.67128000000001</v>
      </c>
      <c r="J20" s="25"/>
      <c r="K20" s="8"/>
      <c r="L20" s="8"/>
      <c r="M20" s="8"/>
    </row>
    <row r="21" spans="1:13" ht="15.75" customHeight="1">
      <c r="A21" s="32">
        <v>5</v>
      </c>
      <c r="B21" s="76" t="s">
        <v>100</v>
      </c>
      <c r="C21" s="77" t="s">
        <v>89</v>
      </c>
      <c r="D21" s="76" t="s">
        <v>30</v>
      </c>
      <c r="E21" s="78">
        <v>10.06</v>
      </c>
      <c r="F21" s="79">
        <f>SUM(E21*12/100)</f>
        <v>1.2072000000000001</v>
      </c>
      <c r="G21" s="79">
        <v>216.12</v>
      </c>
      <c r="H21" s="80">
        <f t="shared" si="0"/>
        <v>0.26090006400000004</v>
      </c>
      <c r="I21" s="13">
        <f>F21/12*G21</f>
        <v>21.741672000000001</v>
      </c>
      <c r="J21" s="25"/>
      <c r="K21" s="8"/>
      <c r="L21" s="8"/>
      <c r="M21" s="8"/>
    </row>
    <row r="22" spans="1:13" ht="15.75" hidden="1" customHeight="1">
      <c r="A22" s="32"/>
      <c r="B22" s="76" t="s">
        <v>101</v>
      </c>
      <c r="C22" s="77" t="s">
        <v>52</v>
      </c>
      <c r="D22" s="76" t="s">
        <v>98</v>
      </c>
      <c r="E22" s="78">
        <v>769.2</v>
      </c>
      <c r="F22" s="79">
        <f>SUM(E22/100)</f>
        <v>7.6920000000000002</v>
      </c>
      <c r="G22" s="79">
        <v>269.26</v>
      </c>
      <c r="H22" s="80">
        <f t="shared" si="0"/>
        <v>2.07114792</v>
      </c>
      <c r="I22" s="13">
        <v>0</v>
      </c>
      <c r="J22" s="25"/>
      <c r="K22" s="8"/>
      <c r="L22" s="8"/>
      <c r="M22" s="8"/>
    </row>
    <row r="23" spans="1:13" ht="15.75" hidden="1" customHeight="1">
      <c r="A23" s="32"/>
      <c r="B23" s="76" t="s">
        <v>102</v>
      </c>
      <c r="C23" s="77" t="s">
        <v>52</v>
      </c>
      <c r="D23" s="76" t="s">
        <v>98</v>
      </c>
      <c r="E23" s="81">
        <v>35.28</v>
      </c>
      <c r="F23" s="79">
        <f>SUM(E23/100)</f>
        <v>0.3528</v>
      </c>
      <c r="G23" s="79">
        <v>44.29</v>
      </c>
      <c r="H23" s="80">
        <f t="shared" si="0"/>
        <v>1.5625512000000001E-2</v>
      </c>
      <c r="I23" s="13">
        <v>0</v>
      </c>
      <c r="J23" s="25"/>
      <c r="K23" s="8"/>
      <c r="L23" s="8"/>
      <c r="M23" s="8"/>
    </row>
    <row r="24" spans="1:13" ht="15.75" customHeight="1">
      <c r="A24" s="32">
        <v>6</v>
      </c>
      <c r="B24" s="76" t="s">
        <v>103</v>
      </c>
      <c r="C24" s="77" t="s">
        <v>52</v>
      </c>
      <c r="D24" s="76" t="s">
        <v>30</v>
      </c>
      <c r="E24" s="78">
        <v>10.8</v>
      </c>
      <c r="F24" s="79">
        <f>E24*12/100</f>
        <v>1.2960000000000003</v>
      </c>
      <c r="G24" s="79">
        <v>389.72</v>
      </c>
      <c r="H24" s="80">
        <f t="shared" si="0"/>
        <v>0.50507712000000016</v>
      </c>
      <c r="I24" s="13">
        <f>F24/12*G24</f>
        <v>42.089760000000012</v>
      </c>
      <c r="J24" s="25"/>
      <c r="K24" s="8"/>
      <c r="L24" s="8"/>
      <c r="M24" s="8"/>
    </row>
    <row r="25" spans="1:13" ht="15.75" customHeight="1">
      <c r="A25" s="32">
        <v>7</v>
      </c>
      <c r="B25" s="76" t="s">
        <v>104</v>
      </c>
      <c r="C25" s="77" t="s">
        <v>52</v>
      </c>
      <c r="D25" s="76" t="s">
        <v>122</v>
      </c>
      <c r="E25" s="78">
        <v>21.6</v>
      </c>
      <c r="F25" s="79">
        <f>SUM(E25*12/100)</f>
        <v>2.5920000000000005</v>
      </c>
      <c r="G25" s="79">
        <v>520.79999999999995</v>
      </c>
      <c r="H25" s="80">
        <f t="shared" si="0"/>
        <v>1.3499136</v>
      </c>
      <c r="I25" s="13">
        <f>F25/12*G25</f>
        <v>112.49280000000002</v>
      </c>
      <c r="J25" s="25"/>
      <c r="K25" s="8"/>
      <c r="L25" s="8"/>
      <c r="M25" s="8"/>
    </row>
    <row r="26" spans="1:13" ht="15.75" customHeight="1">
      <c r="A26" s="32">
        <v>8</v>
      </c>
      <c r="B26" s="76" t="s">
        <v>64</v>
      </c>
      <c r="C26" s="77" t="s">
        <v>33</v>
      </c>
      <c r="D26" s="76"/>
      <c r="E26" s="78">
        <v>0.1</v>
      </c>
      <c r="F26" s="79">
        <f>SUM(E26*365)</f>
        <v>36.5</v>
      </c>
      <c r="G26" s="79">
        <v>147.03</v>
      </c>
      <c r="H26" s="80">
        <f>SUM(F26*G26/1000)</f>
        <v>5.3665950000000002</v>
      </c>
      <c r="I26" s="13">
        <f>F26/12*G26</f>
        <v>447.21625</v>
      </c>
      <c r="J26" s="26"/>
    </row>
    <row r="27" spans="1:13" ht="15.75" customHeight="1">
      <c r="A27" s="32">
        <v>9</v>
      </c>
      <c r="B27" s="84" t="s">
        <v>23</v>
      </c>
      <c r="C27" s="77" t="s">
        <v>24</v>
      </c>
      <c r="D27" s="76"/>
      <c r="E27" s="78">
        <v>6980.3</v>
      </c>
      <c r="F27" s="79">
        <f>SUM(E27*12)</f>
        <v>83763.600000000006</v>
      </c>
      <c r="G27" s="79">
        <v>4.4000000000000004</v>
      </c>
      <c r="H27" s="80">
        <f>SUM(F27*G27/1000)</f>
        <v>368.55984000000007</v>
      </c>
      <c r="I27" s="13">
        <f>F27/12*G27</f>
        <v>30713.320000000003</v>
      </c>
      <c r="J27" s="26"/>
    </row>
    <row r="28" spans="1:13" ht="15" customHeight="1">
      <c r="A28" s="205" t="s">
        <v>86</v>
      </c>
      <c r="B28" s="205"/>
      <c r="C28" s="205"/>
      <c r="D28" s="205"/>
      <c r="E28" s="205"/>
      <c r="F28" s="205"/>
      <c r="G28" s="205"/>
      <c r="H28" s="205"/>
      <c r="I28" s="205"/>
      <c r="J28" s="25"/>
      <c r="K28" s="8"/>
      <c r="L28" s="8"/>
      <c r="M28" s="8"/>
    </row>
    <row r="29" spans="1:13" ht="15.75" customHeight="1">
      <c r="A29" s="32"/>
      <c r="B29" s="100" t="s">
        <v>28</v>
      </c>
      <c r="C29" s="77"/>
      <c r="D29" s="76"/>
      <c r="E29" s="78"/>
      <c r="F29" s="79"/>
      <c r="G29" s="79"/>
      <c r="H29" s="80"/>
      <c r="I29" s="13"/>
      <c r="J29" s="25"/>
      <c r="K29" s="8"/>
      <c r="L29" s="8"/>
      <c r="M29" s="8"/>
    </row>
    <row r="30" spans="1:13" ht="15.75" customHeight="1">
      <c r="A30" s="32">
        <v>10</v>
      </c>
      <c r="B30" s="76" t="s">
        <v>108</v>
      </c>
      <c r="C30" s="77" t="s">
        <v>91</v>
      </c>
      <c r="D30" s="76" t="s">
        <v>185</v>
      </c>
      <c r="E30" s="79">
        <v>1168.05</v>
      </c>
      <c r="F30" s="79">
        <f>SUM(E30*52/1000)</f>
        <v>60.738599999999998</v>
      </c>
      <c r="G30" s="79">
        <v>155.88999999999999</v>
      </c>
      <c r="H30" s="80">
        <f t="shared" ref="H30:H36" si="1">SUM(F30*G30/1000)</f>
        <v>9.4685403539999982</v>
      </c>
      <c r="I30" s="13">
        <f>F30/6*G30</f>
        <v>1578.0900589999997</v>
      </c>
      <c r="J30" s="25"/>
      <c r="K30" s="8"/>
      <c r="L30" s="8"/>
      <c r="M30" s="8"/>
    </row>
    <row r="31" spans="1:13" ht="31.5" customHeight="1">
      <c r="A31" s="32">
        <v>11</v>
      </c>
      <c r="B31" s="76" t="s">
        <v>124</v>
      </c>
      <c r="C31" s="77" t="s">
        <v>91</v>
      </c>
      <c r="D31" s="76" t="s">
        <v>186</v>
      </c>
      <c r="E31" s="79">
        <v>1039.2</v>
      </c>
      <c r="F31" s="79">
        <f>SUM(E31*78/1000)</f>
        <v>81.057600000000008</v>
      </c>
      <c r="G31" s="79">
        <v>258.63</v>
      </c>
      <c r="H31" s="80">
        <f t="shared" si="1"/>
        <v>20.963927088000002</v>
      </c>
      <c r="I31" s="13">
        <f t="shared" ref="I31:I34" si="2">F31/6*G31</f>
        <v>3493.9878480000002</v>
      </c>
      <c r="J31" s="25"/>
      <c r="K31" s="8"/>
      <c r="L31" s="8"/>
      <c r="M31" s="8"/>
    </row>
    <row r="32" spans="1:13" ht="15.75" hidden="1" customHeight="1">
      <c r="A32" s="32">
        <v>16</v>
      </c>
      <c r="B32" s="76" t="s">
        <v>27</v>
      </c>
      <c r="C32" s="77" t="s">
        <v>91</v>
      </c>
      <c r="D32" s="76" t="s">
        <v>53</v>
      </c>
      <c r="E32" s="79">
        <v>584.03</v>
      </c>
      <c r="F32" s="79">
        <f>SUM(E32/1000)</f>
        <v>0.58402999999999994</v>
      </c>
      <c r="G32" s="79">
        <v>3020.33</v>
      </c>
      <c r="H32" s="80">
        <f t="shared" si="1"/>
        <v>1.7639633298999997</v>
      </c>
      <c r="I32" s="13">
        <f>F32*G32</f>
        <v>1763.9633298999997</v>
      </c>
      <c r="J32" s="25"/>
      <c r="K32" s="8"/>
      <c r="L32" s="8"/>
      <c r="M32" s="8"/>
    </row>
    <row r="33" spans="1:14" ht="15.75" customHeight="1">
      <c r="A33" s="32">
        <v>12</v>
      </c>
      <c r="B33" s="76" t="s">
        <v>123</v>
      </c>
      <c r="C33" s="77" t="s">
        <v>39</v>
      </c>
      <c r="D33" s="76" t="s">
        <v>63</v>
      </c>
      <c r="E33" s="79">
        <v>6</v>
      </c>
      <c r="F33" s="79">
        <f>E33*155/100</f>
        <v>9.3000000000000007</v>
      </c>
      <c r="G33" s="79">
        <v>1302.02</v>
      </c>
      <c r="H33" s="80">
        <f>G33*F33/1000</f>
        <v>12.108786</v>
      </c>
      <c r="I33" s="13">
        <f t="shared" si="2"/>
        <v>2018.1310000000001</v>
      </c>
      <c r="J33" s="25"/>
      <c r="K33" s="8"/>
      <c r="L33" s="8"/>
      <c r="M33" s="8"/>
    </row>
    <row r="34" spans="1:14" ht="15.75" customHeight="1">
      <c r="A34" s="32">
        <v>13</v>
      </c>
      <c r="B34" s="76" t="s">
        <v>107</v>
      </c>
      <c r="C34" s="77" t="s">
        <v>31</v>
      </c>
      <c r="D34" s="76" t="s">
        <v>63</v>
      </c>
      <c r="E34" s="83">
        <v>0.33333333333333331</v>
      </c>
      <c r="F34" s="79">
        <f>155/3</f>
        <v>51.666666666666664</v>
      </c>
      <c r="G34" s="79">
        <v>56.69</v>
      </c>
      <c r="H34" s="80">
        <f>SUM(G34*155/3/1000)</f>
        <v>2.9289833333333331</v>
      </c>
      <c r="I34" s="13">
        <f t="shared" si="2"/>
        <v>488.16388888888883</v>
      </c>
      <c r="J34" s="25"/>
      <c r="K34" s="8"/>
    </row>
    <row r="35" spans="1:14" ht="15.75" hidden="1" customHeight="1">
      <c r="A35" s="32"/>
      <c r="B35" s="76" t="s">
        <v>65</v>
      </c>
      <c r="C35" s="77" t="s">
        <v>33</v>
      </c>
      <c r="D35" s="76" t="s">
        <v>67</v>
      </c>
      <c r="E35" s="78"/>
      <c r="F35" s="79">
        <v>4</v>
      </c>
      <c r="G35" s="79">
        <v>180.15</v>
      </c>
      <c r="H35" s="80">
        <f t="shared" si="1"/>
        <v>0.72060000000000002</v>
      </c>
      <c r="I35" s="13">
        <v>0</v>
      </c>
      <c r="J35" s="26"/>
    </row>
    <row r="36" spans="1:14" ht="15.75" hidden="1" customHeight="1">
      <c r="A36" s="32"/>
      <c r="B36" s="76" t="s">
        <v>66</v>
      </c>
      <c r="C36" s="77" t="s">
        <v>32</v>
      </c>
      <c r="D36" s="76" t="s">
        <v>67</v>
      </c>
      <c r="E36" s="78"/>
      <c r="F36" s="79">
        <v>3</v>
      </c>
      <c r="G36" s="79">
        <v>1136.33</v>
      </c>
      <c r="H36" s="80">
        <f t="shared" si="1"/>
        <v>3.4089899999999997</v>
      </c>
      <c r="I36" s="13">
        <v>0</v>
      </c>
      <c r="J36" s="26"/>
    </row>
    <row r="37" spans="1:14" ht="15.75" hidden="1" customHeight="1">
      <c r="A37" s="32"/>
      <c r="B37" s="100" t="s">
        <v>5</v>
      </c>
      <c r="C37" s="77"/>
      <c r="D37" s="76"/>
      <c r="E37" s="78"/>
      <c r="F37" s="79"/>
      <c r="G37" s="79"/>
      <c r="H37" s="80" t="s">
        <v>150</v>
      </c>
      <c r="I37" s="13"/>
      <c r="J37" s="26"/>
    </row>
    <row r="38" spans="1:14" ht="15.75" hidden="1" customHeight="1">
      <c r="A38" s="32">
        <v>10</v>
      </c>
      <c r="B38" s="76" t="s">
        <v>26</v>
      </c>
      <c r="C38" s="77" t="s">
        <v>32</v>
      </c>
      <c r="D38" s="76"/>
      <c r="E38" s="78"/>
      <c r="F38" s="79">
        <v>10</v>
      </c>
      <c r="G38" s="79">
        <v>1527.22</v>
      </c>
      <c r="H38" s="80">
        <f t="shared" ref="H38:H45" si="3">SUM(F38*G38/1000)</f>
        <v>15.272200000000002</v>
      </c>
      <c r="I38" s="13">
        <f>F38/6*G38</f>
        <v>2545.3666666666668</v>
      </c>
      <c r="J38" s="26"/>
    </row>
    <row r="39" spans="1:14" ht="15.75" hidden="1" customHeight="1">
      <c r="A39" s="32">
        <v>11</v>
      </c>
      <c r="B39" s="76" t="s">
        <v>125</v>
      </c>
      <c r="C39" s="77" t="s">
        <v>33</v>
      </c>
      <c r="D39" s="76"/>
      <c r="E39" s="78"/>
      <c r="F39" s="79">
        <v>10</v>
      </c>
      <c r="G39" s="79">
        <v>77.94</v>
      </c>
      <c r="H39" s="80">
        <f>G39*F39/1000</f>
        <v>0.77939999999999998</v>
      </c>
      <c r="I39" s="13">
        <f>F39/6*G39</f>
        <v>129.9</v>
      </c>
      <c r="J39" s="26"/>
      <c r="L39" s="19"/>
      <c r="M39" s="20"/>
      <c r="N39" s="21"/>
    </row>
    <row r="40" spans="1:14" ht="15.75" hidden="1" customHeight="1">
      <c r="A40" s="32">
        <v>12</v>
      </c>
      <c r="B40" s="76" t="s">
        <v>109</v>
      </c>
      <c r="C40" s="77" t="s">
        <v>29</v>
      </c>
      <c r="D40" s="76" t="s">
        <v>126</v>
      </c>
      <c r="E40" s="78">
        <v>1039.2</v>
      </c>
      <c r="F40" s="79">
        <f>E40*25/1000</f>
        <v>25.98</v>
      </c>
      <c r="G40" s="79">
        <v>2102.71</v>
      </c>
      <c r="H40" s="80">
        <f>G40*F40/1000</f>
        <v>54.628405800000003</v>
      </c>
      <c r="I40" s="13">
        <f>F40/6*G40</f>
        <v>9104.7343000000001</v>
      </c>
      <c r="J40" s="26"/>
      <c r="L40" s="19"/>
      <c r="M40" s="20"/>
      <c r="N40" s="21"/>
    </row>
    <row r="41" spans="1:14" ht="15.75" hidden="1" customHeight="1">
      <c r="A41" s="32"/>
      <c r="B41" s="76" t="s">
        <v>127</v>
      </c>
      <c r="C41" s="77" t="s">
        <v>128</v>
      </c>
      <c r="D41" s="76" t="s">
        <v>67</v>
      </c>
      <c r="E41" s="78"/>
      <c r="F41" s="79">
        <v>50</v>
      </c>
      <c r="G41" s="79">
        <v>213.2</v>
      </c>
      <c r="H41" s="80">
        <f>G41*F41/1000</f>
        <v>10.66</v>
      </c>
      <c r="I41" s="13">
        <v>0</v>
      </c>
      <c r="J41" s="26"/>
      <c r="L41" s="19"/>
      <c r="M41" s="20"/>
      <c r="N41" s="21"/>
    </row>
    <row r="42" spans="1:14" ht="15.75" hidden="1" customHeight="1">
      <c r="A42" s="32">
        <v>13</v>
      </c>
      <c r="B42" s="76" t="s">
        <v>68</v>
      </c>
      <c r="C42" s="77" t="s">
        <v>29</v>
      </c>
      <c r="D42" s="76" t="s">
        <v>90</v>
      </c>
      <c r="E42" s="79">
        <v>153</v>
      </c>
      <c r="F42" s="79">
        <f>SUM(E42*155/1000)</f>
        <v>23.715</v>
      </c>
      <c r="G42" s="79">
        <v>350.75</v>
      </c>
      <c r="H42" s="80">
        <f t="shared" si="3"/>
        <v>8.3180362499999987</v>
      </c>
      <c r="I42" s="13">
        <f>F42/6*G42</f>
        <v>1386.339375</v>
      </c>
      <c r="J42" s="26"/>
      <c r="L42" s="19"/>
      <c r="M42" s="20"/>
      <c r="N42" s="21"/>
    </row>
    <row r="43" spans="1:14" ht="47.25" hidden="1" customHeight="1">
      <c r="A43" s="32">
        <v>14</v>
      </c>
      <c r="B43" s="76" t="s">
        <v>84</v>
      </c>
      <c r="C43" s="77" t="s">
        <v>91</v>
      </c>
      <c r="D43" s="76" t="s">
        <v>129</v>
      </c>
      <c r="E43" s="79">
        <v>24</v>
      </c>
      <c r="F43" s="79">
        <f>SUM(E43*50/1000)</f>
        <v>1.2</v>
      </c>
      <c r="G43" s="79">
        <v>5803.28</v>
      </c>
      <c r="H43" s="80">
        <f t="shared" si="3"/>
        <v>6.9639359999999995</v>
      </c>
      <c r="I43" s="13">
        <f>F43/6*G43</f>
        <v>1160.6559999999999</v>
      </c>
      <c r="J43" s="26"/>
      <c r="L43" s="19"/>
      <c r="M43" s="20"/>
      <c r="N43" s="21"/>
    </row>
    <row r="44" spans="1:14" ht="15.75" hidden="1" customHeight="1">
      <c r="A44" s="32">
        <v>15</v>
      </c>
      <c r="B44" s="76" t="s">
        <v>92</v>
      </c>
      <c r="C44" s="77" t="s">
        <v>91</v>
      </c>
      <c r="D44" s="76" t="s">
        <v>69</v>
      </c>
      <c r="E44" s="79">
        <v>153</v>
      </c>
      <c r="F44" s="79">
        <f>SUM(E44*45/1000)</f>
        <v>6.8849999999999998</v>
      </c>
      <c r="G44" s="79">
        <v>428.7</v>
      </c>
      <c r="H44" s="80">
        <f t="shared" si="3"/>
        <v>2.9515994999999999</v>
      </c>
      <c r="I44" s="13">
        <f>F44/6*G44</f>
        <v>491.93324999999999</v>
      </c>
      <c r="J44" s="26"/>
      <c r="L44" s="19"/>
      <c r="M44" s="20"/>
      <c r="N44" s="21"/>
    </row>
    <row r="45" spans="1:14" ht="15.75" hidden="1" customHeight="1">
      <c r="A45" s="32">
        <v>16</v>
      </c>
      <c r="B45" s="76" t="s">
        <v>70</v>
      </c>
      <c r="C45" s="77" t="s">
        <v>33</v>
      </c>
      <c r="D45" s="76"/>
      <c r="E45" s="78"/>
      <c r="F45" s="79">
        <v>0.9</v>
      </c>
      <c r="G45" s="79">
        <v>798</v>
      </c>
      <c r="H45" s="80">
        <f t="shared" si="3"/>
        <v>0.71820000000000006</v>
      </c>
      <c r="I45" s="13">
        <f>F45/6*G45</f>
        <v>119.69999999999999</v>
      </c>
      <c r="J45" s="26"/>
      <c r="L45" s="19"/>
      <c r="M45" s="20"/>
      <c r="N45" s="21"/>
    </row>
    <row r="46" spans="1:14" ht="15" customHeight="1">
      <c r="A46" s="206" t="s">
        <v>146</v>
      </c>
      <c r="B46" s="207"/>
      <c r="C46" s="207"/>
      <c r="D46" s="207"/>
      <c r="E46" s="207"/>
      <c r="F46" s="207"/>
      <c r="G46" s="207"/>
      <c r="H46" s="207"/>
      <c r="I46" s="208"/>
      <c r="J46" s="26"/>
      <c r="L46" s="19"/>
      <c r="M46" s="20"/>
      <c r="N46" s="21"/>
    </row>
    <row r="47" spans="1:14" ht="15.75" hidden="1" customHeight="1">
      <c r="A47" s="32"/>
      <c r="B47" s="76" t="s">
        <v>130</v>
      </c>
      <c r="C47" s="77" t="s">
        <v>91</v>
      </c>
      <c r="D47" s="76" t="s">
        <v>42</v>
      </c>
      <c r="E47" s="78">
        <v>1895</v>
      </c>
      <c r="F47" s="79">
        <f>SUM(E47*2/1000)</f>
        <v>3.79</v>
      </c>
      <c r="G47" s="13">
        <v>849.49</v>
      </c>
      <c r="H47" s="80">
        <f t="shared" ref="H47:H55" si="4">SUM(F47*G47/1000)</f>
        <v>3.2195671000000003</v>
      </c>
      <c r="I47" s="13">
        <v>0</v>
      </c>
      <c r="J47" s="26"/>
      <c r="L47" s="19"/>
      <c r="M47" s="20"/>
      <c r="N47" s="21"/>
    </row>
    <row r="48" spans="1:14" ht="15.75" hidden="1" customHeight="1">
      <c r="A48" s="32"/>
      <c r="B48" s="76" t="s">
        <v>34</v>
      </c>
      <c r="C48" s="77" t="s">
        <v>91</v>
      </c>
      <c r="D48" s="76" t="s">
        <v>42</v>
      </c>
      <c r="E48" s="78">
        <v>118.2</v>
      </c>
      <c r="F48" s="79">
        <f>E48*2/1000</f>
        <v>0.2364</v>
      </c>
      <c r="G48" s="13">
        <v>579.48</v>
      </c>
      <c r="H48" s="80">
        <f t="shared" si="4"/>
        <v>0.13698907199999999</v>
      </c>
      <c r="I48" s="13">
        <v>0</v>
      </c>
      <c r="J48" s="26"/>
      <c r="L48" s="19"/>
      <c r="M48" s="20"/>
      <c r="N48" s="21"/>
    </row>
    <row r="49" spans="1:22" ht="15.75" hidden="1" customHeight="1">
      <c r="A49" s="32"/>
      <c r="B49" s="76" t="s">
        <v>35</v>
      </c>
      <c r="C49" s="77" t="s">
        <v>91</v>
      </c>
      <c r="D49" s="76" t="s">
        <v>42</v>
      </c>
      <c r="E49" s="78">
        <v>4675</v>
      </c>
      <c r="F49" s="79">
        <f>SUM(E49*2/1000)</f>
        <v>9.35</v>
      </c>
      <c r="G49" s="13">
        <v>579.48</v>
      </c>
      <c r="H49" s="80">
        <f t="shared" si="4"/>
        <v>5.4181379999999999</v>
      </c>
      <c r="I49" s="13">
        <v>0</v>
      </c>
      <c r="J49" s="26"/>
      <c r="L49" s="19"/>
      <c r="M49" s="20"/>
      <c r="N49" s="21"/>
    </row>
    <row r="50" spans="1:22" ht="15.75" hidden="1" customHeight="1">
      <c r="A50" s="32"/>
      <c r="B50" s="76" t="s">
        <v>36</v>
      </c>
      <c r="C50" s="77" t="s">
        <v>91</v>
      </c>
      <c r="D50" s="76" t="s">
        <v>42</v>
      </c>
      <c r="E50" s="78">
        <v>4675</v>
      </c>
      <c r="F50" s="79">
        <f>SUM(E50*2/1000)</f>
        <v>9.35</v>
      </c>
      <c r="G50" s="13">
        <v>606.77</v>
      </c>
      <c r="H50" s="80">
        <f t="shared" si="4"/>
        <v>5.6732994999999988</v>
      </c>
      <c r="I50" s="13">
        <v>0</v>
      </c>
      <c r="J50" s="26"/>
      <c r="L50" s="19"/>
      <c r="M50" s="20"/>
      <c r="N50" s="21"/>
    </row>
    <row r="51" spans="1:22" ht="15.75" hidden="1" customHeight="1">
      <c r="A51" s="32">
        <v>17</v>
      </c>
      <c r="B51" s="76" t="s">
        <v>56</v>
      </c>
      <c r="C51" s="77" t="s">
        <v>91</v>
      </c>
      <c r="D51" s="76" t="s">
        <v>164</v>
      </c>
      <c r="E51" s="78">
        <v>3988</v>
      </c>
      <c r="F51" s="79">
        <f>SUM(E51*5/1000)</f>
        <v>19.940000000000001</v>
      </c>
      <c r="G51" s="13">
        <v>1142.7</v>
      </c>
      <c r="H51" s="80">
        <f t="shared" si="4"/>
        <v>22.785438000000003</v>
      </c>
      <c r="I51" s="13">
        <f>F51/5*G51</f>
        <v>4557.0876000000007</v>
      </c>
      <c r="J51" s="26"/>
      <c r="L51" s="19"/>
      <c r="M51" s="20"/>
      <c r="N51" s="21"/>
    </row>
    <row r="52" spans="1:22" ht="31.5" hidden="1" customHeight="1">
      <c r="A52" s="32"/>
      <c r="B52" s="76" t="s">
        <v>93</v>
      </c>
      <c r="C52" s="77" t="s">
        <v>91</v>
      </c>
      <c r="D52" s="76" t="s">
        <v>42</v>
      </c>
      <c r="E52" s="78">
        <v>3988</v>
      </c>
      <c r="F52" s="79">
        <f>SUM(E52*2/1000)</f>
        <v>7.976</v>
      </c>
      <c r="G52" s="13">
        <v>1213.55</v>
      </c>
      <c r="H52" s="80">
        <f t="shared" si="4"/>
        <v>9.6792748</v>
      </c>
      <c r="I52" s="13">
        <v>0</v>
      </c>
      <c r="J52" s="26"/>
      <c r="L52" s="19"/>
      <c r="M52" s="20"/>
      <c r="N52" s="21"/>
    </row>
    <row r="53" spans="1:22" ht="31.5" hidden="1" customHeight="1">
      <c r="A53" s="32"/>
      <c r="B53" s="76" t="s">
        <v>94</v>
      </c>
      <c r="C53" s="77" t="s">
        <v>37</v>
      </c>
      <c r="D53" s="76" t="s">
        <v>42</v>
      </c>
      <c r="E53" s="78">
        <v>30</v>
      </c>
      <c r="F53" s="79">
        <f>SUM(E53*2/100)</f>
        <v>0.6</v>
      </c>
      <c r="G53" s="13">
        <v>2730.49</v>
      </c>
      <c r="H53" s="80">
        <f>SUM(F53*G53/1000)</f>
        <v>1.6382939999999999</v>
      </c>
      <c r="I53" s="13">
        <v>0</v>
      </c>
      <c r="J53" s="26"/>
      <c r="L53" s="19"/>
      <c r="M53" s="20"/>
      <c r="N53" s="21"/>
    </row>
    <row r="54" spans="1:22" ht="15.75" hidden="1" customHeight="1">
      <c r="A54" s="32"/>
      <c r="B54" s="76" t="s">
        <v>38</v>
      </c>
      <c r="C54" s="77" t="s">
        <v>39</v>
      </c>
      <c r="D54" s="76" t="s">
        <v>42</v>
      </c>
      <c r="E54" s="78">
        <v>1</v>
      </c>
      <c r="F54" s="79">
        <v>0.02</v>
      </c>
      <c r="G54" s="13">
        <v>5652.13</v>
      </c>
      <c r="H54" s="80">
        <f t="shared" si="4"/>
        <v>0.11304260000000001</v>
      </c>
      <c r="I54" s="13">
        <v>0</v>
      </c>
      <c r="J54" s="26"/>
      <c r="L54" s="19"/>
      <c r="M54" s="20"/>
      <c r="N54" s="21"/>
    </row>
    <row r="55" spans="1:22" ht="15.75" customHeight="1">
      <c r="A55" s="32">
        <v>14</v>
      </c>
      <c r="B55" s="76" t="s">
        <v>41</v>
      </c>
      <c r="C55" s="77" t="s">
        <v>110</v>
      </c>
      <c r="D55" s="76" t="s">
        <v>71</v>
      </c>
      <c r="E55" s="78">
        <v>236</v>
      </c>
      <c r="F55" s="79">
        <f>SUM(E55)*3</f>
        <v>708</v>
      </c>
      <c r="G55" s="13">
        <v>65.67</v>
      </c>
      <c r="H55" s="80">
        <f t="shared" si="4"/>
        <v>46.49436</v>
      </c>
      <c r="I55" s="13">
        <f>E55*G55</f>
        <v>15498.12</v>
      </c>
      <c r="J55" s="26"/>
      <c r="L55" s="19"/>
      <c r="M55" s="20"/>
      <c r="N55" s="21"/>
    </row>
    <row r="56" spans="1:22" ht="15.75" customHeight="1">
      <c r="A56" s="206" t="s">
        <v>147</v>
      </c>
      <c r="B56" s="207"/>
      <c r="C56" s="207"/>
      <c r="D56" s="207"/>
      <c r="E56" s="207"/>
      <c r="F56" s="207"/>
      <c r="G56" s="207"/>
      <c r="H56" s="207"/>
      <c r="I56" s="208"/>
      <c r="J56" s="26"/>
      <c r="L56" s="19"/>
      <c r="M56" s="20"/>
      <c r="N56" s="21"/>
    </row>
    <row r="57" spans="1:22" ht="15.75" hidden="1" customHeight="1">
      <c r="A57" s="32"/>
      <c r="B57" s="100" t="s">
        <v>43</v>
      </c>
      <c r="C57" s="77"/>
      <c r="D57" s="76"/>
      <c r="E57" s="78"/>
      <c r="F57" s="79"/>
      <c r="G57" s="79"/>
      <c r="H57" s="80"/>
      <c r="I57" s="13"/>
      <c r="J57" s="26"/>
      <c r="L57" s="19"/>
      <c r="M57" s="20"/>
      <c r="N57" s="21"/>
    </row>
    <row r="58" spans="1:22" ht="31.5" hidden="1" customHeight="1">
      <c r="A58" s="32">
        <v>19</v>
      </c>
      <c r="B58" s="76" t="s">
        <v>131</v>
      </c>
      <c r="C58" s="77" t="s">
        <v>89</v>
      </c>
      <c r="D58" s="76" t="s">
        <v>111</v>
      </c>
      <c r="E58" s="78">
        <v>30</v>
      </c>
      <c r="F58" s="79">
        <f>SUM(E58*6/100)</f>
        <v>1.8</v>
      </c>
      <c r="G58" s="13">
        <v>1547.28</v>
      </c>
      <c r="H58" s="80">
        <f>SUM(F58*G58/1000)</f>
        <v>2.785104</v>
      </c>
      <c r="I58" s="13">
        <f>F58/6*G58</f>
        <v>464.18399999999997</v>
      </c>
      <c r="J58" s="26"/>
      <c r="L58" s="19"/>
    </row>
    <row r="59" spans="1:22" ht="15.75" hidden="1" customHeight="1">
      <c r="A59" s="32">
        <v>20</v>
      </c>
      <c r="B59" s="85" t="s">
        <v>132</v>
      </c>
      <c r="C59" s="86" t="s">
        <v>133</v>
      </c>
      <c r="D59" s="85" t="s">
        <v>42</v>
      </c>
      <c r="E59" s="87">
        <v>6</v>
      </c>
      <c r="F59" s="88">
        <v>12</v>
      </c>
      <c r="G59" s="13">
        <v>180.78</v>
      </c>
      <c r="H59" s="89">
        <f>G59*F59/1000</f>
        <v>2.1693600000000002</v>
      </c>
      <c r="I59" s="13">
        <f>F59/2*G59</f>
        <v>1084.68</v>
      </c>
    </row>
    <row r="60" spans="1:22" ht="15.75" hidden="1" customHeight="1">
      <c r="A60" s="32">
        <v>21</v>
      </c>
      <c r="B60" s="85" t="s">
        <v>134</v>
      </c>
      <c r="C60" s="86" t="s">
        <v>52</v>
      </c>
      <c r="D60" s="85" t="s">
        <v>40</v>
      </c>
      <c r="E60" s="87">
        <v>6</v>
      </c>
      <c r="F60" s="88">
        <f>E60*4/100</f>
        <v>0.24</v>
      </c>
      <c r="G60" s="13">
        <v>1547.28</v>
      </c>
      <c r="H60" s="89">
        <f>G60*F60/1000</f>
        <v>0.37134719999999999</v>
      </c>
      <c r="I60" s="13">
        <f>F60/4*G60</f>
        <v>92.836799999999997</v>
      </c>
    </row>
    <row r="61" spans="1:22" ht="15.75" customHeight="1">
      <c r="A61" s="32"/>
      <c r="B61" s="101" t="s">
        <v>44</v>
      </c>
      <c r="C61" s="86"/>
      <c r="D61" s="85"/>
      <c r="E61" s="87"/>
      <c r="F61" s="88"/>
      <c r="G61" s="13"/>
      <c r="H61" s="89"/>
      <c r="I61" s="13"/>
    </row>
    <row r="62" spans="1:22" ht="15.75" hidden="1" customHeight="1">
      <c r="A62" s="32">
        <v>22</v>
      </c>
      <c r="B62" s="85" t="s">
        <v>135</v>
      </c>
      <c r="C62" s="86" t="s">
        <v>52</v>
      </c>
      <c r="D62" s="85" t="s">
        <v>53</v>
      </c>
      <c r="E62" s="87">
        <v>997</v>
      </c>
      <c r="F62" s="88">
        <v>9.9700000000000006</v>
      </c>
      <c r="G62" s="13">
        <v>793.61</v>
      </c>
      <c r="H62" s="89">
        <f>F62*G62/1000</f>
        <v>7.9122917000000008</v>
      </c>
      <c r="I62" s="13">
        <f>G62*F62</f>
        <v>7912.2917000000007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9"/>
    </row>
    <row r="63" spans="1:22" ht="15.75" customHeight="1">
      <c r="A63" s="32">
        <v>15</v>
      </c>
      <c r="B63" s="85" t="s">
        <v>136</v>
      </c>
      <c r="C63" s="86" t="s">
        <v>25</v>
      </c>
      <c r="D63" s="85" t="s">
        <v>30</v>
      </c>
      <c r="E63" s="87">
        <v>394</v>
      </c>
      <c r="F63" s="90">
        <v>2400</v>
      </c>
      <c r="G63" s="71">
        <v>1.2</v>
      </c>
      <c r="H63" s="88">
        <f>F63*G63/1000</f>
        <v>2.88</v>
      </c>
      <c r="I63" s="13">
        <f>F63/12*G63</f>
        <v>240</v>
      </c>
      <c r="J63" s="28"/>
      <c r="K63" s="28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15.75" customHeight="1">
      <c r="A64" s="32"/>
      <c r="B64" s="101" t="s">
        <v>45</v>
      </c>
      <c r="C64" s="86"/>
      <c r="D64" s="85"/>
      <c r="E64" s="87"/>
      <c r="F64" s="90"/>
      <c r="G64" s="90"/>
      <c r="H64" s="88" t="s">
        <v>150</v>
      </c>
      <c r="I64" s="13"/>
      <c r="J64" s="3"/>
      <c r="K64" s="3"/>
      <c r="L64" s="3"/>
      <c r="M64" s="3"/>
      <c r="N64" s="3"/>
      <c r="O64" s="3"/>
      <c r="P64" s="3"/>
      <c r="Q64" s="3"/>
      <c r="S64" s="3"/>
      <c r="T64" s="3"/>
      <c r="U64" s="3"/>
    </row>
    <row r="65" spans="1:21" ht="15.75" customHeight="1">
      <c r="A65" s="32">
        <v>16</v>
      </c>
      <c r="B65" s="14" t="s">
        <v>46</v>
      </c>
      <c r="C65" s="16" t="s">
        <v>110</v>
      </c>
      <c r="D65" s="76" t="s">
        <v>67</v>
      </c>
      <c r="E65" s="18">
        <v>15</v>
      </c>
      <c r="F65" s="79">
        <v>15</v>
      </c>
      <c r="G65" s="13">
        <v>222.4</v>
      </c>
      <c r="H65" s="91">
        <f t="shared" ref="H65:H78" si="5">SUM(F65*G65/1000)</f>
        <v>3.3359999999999999</v>
      </c>
      <c r="I65" s="13">
        <f>G65*8</f>
        <v>1779.2</v>
      </c>
      <c r="J65" s="5"/>
      <c r="K65" s="5"/>
      <c r="L65" s="5"/>
      <c r="M65" s="5"/>
      <c r="N65" s="5"/>
      <c r="O65" s="5"/>
      <c r="P65" s="5"/>
      <c r="Q65" s="5"/>
      <c r="R65" s="188"/>
      <c r="S65" s="188"/>
      <c r="T65" s="188"/>
      <c r="U65" s="188"/>
    </row>
    <row r="66" spans="1:21" ht="15.75" hidden="1" customHeight="1">
      <c r="A66" s="32">
        <v>25</v>
      </c>
      <c r="B66" s="14" t="s">
        <v>47</v>
      </c>
      <c r="C66" s="16" t="s">
        <v>110</v>
      </c>
      <c r="D66" s="76" t="s">
        <v>67</v>
      </c>
      <c r="E66" s="18">
        <v>10</v>
      </c>
      <c r="F66" s="79">
        <v>10</v>
      </c>
      <c r="G66" s="13">
        <v>76.25</v>
      </c>
      <c r="H66" s="91">
        <f t="shared" si="5"/>
        <v>0.76249999999999996</v>
      </c>
      <c r="I66" s="13">
        <f>G66</f>
        <v>76.25</v>
      </c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1" ht="15.75" hidden="1" customHeight="1">
      <c r="A67" s="32"/>
      <c r="B67" s="14" t="s">
        <v>48</v>
      </c>
      <c r="C67" s="16" t="s">
        <v>112</v>
      </c>
      <c r="D67" s="14" t="s">
        <v>53</v>
      </c>
      <c r="E67" s="78">
        <v>28608</v>
      </c>
      <c r="F67" s="13">
        <f>SUM(E67/100)</f>
        <v>286.08</v>
      </c>
      <c r="G67" s="13">
        <v>199.77</v>
      </c>
      <c r="H67" s="91">
        <f t="shared" si="5"/>
        <v>57.150201600000003</v>
      </c>
      <c r="I67" s="13">
        <f>F67*G67</f>
        <v>57150.2016</v>
      </c>
    </row>
    <row r="68" spans="1:21" ht="15.75" hidden="1" customHeight="1">
      <c r="A68" s="32"/>
      <c r="B68" s="14" t="s">
        <v>49</v>
      </c>
      <c r="C68" s="16" t="s">
        <v>113</v>
      </c>
      <c r="D68" s="14"/>
      <c r="E68" s="78">
        <v>28608</v>
      </c>
      <c r="F68" s="13">
        <f>SUM(E68/1000)</f>
        <v>28.608000000000001</v>
      </c>
      <c r="G68" s="13">
        <v>155.57</v>
      </c>
      <c r="H68" s="91">
        <f t="shared" si="5"/>
        <v>4.4505465599999994</v>
      </c>
      <c r="I68" s="13">
        <f t="shared" ref="I68:I72" si="6">F68*G68</f>
        <v>4450.5465599999998</v>
      </c>
    </row>
    <row r="69" spans="1:21" ht="15.75" hidden="1" customHeight="1">
      <c r="A69" s="32"/>
      <c r="B69" s="14" t="s">
        <v>50</v>
      </c>
      <c r="C69" s="16" t="s">
        <v>77</v>
      </c>
      <c r="D69" s="14" t="s">
        <v>53</v>
      </c>
      <c r="E69" s="78">
        <v>4550</v>
      </c>
      <c r="F69" s="13">
        <f>SUM(E69/100)</f>
        <v>45.5</v>
      </c>
      <c r="G69" s="13">
        <v>2074.63</v>
      </c>
      <c r="H69" s="91">
        <f t="shared" si="5"/>
        <v>94.395665000000008</v>
      </c>
      <c r="I69" s="13">
        <f t="shared" si="6"/>
        <v>94395.665000000008</v>
      </c>
    </row>
    <row r="70" spans="1:21" ht="15.75" hidden="1" customHeight="1">
      <c r="A70" s="32"/>
      <c r="B70" s="92" t="s">
        <v>114</v>
      </c>
      <c r="C70" s="16" t="s">
        <v>33</v>
      </c>
      <c r="D70" s="14"/>
      <c r="E70" s="78">
        <v>58.5</v>
      </c>
      <c r="F70" s="13">
        <f>SUM(E70)</f>
        <v>58.5</v>
      </c>
      <c r="G70" s="13">
        <v>45.32</v>
      </c>
      <c r="H70" s="91">
        <f t="shared" si="5"/>
        <v>2.6512199999999999</v>
      </c>
      <c r="I70" s="13">
        <f t="shared" si="6"/>
        <v>2651.22</v>
      </c>
    </row>
    <row r="71" spans="1:21" ht="15.75" hidden="1" customHeight="1">
      <c r="A71" s="32"/>
      <c r="B71" s="92" t="s">
        <v>115</v>
      </c>
      <c r="C71" s="16" t="s">
        <v>33</v>
      </c>
      <c r="D71" s="14"/>
      <c r="E71" s="78">
        <v>58.5</v>
      </c>
      <c r="F71" s="13">
        <f>SUM(E71)</f>
        <v>58.5</v>
      </c>
      <c r="G71" s="13">
        <v>42.28</v>
      </c>
      <c r="H71" s="91">
        <f t="shared" si="5"/>
        <v>2.4733800000000001</v>
      </c>
      <c r="I71" s="13">
        <f t="shared" si="6"/>
        <v>2473.38</v>
      </c>
    </row>
    <row r="72" spans="1:21" ht="15.75" hidden="1" customHeight="1">
      <c r="A72" s="32"/>
      <c r="B72" s="14" t="s">
        <v>57</v>
      </c>
      <c r="C72" s="16" t="s">
        <v>58</v>
      </c>
      <c r="D72" s="14" t="s">
        <v>53</v>
      </c>
      <c r="E72" s="18">
        <v>5</v>
      </c>
      <c r="F72" s="79">
        <v>5</v>
      </c>
      <c r="G72" s="13">
        <v>49.88</v>
      </c>
      <c r="H72" s="91">
        <f t="shared" si="5"/>
        <v>0.24940000000000001</v>
      </c>
      <c r="I72" s="13">
        <f t="shared" si="6"/>
        <v>249.4</v>
      </c>
    </row>
    <row r="73" spans="1:21" ht="15.75" hidden="1" customHeight="1">
      <c r="A73" s="32"/>
      <c r="B73" s="64" t="s">
        <v>72</v>
      </c>
      <c r="C73" s="16"/>
      <c r="D73" s="14"/>
      <c r="E73" s="18"/>
      <c r="F73" s="13"/>
      <c r="G73" s="13"/>
      <c r="H73" s="91" t="s">
        <v>150</v>
      </c>
      <c r="I73" s="13"/>
    </row>
    <row r="74" spans="1:21" ht="15.75" hidden="1" customHeight="1">
      <c r="A74" s="32">
        <v>17</v>
      </c>
      <c r="B74" s="14" t="s">
        <v>73</v>
      </c>
      <c r="C74" s="16" t="s">
        <v>75</v>
      </c>
      <c r="D74" s="14"/>
      <c r="E74" s="18">
        <v>10</v>
      </c>
      <c r="F74" s="13">
        <v>1</v>
      </c>
      <c r="G74" s="13">
        <v>501.62</v>
      </c>
      <c r="H74" s="91">
        <f t="shared" si="5"/>
        <v>0.50161999999999995</v>
      </c>
      <c r="I74" s="13">
        <f>G74*0.1</f>
        <v>50.162000000000006</v>
      </c>
    </row>
    <row r="75" spans="1:21" ht="15.75" hidden="1" customHeight="1">
      <c r="A75" s="32"/>
      <c r="B75" s="14" t="s">
        <v>74</v>
      </c>
      <c r="C75" s="16" t="s">
        <v>31</v>
      </c>
      <c r="D75" s="14"/>
      <c r="E75" s="18">
        <v>3</v>
      </c>
      <c r="F75" s="71">
        <v>3</v>
      </c>
      <c r="G75" s="13">
        <v>852.99</v>
      </c>
      <c r="H75" s="91">
        <f>F75*G75/1000</f>
        <v>2.5589700000000004</v>
      </c>
      <c r="I75" s="13">
        <v>0</v>
      </c>
    </row>
    <row r="76" spans="1:21" ht="15.75" hidden="1" customHeight="1">
      <c r="A76" s="32"/>
      <c r="B76" s="14" t="s">
        <v>117</v>
      </c>
      <c r="C76" s="16" t="s">
        <v>31</v>
      </c>
      <c r="D76" s="14"/>
      <c r="E76" s="18">
        <v>1</v>
      </c>
      <c r="F76" s="13">
        <v>1</v>
      </c>
      <c r="G76" s="13">
        <v>358.51</v>
      </c>
      <c r="H76" s="91">
        <f>G76*F76/1000</f>
        <v>0.35851</v>
      </c>
      <c r="I76" s="13">
        <v>0</v>
      </c>
    </row>
    <row r="77" spans="1:21" ht="15.75" hidden="1" customHeight="1">
      <c r="A77" s="32"/>
      <c r="B77" s="94" t="s">
        <v>76</v>
      </c>
      <c r="C77" s="16"/>
      <c r="D77" s="14"/>
      <c r="E77" s="18"/>
      <c r="F77" s="13"/>
      <c r="G77" s="13" t="s">
        <v>150</v>
      </c>
      <c r="H77" s="91" t="s">
        <v>150</v>
      </c>
      <c r="I77" s="13"/>
    </row>
    <row r="78" spans="1:21" ht="15.75" hidden="1" customHeight="1">
      <c r="A78" s="32"/>
      <c r="B78" s="47" t="s">
        <v>165</v>
      </c>
      <c r="C78" s="16" t="s">
        <v>77</v>
      </c>
      <c r="D78" s="14"/>
      <c r="E78" s="18"/>
      <c r="F78" s="13">
        <v>1.2</v>
      </c>
      <c r="G78" s="13">
        <v>2759.44</v>
      </c>
      <c r="H78" s="91">
        <f t="shared" si="5"/>
        <v>3.311328</v>
      </c>
      <c r="I78" s="13">
        <v>0</v>
      </c>
    </row>
    <row r="79" spans="1:21" ht="15.75" hidden="1" customHeight="1">
      <c r="A79" s="32"/>
      <c r="B79" s="70" t="s">
        <v>95</v>
      </c>
      <c r="C79" s="70"/>
      <c r="D79" s="70"/>
      <c r="E79" s="70"/>
      <c r="F79" s="70"/>
      <c r="G79" s="82"/>
      <c r="H79" s="95">
        <f>SUM(H58:H78)</f>
        <v>188.31744405999999</v>
      </c>
      <c r="I79" s="82"/>
    </row>
    <row r="80" spans="1:21" ht="15.75" hidden="1" customHeight="1">
      <c r="A80" s="32"/>
      <c r="B80" s="102" t="s">
        <v>116</v>
      </c>
      <c r="C80" s="23"/>
      <c r="D80" s="22"/>
      <c r="E80" s="72"/>
      <c r="F80" s="103">
        <v>1</v>
      </c>
      <c r="G80" s="13">
        <v>23072.1</v>
      </c>
      <c r="H80" s="91">
        <f>G80*F80/1000</f>
        <v>23.072099999999999</v>
      </c>
      <c r="I80" s="13">
        <v>0</v>
      </c>
    </row>
    <row r="81" spans="1:9" ht="15.75" customHeight="1">
      <c r="A81" s="189" t="s">
        <v>148</v>
      </c>
      <c r="B81" s="190"/>
      <c r="C81" s="190"/>
      <c r="D81" s="190"/>
      <c r="E81" s="190"/>
      <c r="F81" s="190"/>
      <c r="G81" s="190"/>
      <c r="H81" s="190"/>
      <c r="I81" s="191"/>
    </row>
    <row r="82" spans="1:9" ht="15.75" customHeight="1">
      <c r="A82" s="32">
        <v>17</v>
      </c>
      <c r="B82" s="76" t="s">
        <v>118</v>
      </c>
      <c r="C82" s="16" t="s">
        <v>54</v>
      </c>
      <c r="D82" s="51" t="s">
        <v>55</v>
      </c>
      <c r="E82" s="13">
        <v>6980.3</v>
      </c>
      <c r="F82" s="13">
        <f>SUM(E82*12)</f>
        <v>83763.600000000006</v>
      </c>
      <c r="G82" s="13">
        <v>2.1</v>
      </c>
      <c r="H82" s="91">
        <f>SUM(F82*G82/1000)</f>
        <v>175.90356000000003</v>
      </c>
      <c r="I82" s="13">
        <f>F82/12*G82</f>
        <v>14658.630000000001</v>
      </c>
    </row>
    <row r="83" spans="1:9" ht="31.5" customHeight="1">
      <c r="A83" s="32">
        <v>18</v>
      </c>
      <c r="B83" s="14" t="s">
        <v>78</v>
      </c>
      <c r="C83" s="16"/>
      <c r="D83" s="51" t="s">
        <v>55</v>
      </c>
      <c r="E83" s="78">
        <f>E82</f>
        <v>6980.3</v>
      </c>
      <c r="F83" s="13">
        <f>E83*12</f>
        <v>83763.600000000006</v>
      </c>
      <c r="G83" s="13">
        <v>1.63</v>
      </c>
      <c r="H83" s="91">
        <f>F83*G83/1000</f>
        <v>136.53466800000001</v>
      </c>
      <c r="I83" s="13">
        <f>F83/12*G83</f>
        <v>11377.888999999999</v>
      </c>
    </row>
    <row r="84" spans="1:9" ht="15.75" customHeight="1">
      <c r="A84" s="32"/>
      <c r="B84" s="40" t="s">
        <v>81</v>
      </c>
      <c r="C84" s="94"/>
      <c r="D84" s="93"/>
      <c r="E84" s="82"/>
      <c r="F84" s="82"/>
      <c r="G84" s="82"/>
      <c r="H84" s="95">
        <f>H83</f>
        <v>136.53466800000001</v>
      </c>
      <c r="I84" s="82">
        <f>I83+I82+I65+I63+I55+I34+I33+I31+I30+I27+I26+I25+I24+I21+I20+I18+I17+I16</f>
        <v>110428.4097818889</v>
      </c>
    </row>
    <row r="85" spans="1:9" ht="15.75" customHeight="1">
      <c r="A85" s="200" t="s">
        <v>60</v>
      </c>
      <c r="B85" s="201"/>
      <c r="C85" s="201"/>
      <c r="D85" s="201"/>
      <c r="E85" s="201"/>
      <c r="F85" s="201"/>
      <c r="G85" s="201"/>
      <c r="H85" s="201"/>
      <c r="I85" s="202"/>
    </row>
    <row r="86" spans="1:9" ht="15.75" customHeight="1">
      <c r="A86" s="32" t="s">
        <v>249</v>
      </c>
      <c r="B86" s="50" t="s">
        <v>137</v>
      </c>
      <c r="C86" s="62" t="s">
        <v>110</v>
      </c>
      <c r="D86" s="14"/>
      <c r="E86" s="18"/>
      <c r="F86" s="13">
        <v>1440</v>
      </c>
      <c r="G86" s="13">
        <v>55.55</v>
      </c>
      <c r="H86" s="91">
        <f t="shared" ref="H86" si="7">G86*F86/1000</f>
        <v>79.992000000000004</v>
      </c>
      <c r="I86" s="13">
        <f>G86*120</f>
        <v>6666</v>
      </c>
    </row>
    <row r="87" spans="1:9" ht="15.75" customHeight="1">
      <c r="A87" s="32">
        <v>20</v>
      </c>
      <c r="B87" s="50" t="s">
        <v>83</v>
      </c>
      <c r="C87" s="62" t="s">
        <v>110</v>
      </c>
      <c r="D87" s="111"/>
      <c r="E87" s="36"/>
      <c r="F87" s="36">
        <f>(3+4+15+15+15+5+20+20+15+10+15+15+7+6+15+3)/3</f>
        <v>61</v>
      </c>
      <c r="G87" s="36">
        <v>197.48</v>
      </c>
      <c r="H87" s="110">
        <f>G87*F87/1000</f>
        <v>12.046279999999999</v>
      </c>
      <c r="I87" s="13">
        <f>G87*1</f>
        <v>197.48</v>
      </c>
    </row>
    <row r="88" spans="1:9" ht="15.75" customHeight="1">
      <c r="A88" s="32">
        <v>21</v>
      </c>
      <c r="B88" s="52" t="s">
        <v>199</v>
      </c>
      <c r="C88" s="53" t="s">
        <v>191</v>
      </c>
      <c r="D88" s="14"/>
      <c r="E88" s="18"/>
      <c r="F88" s="13">
        <v>41.5</v>
      </c>
      <c r="G88" s="36">
        <v>134.12</v>
      </c>
      <c r="H88" s="91">
        <f>G88*F88/1000</f>
        <v>5.5659800000000006</v>
      </c>
      <c r="I88" s="13">
        <f>G88*42</f>
        <v>5633.04</v>
      </c>
    </row>
    <row r="89" spans="1:9" ht="15.75" hidden="1" customHeight="1">
      <c r="A89" s="32">
        <v>29</v>
      </c>
      <c r="B89" s="50"/>
      <c r="C89" s="62"/>
      <c r="D89" s="111"/>
      <c r="E89" s="36"/>
      <c r="F89" s="36">
        <v>1</v>
      </c>
      <c r="G89" s="36"/>
      <c r="H89" s="91">
        <f t="shared" ref="H89" si="8">G89*F89/1000</f>
        <v>0</v>
      </c>
      <c r="I89" s="13"/>
    </row>
    <row r="90" spans="1:9" ht="15.75" customHeight="1">
      <c r="A90" s="32">
        <v>22</v>
      </c>
      <c r="B90" s="52" t="s">
        <v>260</v>
      </c>
      <c r="C90" s="53" t="s">
        <v>85</v>
      </c>
      <c r="D90" s="111"/>
      <c r="E90" s="36"/>
      <c r="F90" s="36"/>
      <c r="G90" s="36">
        <v>246.98</v>
      </c>
      <c r="H90" s="91"/>
      <c r="I90" s="13">
        <f>G90*1</f>
        <v>246.98</v>
      </c>
    </row>
    <row r="91" spans="1:9" ht="15.75" customHeight="1">
      <c r="A91" s="32">
        <v>23</v>
      </c>
      <c r="B91" s="50" t="s">
        <v>141</v>
      </c>
      <c r="C91" s="62" t="s">
        <v>85</v>
      </c>
      <c r="D91" s="111"/>
      <c r="E91" s="36"/>
      <c r="F91" s="36"/>
      <c r="G91" s="36">
        <v>203.68</v>
      </c>
      <c r="H91" s="91"/>
      <c r="I91" s="13">
        <f>G91*3</f>
        <v>611.04</v>
      </c>
    </row>
    <row r="92" spans="1:9" ht="15.75" customHeight="1">
      <c r="A92" s="32">
        <v>24</v>
      </c>
      <c r="B92" s="52" t="s">
        <v>262</v>
      </c>
      <c r="C92" s="53" t="s">
        <v>85</v>
      </c>
      <c r="D92" s="111"/>
      <c r="E92" s="36"/>
      <c r="F92" s="36"/>
      <c r="G92" s="36">
        <v>246.93</v>
      </c>
      <c r="H92" s="91"/>
      <c r="I92" s="13">
        <f>G92*1</f>
        <v>246.93</v>
      </c>
    </row>
    <row r="93" spans="1:9" ht="15.75" customHeight="1">
      <c r="A93" s="32"/>
      <c r="B93" s="45" t="s">
        <v>51</v>
      </c>
      <c r="C93" s="41"/>
      <c r="D93" s="48"/>
      <c r="E93" s="41">
        <v>1</v>
      </c>
      <c r="F93" s="41"/>
      <c r="G93" s="41"/>
      <c r="H93" s="41"/>
      <c r="I93" s="34">
        <f>SUM(I87:I92)</f>
        <v>6935.4699999999993</v>
      </c>
    </row>
    <row r="94" spans="1:9">
      <c r="A94" s="32"/>
      <c r="B94" s="47" t="s">
        <v>79</v>
      </c>
      <c r="C94" s="15"/>
      <c r="D94" s="15"/>
      <c r="E94" s="42"/>
      <c r="F94" s="42"/>
      <c r="G94" s="43"/>
      <c r="H94" s="43"/>
      <c r="I94" s="17">
        <v>0</v>
      </c>
    </row>
    <row r="95" spans="1:9">
      <c r="A95" s="49"/>
      <c r="B95" s="46" t="s">
        <v>179</v>
      </c>
      <c r="C95" s="35"/>
      <c r="D95" s="35"/>
      <c r="E95" s="35"/>
      <c r="F95" s="35"/>
      <c r="G95" s="35"/>
      <c r="H95" s="35"/>
      <c r="I95" s="44">
        <f>I84+I93</f>
        <v>117363.8797818889</v>
      </c>
    </row>
    <row r="96" spans="1:9">
      <c r="A96" s="203" t="s">
        <v>250</v>
      </c>
      <c r="B96" s="204"/>
      <c r="C96" s="204"/>
      <c r="D96" s="204"/>
      <c r="E96" s="204"/>
      <c r="F96" s="204"/>
      <c r="G96" s="204"/>
      <c r="H96" s="204"/>
      <c r="I96" s="204"/>
    </row>
    <row r="97" spans="1:9" ht="15.75">
      <c r="A97" s="192" t="s">
        <v>263</v>
      </c>
      <c r="B97" s="192"/>
      <c r="C97" s="192"/>
      <c r="D97" s="192"/>
      <c r="E97" s="192"/>
      <c r="F97" s="192"/>
      <c r="G97" s="192"/>
      <c r="H97" s="192"/>
      <c r="I97" s="192"/>
    </row>
    <row r="98" spans="1:9" ht="15.75" customHeight="1">
      <c r="A98" s="60"/>
      <c r="B98" s="193" t="s">
        <v>264</v>
      </c>
      <c r="C98" s="193"/>
      <c r="D98" s="193"/>
      <c r="E98" s="193"/>
      <c r="F98" s="193"/>
      <c r="G98" s="193"/>
      <c r="H98" s="75"/>
      <c r="I98" s="3"/>
    </row>
    <row r="99" spans="1:9">
      <c r="A99" s="69"/>
      <c r="B99" s="194" t="s">
        <v>6</v>
      </c>
      <c r="C99" s="194"/>
      <c r="D99" s="194"/>
      <c r="E99" s="194"/>
      <c r="F99" s="194"/>
      <c r="G99" s="194"/>
      <c r="H99" s="27"/>
      <c r="I99" s="5"/>
    </row>
    <row r="100" spans="1:9">
      <c r="A100" s="10"/>
      <c r="B100" s="10"/>
      <c r="C100" s="10"/>
      <c r="D100" s="10"/>
      <c r="E100" s="10"/>
      <c r="F100" s="10"/>
      <c r="G100" s="10"/>
      <c r="H100" s="10"/>
      <c r="I100" s="10"/>
    </row>
    <row r="101" spans="1:9" ht="15.75">
      <c r="A101" s="195" t="s">
        <v>7</v>
      </c>
      <c r="B101" s="195"/>
      <c r="C101" s="195"/>
      <c r="D101" s="195"/>
      <c r="E101" s="195"/>
      <c r="F101" s="195"/>
      <c r="G101" s="195"/>
      <c r="H101" s="195"/>
      <c r="I101" s="195"/>
    </row>
    <row r="102" spans="1:9" ht="15.75">
      <c r="A102" s="195" t="s">
        <v>8</v>
      </c>
      <c r="B102" s="195"/>
      <c r="C102" s="195"/>
      <c r="D102" s="195"/>
      <c r="E102" s="195"/>
      <c r="F102" s="195"/>
      <c r="G102" s="195"/>
      <c r="H102" s="195"/>
      <c r="I102" s="195"/>
    </row>
    <row r="103" spans="1:9" ht="15.75">
      <c r="A103" s="196" t="s">
        <v>61</v>
      </c>
      <c r="B103" s="196"/>
      <c r="C103" s="196"/>
      <c r="D103" s="196"/>
      <c r="E103" s="196"/>
      <c r="F103" s="196"/>
      <c r="G103" s="196"/>
      <c r="H103" s="196"/>
      <c r="I103" s="196"/>
    </row>
    <row r="104" spans="1:9" ht="15.75">
      <c r="A104" s="11"/>
    </row>
    <row r="105" spans="1:9" ht="15.75">
      <c r="A105" s="197" t="s">
        <v>9</v>
      </c>
      <c r="B105" s="197"/>
      <c r="C105" s="197"/>
      <c r="D105" s="197"/>
      <c r="E105" s="197"/>
      <c r="F105" s="197"/>
      <c r="G105" s="197"/>
      <c r="H105" s="197"/>
      <c r="I105" s="197"/>
    </row>
    <row r="106" spans="1:9" ht="15.75" customHeight="1">
      <c r="A106" s="4"/>
    </row>
    <row r="107" spans="1:9" ht="15.75" customHeight="1">
      <c r="B107" s="66" t="s">
        <v>10</v>
      </c>
      <c r="C107" s="198" t="s">
        <v>142</v>
      </c>
      <c r="D107" s="198"/>
      <c r="E107" s="198"/>
      <c r="F107" s="73"/>
      <c r="I107" s="68"/>
    </row>
    <row r="108" spans="1:9" ht="15.75" customHeight="1">
      <c r="A108" s="69"/>
      <c r="C108" s="194" t="s">
        <v>11</v>
      </c>
      <c r="D108" s="194"/>
      <c r="E108" s="194"/>
      <c r="F108" s="27"/>
      <c r="I108" s="67" t="s">
        <v>12</v>
      </c>
    </row>
    <row r="109" spans="1:9" ht="15.75" customHeight="1">
      <c r="A109" s="28"/>
      <c r="C109" s="12"/>
      <c r="D109" s="12"/>
      <c r="G109" s="12"/>
      <c r="H109" s="12"/>
    </row>
    <row r="110" spans="1:9" ht="15.75">
      <c r="B110" s="66" t="s">
        <v>13</v>
      </c>
      <c r="C110" s="199"/>
      <c r="D110" s="199"/>
      <c r="E110" s="199"/>
      <c r="F110" s="74"/>
      <c r="I110" s="68"/>
    </row>
    <row r="111" spans="1:9">
      <c r="A111" s="69"/>
      <c r="C111" s="188" t="s">
        <v>11</v>
      </c>
      <c r="D111" s="188"/>
      <c r="E111" s="188"/>
      <c r="F111" s="69"/>
      <c r="I111" s="67" t="s">
        <v>12</v>
      </c>
    </row>
    <row r="112" spans="1:9" ht="15.75">
      <c r="A112" s="4" t="s">
        <v>14</v>
      </c>
    </row>
    <row r="113" spans="1:9">
      <c r="A113" s="186" t="s">
        <v>15</v>
      </c>
      <c r="B113" s="186"/>
      <c r="C113" s="186"/>
      <c r="D113" s="186"/>
      <c r="E113" s="186"/>
      <c r="F113" s="186"/>
      <c r="G113" s="186"/>
      <c r="H113" s="186"/>
      <c r="I113" s="186"/>
    </row>
    <row r="114" spans="1:9" ht="45" customHeight="1">
      <c r="A114" s="187" t="s">
        <v>16</v>
      </c>
      <c r="B114" s="187"/>
      <c r="C114" s="187"/>
      <c r="D114" s="187"/>
      <c r="E114" s="187"/>
      <c r="F114" s="187"/>
      <c r="G114" s="187"/>
      <c r="H114" s="187"/>
      <c r="I114" s="187"/>
    </row>
    <row r="115" spans="1:9" ht="30" customHeight="1">
      <c r="A115" s="187" t="s">
        <v>17</v>
      </c>
      <c r="B115" s="187"/>
      <c r="C115" s="187"/>
      <c r="D115" s="187"/>
      <c r="E115" s="187"/>
      <c r="F115" s="187"/>
      <c r="G115" s="187"/>
      <c r="H115" s="187"/>
      <c r="I115" s="187"/>
    </row>
    <row r="116" spans="1:9" ht="30" customHeight="1">
      <c r="A116" s="187" t="s">
        <v>21</v>
      </c>
      <c r="B116" s="187"/>
      <c r="C116" s="187"/>
      <c r="D116" s="187"/>
      <c r="E116" s="187"/>
      <c r="F116" s="187"/>
      <c r="G116" s="187"/>
      <c r="H116" s="187"/>
      <c r="I116" s="187"/>
    </row>
    <row r="117" spans="1:9" ht="15" customHeight="1">
      <c r="A117" s="187" t="s">
        <v>20</v>
      </c>
      <c r="B117" s="187"/>
      <c r="C117" s="187"/>
      <c r="D117" s="187"/>
      <c r="E117" s="187"/>
      <c r="F117" s="187"/>
      <c r="G117" s="187"/>
      <c r="H117" s="187"/>
      <c r="I117" s="187"/>
    </row>
  </sheetData>
  <autoFilter ref="I12:I60"/>
  <mergeCells count="30">
    <mergeCell ref="A114:I114"/>
    <mergeCell ref="A115:I115"/>
    <mergeCell ref="A116:I116"/>
    <mergeCell ref="A117:I117"/>
    <mergeCell ref="A105:I105"/>
    <mergeCell ref="C107:E107"/>
    <mergeCell ref="C108:E108"/>
    <mergeCell ref="C110:E110"/>
    <mergeCell ref="C111:E111"/>
    <mergeCell ref="A113:I113"/>
    <mergeCell ref="A103:I103"/>
    <mergeCell ref="A15:I15"/>
    <mergeCell ref="A28:I28"/>
    <mergeCell ref="A46:I46"/>
    <mergeCell ref="A56:I56"/>
    <mergeCell ref="A85:I85"/>
    <mergeCell ref="A97:I97"/>
    <mergeCell ref="B98:G98"/>
    <mergeCell ref="B99:G99"/>
    <mergeCell ref="A101:I101"/>
    <mergeCell ref="A102:I102"/>
    <mergeCell ref="A96:I96"/>
    <mergeCell ref="R65:U65"/>
    <mergeCell ref="A81:I81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59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14"/>
  <sheetViews>
    <sheetView topLeftCell="A81" workbookViewId="0">
      <selection activeCell="B95" sqref="B95:G95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257</v>
      </c>
      <c r="I1" s="29"/>
      <c r="J1" s="1"/>
      <c r="K1" s="1"/>
      <c r="L1" s="1"/>
      <c r="M1" s="1"/>
    </row>
    <row r="2" spans="1:13" ht="15.75">
      <c r="A2" s="31" t="s">
        <v>62</v>
      </c>
      <c r="J2" s="2"/>
      <c r="K2" s="2"/>
      <c r="L2" s="2"/>
      <c r="M2" s="2"/>
    </row>
    <row r="3" spans="1:13" ht="15.75" customHeight="1">
      <c r="A3" s="210" t="s">
        <v>173</v>
      </c>
      <c r="B3" s="210"/>
      <c r="C3" s="210"/>
      <c r="D3" s="210"/>
      <c r="E3" s="210"/>
      <c r="F3" s="210"/>
      <c r="G3" s="210"/>
      <c r="H3" s="210"/>
      <c r="I3" s="210"/>
      <c r="J3" s="3"/>
      <c r="K3" s="3"/>
      <c r="L3" s="3"/>
    </row>
    <row r="4" spans="1:13" ht="31.5" customHeight="1">
      <c r="A4" s="211" t="s">
        <v>139</v>
      </c>
      <c r="B4" s="211"/>
      <c r="C4" s="211"/>
      <c r="D4" s="211"/>
      <c r="E4" s="211"/>
      <c r="F4" s="211"/>
      <c r="G4" s="211"/>
      <c r="H4" s="211"/>
      <c r="I4" s="211"/>
    </row>
    <row r="5" spans="1:13" ht="15.75">
      <c r="A5" s="210" t="s">
        <v>261</v>
      </c>
      <c r="B5" s="212"/>
      <c r="C5" s="212"/>
      <c r="D5" s="212"/>
      <c r="E5" s="212"/>
      <c r="F5" s="212"/>
      <c r="G5" s="212"/>
      <c r="H5" s="212"/>
      <c r="I5" s="212"/>
      <c r="J5" s="2"/>
      <c r="K5" s="2"/>
      <c r="L5" s="2"/>
      <c r="M5" s="2"/>
    </row>
    <row r="6" spans="1:13" ht="15.75">
      <c r="A6" s="2"/>
      <c r="B6" s="65"/>
      <c r="C6" s="65"/>
      <c r="D6" s="65"/>
      <c r="E6" s="65"/>
      <c r="F6" s="65"/>
      <c r="G6" s="65"/>
      <c r="H6" s="65"/>
      <c r="I6" s="33">
        <v>43373</v>
      </c>
      <c r="J6" s="2"/>
      <c r="K6" s="2"/>
      <c r="L6" s="2"/>
      <c r="M6" s="2"/>
    </row>
    <row r="7" spans="1:13" ht="15.75">
      <c r="B7" s="66"/>
      <c r="C7" s="66"/>
      <c r="D7" s="66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213" t="s">
        <v>259</v>
      </c>
      <c r="B8" s="213"/>
      <c r="C8" s="213"/>
      <c r="D8" s="213"/>
      <c r="E8" s="213"/>
      <c r="F8" s="213"/>
      <c r="G8" s="213"/>
      <c r="H8" s="213"/>
      <c r="I8" s="213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214" t="s">
        <v>175</v>
      </c>
      <c r="B10" s="214"/>
      <c r="C10" s="214"/>
      <c r="D10" s="214"/>
      <c r="E10" s="214"/>
      <c r="F10" s="214"/>
      <c r="G10" s="214"/>
      <c r="H10" s="214"/>
      <c r="I10" s="214"/>
      <c r="J10" s="2"/>
      <c r="K10" s="2"/>
      <c r="L10" s="2"/>
      <c r="M10" s="2"/>
    </row>
    <row r="11" spans="1:13" ht="15.75" customHeight="1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09" t="s">
        <v>59</v>
      </c>
      <c r="B14" s="209"/>
      <c r="C14" s="209"/>
      <c r="D14" s="209"/>
      <c r="E14" s="209"/>
      <c r="F14" s="209"/>
      <c r="G14" s="209"/>
      <c r="H14" s="209"/>
      <c r="I14" s="209"/>
      <c r="J14" s="8"/>
      <c r="K14" s="8"/>
      <c r="L14" s="8"/>
      <c r="M14" s="8"/>
    </row>
    <row r="15" spans="1:13" ht="15.75" customHeight="1">
      <c r="A15" s="205" t="s">
        <v>4</v>
      </c>
      <c r="B15" s="205"/>
      <c r="C15" s="205"/>
      <c r="D15" s="205"/>
      <c r="E15" s="205"/>
      <c r="F15" s="205"/>
      <c r="G15" s="205"/>
      <c r="H15" s="205"/>
      <c r="I15" s="205"/>
      <c r="J15" s="8"/>
      <c r="K15" s="8"/>
      <c r="L15" s="8"/>
      <c r="M15" s="8"/>
    </row>
    <row r="16" spans="1:13" ht="15.75" customHeight="1">
      <c r="A16" s="32">
        <v>1</v>
      </c>
      <c r="B16" s="76" t="s">
        <v>88</v>
      </c>
      <c r="C16" s="77" t="s">
        <v>89</v>
      </c>
      <c r="D16" s="76" t="s">
        <v>178</v>
      </c>
      <c r="E16" s="78">
        <v>208.08</v>
      </c>
      <c r="F16" s="79">
        <f>SUM(E16*156/100)</f>
        <v>324.60480000000001</v>
      </c>
      <c r="G16" s="79">
        <v>175.38</v>
      </c>
      <c r="H16" s="80">
        <f t="shared" ref="H16:H25" si="0">SUM(F16*G16/1000)</f>
        <v>56.929189823999998</v>
      </c>
      <c r="I16" s="13">
        <f>F16/12*G16</f>
        <v>4744.0991519999998</v>
      </c>
      <c r="J16" s="24"/>
      <c r="K16" s="8"/>
      <c r="L16" s="8"/>
      <c r="M16" s="8"/>
    </row>
    <row r="17" spans="1:13" ht="15.75" customHeight="1">
      <c r="A17" s="32">
        <v>2</v>
      </c>
      <c r="B17" s="76" t="s">
        <v>119</v>
      </c>
      <c r="C17" s="77" t="s">
        <v>89</v>
      </c>
      <c r="D17" s="76" t="s">
        <v>177</v>
      </c>
      <c r="E17" s="78">
        <v>832.32</v>
      </c>
      <c r="F17" s="79">
        <f>SUM(E17*104/100)</f>
        <v>865.61279999999999</v>
      </c>
      <c r="G17" s="79">
        <v>175.38</v>
      </c>
      <c r="H17" s="80">
        <f t="shared" si="0"/>
        <v>151.81117286399999</v>
      </c>
      <c r="I17" s="13">
        <f>F17/12*G17</f>
        <v>12650.931071999999</v>
      </c>
      <c r="J17" s="25"/>
      <c r="K17" s="8"/>
      <c r="L17" s="8"/>
      <c r="M17" s="8"/>
    </row>
    <row r="18" spans="1:13" ht="15.75" customHeight="1">
      <c r="A18" s="32">
        <v>3</v>
      </c>
      <c r="B18" s="76" t="s">
        <v>120</v>
      </c>
      <c r="C18" s="77" t="s">
        <v>89</v>
      </c>
      <c r="D18" s="76" t="s">
        <v>176</v>
      </c>
      <c r="E18" s="78">
        <v>1040.4000000000001</v>
      </c>
      <c r="F18" s="79">
        <f>SUM(E18*24/100)</f>
        <v>249.69600000000003</v>
      </c>
      <c r="G18" s="79">
        <v>504.5</v>
      </c>
      <c r="H18" s="80">
        <f t="shared" si="0"/>
        <v>125.97163200000001</v>
      </c>
      <c r="I18" s="13">
        <f>F18/12*G18</f>
        <v>10497.636000000002</v>
      </c>
      <c r="J18" s="25"/>
      <c r="K18" s="8"/>
      <c r="L18" s="8"/>
      <c r="M18" s="8"/>
    </row>
    <row r="19" spans="1:13" ht="15.75" hidden="1" customHeight="1">
      <c r="A19" s="32"/>
      <c r="B19" s="76" t="s">
        <v>96</v>
      </c>
      <c r="C19" s="77" t="s">
        <v>97</v>
      </c>
      <c r="D19" s="76" t="s">
        <v>98</v>
      </c>
      <c r="E19" s="78">
        <v>48</v>
      </c>
      <c r="F19" s="79">
        <f>SUM(E19/10)</f>
        <v>4.8</v>
      </c>
      <c r="G19" s="79">
        <v>170.16</v>
      </c>
      <c r="H19" s="80">
        <f t="shared" si="0"/>
        <v>0.81676799999999994</v>
      </c>
      <c r="I19" s="13">
        <v>0</v>
      </c>
      <c r="J19" s="25"/>
      <c r="K19" s="8"/>
      <c r="L19" s="8"/>
      <c r="M19" s="8"/>
    </row>
    <row r="20" spans="1:13" ht="15.75" customHeight="1">
      <c r="A20" s="32">
        <v>4</v>
      </c>
      <c r="B20" s="76" t="s">
        <v>99</v>
      </c>
      <c r="C20" s="77" t="s">
        <v>89</v>
      </c>
      <c r="D20" s="76" t="s">
        <v>121</v>
      </c>
      <c r="E20" s="78">
        <v>30.6</v>
      </c>
      <c r="F20" s="79">
        <f>SUM(E20*12/100)</f>
        <v>3.6720000000000006</v>
      </c>
      <c r="G20" s="79">
        <v>217.88</v>
      </c>
      <c r="H20" s="80">
        <f t="shared" si="0"/>
        <v>0.8000553600000001</v>
      </c>
      <c r="I20" s="13">
        <f>F20/12*G20</f>
        <v>66.67128000000001</v>
      </c>
      <c r="J20" s="25"/>
      <c r="K20" s="8"/>
      <c r="L20" s="8"/>
      <c r="M20" s="8"/>
    </row>
    <row r="21" spans="1:13" ht="15.75" customHeight="1">
      <c r="A21" s="32">
        <v>5</v>
      </c>
      <c r="B21" s="76" t="s">
        <v>100</v>
      </c>
      <c r="C21" s="77" t="s">
        <v>89</v>
      </c>
      <c r="D21" s="76" t="s">
        <v>30</v>
      </c>
      <c r="E21" s="78">
        <v>10.06</v>
      </c>
      <c r="F21" s="79">
        <f>SUM(E21*12/100)</f>
        <v>1.2072000000000001</v>
      </c>
      <c r="G21" s="79">
        <v>216.12</v>
      </c>
      <c r="H21" s="80">
        <f t="shared" si="0"/>
        <v>0.26090006400000004</v>
      </c>
      <c r="I21" s="13">
        <f>F21/12*G21</f>
        <v>21.741672000000001</v>
      </c>
      <c r="J21" s="25"/>
      <c r="K21" s="8"/>
      <c r="L21" s="8"/>
      <c r="M21" s="8"/>
    </row>
    <row r="22" spans="1:13" ht="15.75" hidden="1" customHeight="1">
      <c r="A22" s="32"/>
      <c r="B22" s="76" t="s">
        <v>101</v>
      </c>
      <c r="C22" s="77" t="s">
        <v>52</v>
      </c>
      <c r="D22" s="76" t="s">
        <v>98</v>
      </c>
      <c r="E22" s="78">
        <v>769.2</v>
      </c>
      <c r="F22" s="79">
        <f>SUM(E22/100)</f>
        <v>7.6920000000000002</v>
      </c>
      <c r="G22" s="79">
        <v>269.26</v>
      </c>
      <c r="H22" s="80">
        <f t="shared" si="0"/>
        <v>2.07114792</v>
      </c>
      <c r="I22" s="13">
        <v>0</v>
      </c>
      <c r="J22" s="25"/>
      <c r="K22" s="8"/>
      <c r="L22" s="8"/>
      <c r="M22" s="8"/>
    </row>
    <row r="23" spans="1:13" ht="15.75" hidden="1" customHeight="1">
      <c r="A23" s="32"/>
      <c r="B23" s="76" t="s">
        <v>102</v>
      </c>
      <c r="C23" s="77" t="s">
        <v>52</v>
      </c>
      <c r="D23" s="76" t="s">
        <v>98</v>
      </c>
      <c r="E23" s="81">
        <v>35.28</v>
      </c>
      <c r="F23" s="79">
        <f>SUM(E23/100)</f>
        <v>0.3528</v>
      </c>
      <c r="G23" s="79">
        <v>44.29</v>
      </c>
      <c r="H23" s="80">
        <f t="shared" si="0"/>
        <v>1.5625512000000001E-2</v>
      </c>
      <c r="I23" s="13">
        <v>0</v>
      </c>
      <c r="J23" s="25"/>
      <c r="K23" s="8"/>
      <c r="L23" s="8"/>
      <c r="M23" s="8"/>
    </row>
    <row r="24" spans="1:13" ht="15.75" customHeight="1">
      <c r="A24" s="32">
        <v>6</v>
      </c>
      <c r="B24" s="76" t="s">
        <v>103</v>
      </c>
      <c r="C24" s="77" t="s">
        <v>52</v>
      </c>
      <c r="D24" s="76" t="s">
        <v>30</v>
      </c>
      <c r="E24" s="78">
        <v>10.8</v>
      </c>
      <c r="F24" s="79">
        <f>E24*12/100</f>
        <v>1.2960000000000003</v>
      </c>
      <c r="G24" s="79">
        <v>389.72</v>
      </c>
      <c r="H24" s="80">
        <f t="shared" si="0"/>
        <v>0.50507712000000016</v>
      </c>
      <c r="I24" s="13">
        <f>F24/12*G24</f>
        <v>42.089760000000012</v>
      </c>
      <c r="J24" s="25"/>
      <c r="K24" s="8"/>
      <c r="L24" s="8"/>
      <c r="M24" s="8"/>
    </row>
    <row r="25" spans="1:13" ht="15.75" customHeight="1">
      <c r="A25" s="32">
        <v>7</v>
      </c>
      <c r="B25" s="76" t="s">
        <v>104</v>
      </c>
      <c r="C25" s="77" t="s">
        <v>52</v>
      </c>
      <c r="D25" s="76" t="s">
        <v>122</v>
      </c>
      <c r="E25" s="78">
        <v>21.6</v>
      </c>
      <c r="F25" s="79">
        <f>SUM(E25*12/100)</f>
        <v>2.5920000000000005</v>
      </c>
      <c r="G25" s="79">
        <v>520.79999999999995</v>
      </c>
      <c r="H25" s="80">
        <f t="shared" si="0"/>
        <v>1.3499136</v>
      </c>
      <c r="I25" s="13">
        <f>F25/12*G25</f>
        <v>112.49280000000002</v>
      </c>
      <c r="J25" s="25"/>
      <c r="K25" s="8"/>
      <c r="L25" s="8"/>
      <c r="M25" s="8"/>
    </row>
    <row r="26" spans="1:13" ht="15.75" customHeight="1">
      <c r="A26" s="32">
        <v>8</v>
      </c>
      <c r="B26" s="76" t="s">
        <v>64</v>
      </c>
      <c r="C26" s="77" t="s">
        <v>33</v>
      </c>
      <c r="D26" s="76"/>
      <c r="E26" s="78">
        <v>0.1</v>
      </c>
      <c r="F26" s="79">
        <f>SUM(E26*365)</f>
        <v>36.5</v>
      </c>
      <c r="G26" s="79">
        <v>147.03</v>
      </c>
      <c r="H26" s="80">
        <f>SUM(F26*G26/1000)</f>
        <v>5.3665950000000002</v>
      </c>
      <c r="I26" s="13">
        <f>F26/12*G26</f>
        <v>447.21625</v>
      </c>
      <c r="J26" s="26"/>
    </row>
    <row r="27" spans="1:13" ht="15.75" customHeight="1">
      <c r="A27" s="32">
        <v>9</v>
      </c>
      <c r="B27" s="84" t="s">
        <v>23</v>
      </c>
      <c r="C27" s="77" t="s">
        <v>24</v>
      </c>
      <c r="D27" s="76"/>
      <c r="E27" s="78">
        <v>6980.3</v>
      </c>
      <c r="F27" s="79">
        <f>SUM(E27*12)</f>
        <v>83763.600000000006</v>
      </c>
      <c r="G27" s="79">
        <v>4.4000000000000004</v>
      </c>
      <c r="H27" s="80">
        <f>SUM(F27*G27/1000)</f>
        <v>368.55984000000007</v>
      </c>
      <c r="I27" s="13">
        <f>F27/12*G27</f>
        <v>30713.320000000003</v>
      </c>
      <c r="J27" s="26"/>
    </row>
    <row r="28" spans="1:13" ht="15.75" customHeight="1">
      <c r="A28" s="205" t="s">
        <v>86</v>
      </c>
      <c r="B28" s="205"/>
      <c r="C28" s="205"/>
      <c r="D28" s="205"/>
      <c r="E28" s="205"/>
      <c r="F28" s="205"/>
      <c r="G28" s="205"/>
      <c r="H28" s="205"/>
      <c r="I28" s="205"/>
      <c r="J28" s="25"/>
      <c r="K28" s="8"/>
      <c r="L28" s="8"/>
      <c r="M28" s="8"/>
    </row>
    <row r="29" spans="1:13" ht="15.75" customHeight="1">
      <c r="A29" s="32"/>
      <c r="B29" s="100" t="s">
        <v>28</v>
      </c>
      <c r="C29" s="77"/>
      <c r="D29" s="76"/>
      <c r="E29" s="78"/>
      <c r="F29" s="79"/>
      <c r="G29" s="79"/>
      <c r="H29" s="80"/>
      <c r="I29" s="13"/>
      <c r="J29" s="25"/>
      <c r="K29" s="8"/>
      <c r="L29" s="8"/>
      <c r="M29" s="8"/>
    </row>
    <row r="30" spans="1:13" ht="15.75" customHeight="1">
      <c r="A30" s="32">
        <v>10</v>
      </c>
      <c r="B30" s="76" t="s">
        <v>108</v>
      </c>
      <c r="C30" s="77" t="s">
        <v>91</v>
      </c>
      <c r="D30" s="76" t="s">
        <v>185</v>
      </c>
      <c r="E30" s="79">
        <v>1168.05</v>
      </c>
      <c r="F30" s="79">
        <f>SUM(E30*52/1000)</f>
        <v>60.738599999999998</v>
      </c>
      <c r="G30" s="79">
        <v>155.88999999999999</v>
      </c>
      <c r="H30" s="80">
        <f t="shared" ref="H30:H36" si="1">SUM(F30*G30/1000)</f>
        <v>9.4685403539999982</v>
      </c>
      <c r="I30" s="13">
        <f>F30/6*G30</f>
        <v>1578.0900589999997</v>
      </c>
      <c r="J30" s="25"/>
      <c r="K30" s="8"/>
      <c r="L30" s="8"/>
      <c r="M30" s="8"/>
    </row>
    <row r="31" spans="1:13" ht="31.5" customHeight="1">
      <c r="A31" s="32">
        <v>11</v>
      </c>
      <c r="B31" s="76" t="s">
        <v>124</v>
      </c>
      <c r="C31" s="77" t="s">
        <v>91</v>
      </c>
      <c r="D31" s="76" t="s">
        <v>186</v>
      </c>
      <c r="E31" s="79">
        <v>1039.2</v>
      </c>
      <c r="F31" s="79">
        <f>SUM(E31*78/1000)</f>
        <v>81.057600000000008</v>
      </c>
      <c r="G31" s="79">
        <v>258.63</v>
      </c>
      <c r="H31" s="80">
        <f t="shared" si="1"/>
        <v>20.963927088000002</v>
      </c>
      <c r="I31" s="13">
        <f t="shared" ref="I31:I34" si="2">F31/6*G31</f>
        <v>3493.9878480000002</v>
      </c>
      <c r="J31" s="25"/>
      <c r="K31" s="8"/>
      <c r="L31" s="8"/>
      <c r="M31" s="8"/>
    </row>
    <row r="32" spans="1:13" ht="15.75" hidden="1" customHeight="1">
      <c r="A32" s="32">
        <v>16</v>
      </c>
      <c r="B32" s="76" t="s">
        <v>27</v>
      </c>
      <c r="C32" s="77" t="s">
        <v>91</v>
      </c>
      <c r="D32" s="76" t="s">
        <v>53</v>
      </c>
      <c r="E32" s="79">
        <v>584.03</v>
      </c>
      <c r="F32" s="79">
        <f>SUM(E32/1000)</f>
        <v>0.58402999999999994</v>
      </c>
      <c r="G32" s="79">
        <v>3020.33</v>
      </c>
      <c r="H32" s="80">
        <f t="shared" si="1"/>
        <v>1.7639633298999997</v>
      </c>
      <c r="I32" s="13">
        <f>F32*G32</f>
        <v>1763.9633298999997</v>
      </c>
      <c r="J32" s="25"/>
      <c r="K32" s="8"/>
      <c r="L32" s="8"/>
      <c r="M32" s="8"/>
    </row>
    <row r="33" spans="1:14" ht="15.75" customHeight="1">
      <c r="A33" s="32">
        <v>12</v>
      </c>
      <c r="B33" s="76" t="s">
        <v>123</v>
      </c>
      <c r="C33" s="77" t="s">
        <v>39</v>
      </c>
      <c r="D33" s="76" t="s">
        <v>63</v>
      </c>
      <c r="E33" s="79">
        <v>6</v>
      </c>
      <c r="F33" s="79">
        <f>E33*155/100</f>
        <v>9.3000000000000007</v>
      </c>
      <c r="G33" s="79">
        <v>1302.02</v>
      </c>
      <c r="H33" s="80">
        <f>G33*F33/1000</f>
        <v>12.108786</v>
      </c>
      <c r="I33" s="13">
        <f t="shared" si="2"/>
        <v>2018.1310000000001</v>
      </c>
      <c r="J33" s="25"/>
      <c r="K33" s="8"/>
      <c r="L33" s="8"/>
      <c r="M33" s="8"/>
    </row>
    <row r="34" spans="1:14" ht="15.75" customHeight="1">
      <c r="A34" s="32">
        <v>13</v>
      </c>
      <c r="B34" s="76" t="s">
        <v>107</v>
      </c>
      <c r="C34" s="77" t="s">
        <v>31</v>
      </c>
      <c r="D34" s="76" t="s">
        <v>63</v>
      </c>
      <c r="E34" s="83">
        <v>0.33333333333333331</v>
      </c>
      <c r="F34" s="79">
        <f>155/3</f>
        <v>51.666666666666664</v>
      </c>
      <c r="G34" s="79">
        <v>56.69</v>
      </c>
      <c r="H34" s="80">
        <f>SUM(G34*155/3/1000)</f>
        <v>2.9289833333333331</v>
      </c>
      <c r="I34" s="13">
        <f t="shared" si="2"/>
        <v>488.16388888888883</v>
      </c>
      <c r="J34" s="25"/>
      <c r="K34" s="8"/>
    </row>
    <row r="35" spans="1:14" ht="15.75" hidden="1" customHeight="1">
      <c r="A35" s="32"/>
      <c r="B35" s="76" t="s">
        <v>65</v>
      </c>
      <c r="C35" s="77" t="s">
        <v>33</v>
      </c>
      <c r="D35" s="76" t="s">
        <v>67</v>
      </c>
      <c r="E35" s="78"/>
      <c r="F35" s="79">
        <v>4</v>
      </c>
      <c r="G35" s="79">
        <v>180.15</v>
      </c>
      <c r="H35" s="80">
        <f t="shared" si="1"/>
        <v>0.72060000000000002</v>
      </c>
      <c r="I35" s="13">
        <v>0</v>
      </c>
      <c r="J35" s="26"/>
    </row>
    <row r="36" spans="1:14" ht="15.75" hidden="1" customHeight="1">
      <c r="A36" s="32"/>
      <c r="B36" s="76" t="s">
        <v>66</v>
      </c>
      <c r="C36" s="77" t="s">
        <v>32</v>
      </c>
      <c r="D36" s="76" t="s">
        <v>67</v>
      </c>
      <c r="E36" s="78"/>
      <c r="F36" s="79">
        <v>3</v>
      </c>
      <c r="G36" s="79">
        <v>1136.33</v>
      </c>
      <c r="H36" s="80">
        <f t="shared" si="1"/>
        <v>3.4089899999999997</v>
      </c>
      <c r="I36" s="13">
        <v>0</v>
      </c>
      <c r="J36" s="26"/>
    </row>
    <row r="37" spans="1:14" ht="15.75" hidden="1" customHeight="1">
      <c r="A37" s="32"/>
      <c r="B37" s="100" t="s">
        <v>5</v>
      </c>
      <c r="C37" s="77"/>
      <c r="D37" s="76"/>
      <c r="E37" s="78"/>
      <c r="F37" s="79"/>
      <c r="G37" s="79"/>
      <c r="H37" s="80" t="s">
        <v>150</v>
      </c>
      <c r="I37" s="13"/>
      <c r="J37" s="26"/>
    </row>
    <row r="38" spans="1:14" ht="15.75" hidden="1" customHeight="1">
      <c r="A38" s="32">
        <v>10</v>
      </c>
      <c r="B38" s="76" t="s">
        <v>26</v>
      </c>
      <c r="C38" s="77" t="s">
        <v>32</v>
      </c>
      <c r="D38" s="76"/>
      <c r="E38" s="78"/>
      <c r="F38" s="79">
        <v>10</v>
      </c>
      <c r="G38" s="79">
        <v>1527.22</v>
      </c>
      <c r="H38" s="80">
        <f t="shared" ref="H38:H45" si="3">SUM(F38*G38/1000)</f>
        <v>15.272200000000002</v>
      </c>
      <c r="I38" s="13">
        <f>F38/6*G38</f>
        <v>2545.3666666666668</v>
      </c>
      <c r="J38" s="26"/>
    </row>
    <row r="39" spans="1:14" ht="15.75" hidden="1" customHeight="1">
      <c r="A39" s="32">
        <v>11</v>
      </c>
      <c r="B39" s="76" t="s">
        <v>125</v>
      </c>
      <c r="C39" s="77" t="s">
        <v>33</v>
      </c>
      <c r="D39" s="76"/>
      <c r="E39" s="78"/>
      <c r="F39" s="79">
        <v>10</v>
      </c>
      <c r="G39" s="79">
        <v>77.94</v>
      </c>
      <c r="H39" s="80">
        <f>G39*F39/1000</f>
        <v>0.77939999999999998</v>
      </c>
      <c r="I39" s="13">
        <f>F39/6*G39</f>
        <v>129.9</v>
      </c>
      <c r="J39" s="26"/>
      <c r="L39" s="19"/>
      <c r="M39" s="20"/>
      <c r="N39" s="21"/>
    </row>
    <row r="40" spans="1:14" ht="15.75" hidden="1" customHeight="1">
      <c r="A40" s="32">
        <v>12</v>
      </c>
      <c r="B40" s="76" t="s">
        <v>109</v>
      </c>
      <c r="C40" s="77" t="s">
        <v>29</v>
      </c>
      <c r="D40" s="76" t="s">
        <v>126</v>
      </c>
      <c r="E40" s="78">
        <v>1039.2</v>
      </c>
      <c r="F40" s="79">
        <f>E40*25/1000</f>
        <v>25.98</v>
      </c>
      <c r="G40" s="79">
        <v>2102.71</v>
      </c>
      <c r="H40" s="80">
        <f>G40*F40/1000</f>
        <v>54.628405800000003</v>
      </c>
      <c r="I40" s="13">
        <f>F40/6*G40</f>
        <v>9104.7343000000001</v>
      </c>
      <c r="J40" s="26"/>
      <c r="L40" s="19"/>
      <c r="M40" s="20"/>
      <c r="N40" s="21"/>
    </row>
    <row r="41" spans="1:14" ht="15.75" hidden="1" customHeight="1">
      <c r="A41" s="32"/>
      <c r="B41" s="76" t="s">
        <v>127</v>
      </c>
      <c r="C41" s="77" t="s">
        <v>128</v>
      </c>
      <c r="D41" s="76" t="s">
        <v>67</v>
      </c>
      <c r="E41" s="78"/>
      <c r="F41" s="79">
        <v>50</v>
      </c>
      <c r="G41" s="79">
        <v>213.2</v>
      </c>
      <c r="H41" s="80">
        <f>G41*F41/1000</f>
        <v>10.66</v>
      </c>
      <c r="I41" s="13">
        <v>0</v>
      </c>
      <c r="J41" s="26"/>
      <c r="L41" s="19"/>
      <c r="M41" s="20"/>
      <c r="N41" s="21"/>
    </row>
    <row r="42" spans="1:14" ht="15.75" hidden="1" customHeight="1">
      <c r="A42" s="32">
        <v>13</v>
      </c>
      <c r="B42" s="76" t="s">
        <v>68</v>
      </c>
      <c r="C42" s="77" t="s">
        <v>29</v>
      </c>
      <c r="D42" s="76" t="s">
        <v>90</v>
      </c>
      <c r="E42" s="79">
        <v>153</v>
      </c>
      <c r="F42" s="79">
        <f>SUM(E42*155/1000)</f>
        <v>23.715</v>
      </c>
      <c r="G42" s="79">
        <v>350.75</v>
      </c>
      <c r="H42" s="80">
        <f t="shared" si="3"/>
        <v>8.3180362499999987</v>
      </c>
      <c r="I42" s="13">
        <f>F42/6*G42</f>
        <v>1386.339375</v>
      </c>
      <c r="J42" s="26"/>
      <c r="L42" s="19"/>
      <c r="M42" s="20"/>
      <c r="N42" s="21"/>
    </row>
    <row r="43" spans="1:14" ht="47.25" hidden="1" customHeight="1">
      <c r="A43" s="32">
        <v>14</v>
      </c>
      <c r="B43" s="76" t="s">
        <v>84</v>
      </c>
      <c r="C43" s="77" t="s">
        <v>91</v>
      </c>
      <c r="D43" s="76" t="s">
        <v>129</v>
      </c>
      <c r="E43" s="79">
        <v>24</v>
      </c>
      <c r="F43" s="79">
        <f>SUM(E43*50/1000)</f>
        <v>1.2</v>
      </c>
      <c r="G43" s="79">
        <v>5803.28</v>
      </c>
      <c r="H43" s="80">
        <f t="shared" si="3"/>
        <v>6.9639359999999995</v>
      </c>
      <c r="I43" s="13">
        <f>F43/6*G43</f>
        <v>1160.6559999999999</v>
      </c>
      <c r="J43" s="26"/>
      <c r="L43" s="19"/>
      <c r="M43" s="20"/>
      <c r="N43" s="21"/>
    </row>
    <row r="44" spans="1:14" ht="15.75" hidden="1" customHeight="1">
      <c r="A44" s="32">
        <v>15</v>
      </c>
      <c r="B44" s="76" t="s">
        <v>92</v>
      </c>
      <c r="C44" s="77" t="s">
        <v>91</v>
      </c>
      <c r="D44" s="76" t="s">
        <v>69</v>
      </c>
      <c r="E44" s="79">
        <v>153</v>
      </c>
      <c r="F44" s="79">
        <f>SUM(E44*45/1000)</f>
        <v>6.8849999999999998</v>
      </c>
      <c r="G44" s="79">
        <v>428.7</v>
      </c>
      <c r="H44" s="80">
        <f t="shared" si="3"/>
        <v>2.9515994999999999</v>
      </c>
      <c r="I44" s="13">
        <f>F44/6*G44</f>
        <v>491.93324999999999</v>
      </c>
      <c r="J44" s="26"/>
      <c r="L44" s="19"/>
      <c r="M44" s="20"/>
      <c r="N44" s="21"/>
    </row>
    <row r="45" spans="1:14" ht="15.75" hidden="1" customHeight="1">
      <c r="A45" s="32">
        <v>16</v>
      </c>
      <c r="B45" s="76" t="s">
        <v>70</v>
      </c>
      <c r="C45" s="77" t="s">
        <v>33</v>
      </c>
      <c r="D45" s="76"/>
      <c r="E45" s="78"/>
      <c r="F45" s="79">
        <v>0.9</v>
      </c>
      <c r="G45" s="79">
        <v>798</v>
      </c>
      <c r="H45" s="80">
        <f t="shared" si="3"/>
        <v>0.71820000000000006</v>
      </c>
      <c r="I45" s="13">
        <f>F45/6*G45</f>
        <v>119.69999999999999</v>
      </c>
      <c r="J45" s="26"/>
      <c r="L45" s="19"/>
      <c r="M45" s="20"/>
      <c r="N45" s="21"/>
    </row>
    <row r="46" spans="1:14" ht="15.75" customHeight="1">
      <c r="A46" s="206" t="s">
        <v>146</v>
      </c>
      <c r="B46" s="207"/>
      <c r="C46" s="207"/>
      <c r="D46" s="207"/>
      <c r="E46" s="207"/>
      <c r="F46" s="207"/>
      <c r="G46" s="207"/>
      <c r="H46" s="207"/>
      <c r="I46" s="208"/>
      <c r="J46" s="26"/>
      <c r="L46" s="19"/>
      <c r="M46" s="20"/>
      <c r="N46" s="21"/>
    </row>
    <row r="47" spans="1:14" ht="15.75" customHeight="1">
      <c r="A47" s="32">
        <v>14</v>
      </c>
      <c r="B47" s="76" t="s">
        <v>130</v>
      </c>
      <c r="C47" s="77" t="s">
        <v>91</v>
      </c>
      <c r="D47" s="76" t="s">
        <v>42</v>
      </c>
      <c r="E47" s="78">
        <v>1895</v>
      </c>
      <c r="F47" s="79">
        <f>SUM(E47*2/1000)</f>
        <v>3.79</v>
      </c>
      <c r="G47" s="13">
        <v>849.49</v>
      </c>
      <c r="H47" s="80">
        <f t="shared" ref="H47:H55" si="4">SUM(F47*G47/1000)</f>
        <v>3.2195671000000003</v>
      </c>
      <c r="I47" s="13">
        <f t="shared" ref="I47:I49" si="5">F47/2*G47</f>
        <v>1609.7835500000001</v>
      </c>
      <c r="J47" s="26"/>
      <c r="L47" s="19"/>
      <c r="M47" s="20"/>
      <c r="N47" s="21"/>
    </row>
    <row r="48" spans="1:14" ht="15.75" customHeight="1">
      <c r="A48" s="32">
        <v>15</v>
      </c>
      <c r="B48" s="76" t="s">
        <v>34</v>
      </c>
      <c r="C48" s="77" t="s">
        <v>91</v>
      </c>
      <c r="D48" s="76" t="s">
        <v>42</v>
      </c>
      <c r="E48" s="78">
        <v>118.2</v>
      </c>
      <c r="F48" s="79">
        <f>E48*2/1000</f>
        <v>0.2364</v>
      </c>
      <c r="G48" s="13">
        <v>579.48</v>
      </c>
      <c r="H48" s="80">
        <f t="shared" si="4"/>
        <v>0.13698907199999999</v>
      </c>
      <c r="I48" s="13">
        <f t="shared" si="5"/>
        <v>68.494535999999997</v>
      </c>
      <c r="J48" s="26"/>
      <c r="L48" s="19"/>
      <c r="M48" s="20"/>
      <c r="N48" s="21"/>
    </row>
    <row r="49" spans="1:22" ht="15.75" customHeight="1">
      <c r="A49" s="32">
        <v>16</v>
      </c>
      <c r="B49" s="76" t="s">
        <v>35</v>
      </c>
      <c r="C49" s="77" t="s">
        <v>91</v>
      </c>
      <c r="D49" s="76" t="s">
        <v>42</v>
      </c>
      <c r="E49" s="78">
        <v>4675</v>
      </c>
      <c r="F49" s="79">
        <f>SUM(E49*2/1000)</f>
        <v>9.35</v>
      </c>
      <c r="G49" s="13">
        <v>579.48</v>
      </c>
      <c r="H49" s="80">
        <f t="shared" si="4"/>
        <v>5.4181379999999999</v>
      </c>
      <c r="I49" s="13">
        <f t="shared" si="5"/>
        <v>2709.069</v>
      </c>
      <c r="J49" s="26"/>
      <c r="L49" s="19"/>
      <c r="M49" s="20"/>
      <c r="N49" s="21"/>
    </row>
    <row r="50" spans="1:22" ht="15.75" customHeight="1">
      <c r="A50" s="32">
        <v>17</v>
      </c>
      <c r="B50" s="76" t="s">
        <v>36</v>
      </c>
      <c r="C50" s="77" t="s">
        <v>91</v>
      </c>
      <c r="D50" s="76" t="s">
        <v>42</v>
      </c>
      <c r="E50" s="78">
        <v>4675</v>
      </c>
      <c r="F50" s="79">
        <f>SUM(E50*2/1000)</f>
        <v>9.35</v>
      </c>
      <c r="G50" s="13">
        <v>606.77</v>
      </c>
      <c r="H50" s="80">
        <f t="shared" si="4"/>
        <v>5.6732994999999988</v>
      </c>
      <c r="I50" s="13">
        <f>F50/2*G50</f>
        <v>2836.6497499999996</v>
      </c>
      <c r="J50" s="26"/>
      <c r="L50" s="19"/>
      <c r="M50" s="20"/>
      <c r="N50" s="21"/>
    </row>
    <row r="51" spans="1:22" ht="15.75" customHeight="1">
      <c r="A51" s="32">
        <v>18</v>
      </c>
      <c r="B51" s="76" t="s">
        <v>56</v>
      </c>
      <c r="C51" s="77" t="s">
        <v>91</v>
      </c>
      <c r="D51" s="76" t="s">
        <v>164</v>
      </c>
      <c r="E51" s="78">
        <v>3988</v>
      </c>
      <c r="F51" s="79">
        <f>SUM(E51*5/1000)</f>
        <v>19.940000000000001</v>
      </c>
      <c r="G51" s="13">
        <v>1142.7</v>
      </c>
      <c r="H51" s="80">
        <f t="shared" si="4"/>
        <v>22.785438000000003</v>
      </c>
      <c r="I51" s="13">
        <f>F51/5*G51</f>
        <v>4557.0876000000007</v>
      </c>
      <c r="J51" s="26"/>
      <c r="L51" s="19"/>
      <c r="M51" s="20"/>
      <c r="N51" s="21"/>
    </row>
    <row r="52" spans="1:22" ht="31.5" hidden="1" customHeight="1">
      <c r="A52" s="32">
        <v>19</v>
      </c>
      <c r="B52" s="76" t="s">
        <v>93</v>
      </c>
      <c r="C52" s="77" t="s">
        <v>91</v>
      </c>
      <c r="D52" s="76" t="s">
        <v>42</v>
      </c>
      <c r="E52" s="78">
        <v>3988</v>
      </c>
      <c r="F52" s="79">
        <f>SUM(E52*2/1000)</f>
        <v>7.976</v>
      </c>
      <c r="G52" s="13">
        <v>1213.55</v>
      </c>
      <c r="H52" s="80">
        <f t="shared" si="4"/>
        <v>9.6792748</v>
      </c>
      <c r="I52" s="13">
        <f t="shared" ref="I52:I54" si="6">F52/2*G52</f>
        <v>4839.6373999999996</v>
      </c>
      <c r="J52" s="26"/>
      <c r="L52" s="19"/>
      <c r="M52" s="20"/>
      <c r="N52" s="21"/>
    </row>
    <row r="53" spans="1:22" ht="31.5" hidden="1" customHeight="1">
      <c r="A53" s="32">
        <v>20</v>
      </c>
      <c r="B53" s="76" t="s">
        <v>94</v>
      </c>
      <c r="C53" s="77" t="s">
        <v>37</v>
      </c>
      <c r="D53" s="76" t="s">
        <v>42</v>
      </c>
      <c r="E53" s="78">
        <v>30</v>
      </c>
      <c r="F53" s="79">
        <f>SUM(E53*2/100)</f>
        <v>0.6</v>
      </c>
      <c r="G53" s="13">
        <v>2730.49</v>
      </c>
      <c r="H53" s="80">
        <f>SUM(F53*G53/1000)</f>
        <v>1.6382939999999999</v>
      </c>
      <c r="I53" s="13">
        <f t="shared" si="6"/>
        <v>819.14699999999993</v>
      </c>
      <c r="J53" s="26"/>
      <c r="L53" s="19"/>
      <c r="M53" s="20"/>
      <c r="N53" s="21"/>
    </row>
    <row r="54" spans="1:22" ht="15.75" hidden="1" customHeight="1">
      <c r="A54" s="32">
        <v>19</v>
      </c>
      <c r="B54" s="76" t="s">
        <v>38</v>
      </c>
      <c r="C54" s="77" t="s">
        <v>39</v>
      </c>
      <c r="D54" s="76" t="s">
        <v>42</v>
      </c>
      <c r="E54" s="78">
        <v>1</v>
      </c>
      <c r="F54" s="79">
        <v>0.02</v>
      </c>
      <c r="G54" s="13">
        <v>5652.13</v>
      </c>
      <c r="H54" s="80">
        <f t="shared" si="4"/>
        <v>0.11304260000000001</v>
      </c>
      <c r="I54" s="13">
        <f t="shared" si="6"/>
        <v>56.521300000000004</v>
      </c>
      <c r="J54" s="26"/>
      <c r="L54" s="19"/>
      <c r="M54" s="20"/>
      <c r="N54" s="21"/>
    </row>
    <row r="55" spans="1:22" ht="15.75" hidden="1" customHeight="1">
      <c r="A55" s="32">
        <v>18</v>
      </c>
      <c r="B55" s="76" t="s">
        <v>41</v>
      </c>
      <c r="C55" s="77" t="s">
        <v>110</v>
      </c>
      <c r="D55" s="76" t="s">
        <v>71</v>
      </c>
      <c r="E55" s="78">
        <v>236</v>
      </c>
      <c r="F55" s="79">
        <f>SUM(E55)*3</f>
        <v>708</v>
      </c>
      <c r="G55" s="13">
        <v>65.67</v>
      </c>
      <c r="H55" s="80">
        <f t="shared" si="4"/>
        <v>46.49436</v>
      </c>
      <c r="I55" s="13">
        <f>E55*G55</f>
        <v>15498.12</v>
      </c>
      <c r="J55" s="26"/>
      <c r="L55" s="19"/>
      <c r="M55" s="20"/>
      <c r="N55" s="21"/>
    </row>
    <row r="56" spans="1:22" ht="15.75" customHeight="1">
      <c r="A56" s="206" t="s">
        <v>147</v>
      </c>
      <c r="B56" s="207"/>
      <c r="C56" s="207"/>
      <c r="D56" s="207"/>
      <c r="E56" s="207"/>
      <c r="F56" s="207"/>
      <c r="G56" s="207"/>
      <c r="H56" s="207"/>
      <c r="I56" s="208"/>
      <c r="J56" s="26"/>
      <c r="L56" s="19"/>
      <c r="M56" s="20"/>
      <c r="N56" s="21"/>
    </row>
    <row r="57" spans="1:22" ht="15.75" hidden="1" customHeight="1">
      <c r="A57" s="32"/>
      <c r="B57" s="100" t="s">
        <v>43</v>
      </c>
      <c r="C57" s="77"/>
      <c r="D57" s="76"/>
      <c r="E57" s="78"/>
      <c r="F57" s="79"/>
      <c r="G57" s="79"/>
      <c r="H57" s="80"/>
      <c r="I57" s="13"/>
      <c r="J57" s="26"/>
      <c r="L57" s="19"/>
      <c r="M57" s="20"/>
      <c r="N57" s="21"/>
    </row>
    <row r="58" spans="1:22" ht="31.5" hidden="1" customHeight="1">
      <c r="A58" s="32">
        <v>19</v>
      </c>
      <c r="B58" s="76" t="s">
        <v>131</v>
      </c>
      <c r="C58" s="77" t="s">
        <v>89</v>
      </c>
      <c r="D58" s="76" t="s">
        <v>111</v>
      </c>
      <c r="E58" s="78">
        <v>30</v>
      </c>
      <c r="F58" s="79">
        <f>SUM(E58*6/100)</f>
        <v>1.8</v>
      </c>
      <c r="G58" s="13">
        <v>1547.28</v>
      </c>
      <c r="H58" s="80">
        <f>SUM(F58*G58/1000)</f>
        <v>2.785104</v>
      </c>
      <c r="I58" s="13">
        <f>F58/6*G58</f>
        <v>464.18399999999997</v>
      </c>
      <c r="J58" s="26"/>
      <c r="L58" s="19"/>
    </row>
    <row r="59" spans="1:22" ht="15.75" hidden="1" customHeight="1">
      <c r="A59" s="32">
        <v>20</v>
      </c>
      <c r="B59" s="85" t="s">
        <v>132</v>
      </c>
      <c r="C59" s="86" t="s">
        <v>133</v>
      </c>
      <c r="D59" s="85" t="s">
        <v>42</v>
      </c>
      <c r="E59" s="87">
        <v>6</v>
      </c>
      <c r="F59" s="88">
        <v>12</v>
      </c>
      <c r="G59" s="13">
        <v>180.78</v>
      </c>
      <c r="H59" s="89">
        <f>G59*F59/1000</f>
        <v>2.1693600000000002</v>
      </c>
      <c r="I59" s="13">
        <f>F59/2*G59</f>
        <v>1084.68</v>
      </c>
    </row>
    <row r="60" spans="1:22" ht="15.75" hidden="1" customHeight="1">
      <c r="A60" s="32">
        <v>21</v>
      </c>
      <c r="B60" s="85" t="s">
        <v>134</v>
      </c>
      <c r="C60" s="86" t="s">
        <v>52</v>
      </c>
      <c r="D60" s="85" t="s">
        <v>40</v>
      </c>
      <c r="E60" s="87">
        <v>6</v>
      </c>
      <c r="F60" s="88">
        <f>E60*4/100</f>
        <v>0.24</v>
      </c>
      <c r="G60" s="13">
        <v>1547.28</v>
      </c>
      <c r="H60" s="89">
        <f>G60*F60/1000</f>
        <v>0.37134719999999999</v>
      </c>
      <c r="I60" s="13">
        <f>F60/4*G60</f>
        <v>92.836799999999997</v>
      </c>
    </row>
    <row r="61" spans="1:22" ht="15.75" customHeight="1">
      <c r="A61" s="32"/>
      <c r="B61" s="101" t="s">
        <v>44</v>
      </c>
      <c r="C61" s="86"/>
      <c r="D61" s="85"/>
      <c r="E61" s="87"/>
      <c r="F61" s="88"/>
      <c r="G61" s="13"/>
      <c r="H61" s="89"/>
      <c r="I61" s="13"/>
    </row>
    <row r="62" spans="1:22" ht="15.75" hidden="1" customHeight="1">
      <c r="A62" s="32">
        <v>22</v>
      </c>
      <c r="B62" s="85" t="s">
        <v>135</v>
      </c>
      <c r="C62" s="86" t="s">
        <v>52</v>
      </c>
      <c r="D62" s="85" t="s">
        <v>53</v>
      </c>
      <c r="E62" s="87">
        <v>997</v>
      </c>
      <c r="F62" s="88">
        <v>9.9700000000000006</v>
      </c>
      <c r="G62" s="13">
        <v>793.61</v>
      </c>
      <c r="H62" s="89">
        <f>F62*G62/1000</f>
        <v>7.9122917000000008</v>
      </c>
      <c r="I62" s="13">
        <f>G62*F62</f>
        <v>7912.2917000000007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9"/>
    </row>
    <row r="63" spans="1:22" ht="15.75" customHeight="1">
      <c r="A63" s="32">
        <v>19</v>
      </c>
      <c r="B63" s="85" t="s">
        <v>136</v>
      </c>
      <c r="C63" s="86" t="s">
        <v>25</v>
      </c>
      <c r="D63" s="85" t="s">
        <v>30</v>
      </c>
      <c r="E63" s="87">
        <v>394</v>
      </c>
      <c r="F63" s="90">
        <v>2400</v>
      </c>
      <c r="G63" s="71">
        <v>1.2</v>
      </c>
      <c r="H63" s="88">
        <f>F63*G63/1000</f>
        <v>2.88</v>
      </c>
      <c r="I63" s="13">
        <f>F63/12*G63</f>
        <v>240</v>
      </c>
      <c r="J63" s="28"/>
      <c r="K63" s="28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15.75" customHeight="1">
      <c r="A64" s="32"/>
      <c r="B64" s="101" t="s">
        <v>45</v>
      </c>
      <c r="C64" s="86"/>
      <c r="D64" s="85"/>
      <c r="E64" s="87"/>
      <c r="F64" s="90"/>
      <c r="G64" s="90"/>
      <c r="H64" s="88" t="s">
        <v>150</v>
      </c>
      <c r="I64" s="13"/>
      <c r="J64" s="3"/>
      <c r="K64" s="3"/>
      <c r="L64" s="3"/>
      <c r="M64" s="3"/>
      <c r="N64" s="3"/>
      <c r="O64" s="3"/>
      <c r="P64" s="3"/>
      <c r="Q64" s="3"/>
      <c r="S64" s="3"/>
      <c r="T64" s="3"/>
      <c r="U64" s="3"/>
    </row>
    <row r="65" spans="1:21" ht="14.25" customHeight="1">
      <c r="A65" s="32">
        <v>20</v>
      </c>
      <c r="B65" s="14" t="s">
        <v>46</v>
      </c>
      <c r="C65" s="16" t="s">
        <v>110</v>
      </c>
      <c r="D65" s="76" t="s">
        <v>67</v>
      </c>
      <c r="E65" s="18">
        <v>15</v>
      </c>
      <c r="F65" s="79">
        <v>15</v>
      </c>
      <c r="G65" s="13">
        <v>222.4</v>
      </c>
      <c r="H65" s="91">
        <f t="shared" ref="H65:H78" si="7">SUM(F65*G65/1000)</f>
        <v>3.3359999999999999</v>
      </c>
      <c r="I65" s="13">
        <f>G65*5</f>
        <v>1112</v>
      </c>
      <c r="J65" s="5"/>
      <c r="K65" s="5"/>
      <c r="L65" s="5"/>
      <c r="M65" s="5"/>
      <c r="N65" s="5"/>
      <c r="O65" s="5"/>
      <c r="P65" s="5"/>
      <c r="Q65" s="5"/>
      <c r="R65" s="188"/>
      <c r="S65" s="188"/>
      <c r="T65" s="188"/>
      <c r="U65" s="188"/>
    </row>
    <row r="66" spans="1:21" ht="18" hidden="1" customHeight="1">
      <c r="A66" s="32">
        <v>25</v>
      </c>
      <c r="B66" s="14" t="s">
        <v>47</v>
      </c>
      <c r="C66" s="16" t="s">
        <v>110</v>
      </c>
      <c r="D66" s="76" t="s">
        <v>67</v>
      </c>
      <c r="E66" s="18">
        <v>10</v>
      </c>
      <c r="F66" s="79">
        <v>10</v>
      </c>
      <c r="G66" s="13">
        <v>76.25</v>
      </c>
      <c r="H66" s="91">
        <f t="shared" si="7"/>
        <v>0.76249999999999996</v>
      </c>
      <c r="I66" s="13">
        <f>G66</f>
        <v>76.25</v>
      </c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1" ht="19.5" hidden="1" customHeight="1">
      <c r="A67" s="32"/>
      <c r="B67" s="14" t="s">
        <v>48</v>
      </c>
      <c r="C67" s="16" t="s">
        <v>112</v>
      </c>
      <c r="D67" s="14" t="s">
        <v>53</v>
      </c>
      <c r="E67" s="78">
        <v>28608</v>
      </c>
      <c r="F67" s="13">
        <f>SUM(E67/100)</f>
        <v>286.08</v>
      </c>
      <c r="G67" s="13">
        <v>199.77</v>
      </c>
      <c r="H67" s="91">
        <f t="shared" si="7"/>
        <v>57.150201600000003</v>
      </c>
      <c r="I67" s="13">
        <f>F67*G67</f>
        <v>57150.2016</v>
      </c>
    </row>
    <row r="68" spans="1:21" ht="18.75" hidden="1" customHeight="1">
      <c r="A68" s="32"/>
      <c r="B68" s="14" t="s">
        <v>49</v>
      </c>
      <c r="C68" s="16" t="s">
        <v>113</v>
      </c>
      <c r="D68" s="14"/>
      <c r="E68" s="78">
        <v>28608</v>
      </c>
      <c r="F68" s="13">
        <f>SUM(E68/1000)</f>
        <v>28.608000000000001</v>
      </c>
      <c r="G68" s="13">
        <v>155.57</v>
      </c>
      <c r="H68" s="91">
        <f t="shared" si="7"/>
        <v>4.4505465599999994</v>
      </c>
      <c r="I68" s="13">
        <f t="shared" ref="I68:I72" si="8">F68*G68</f>
        <v>4450.5465599999998</v>
      </c>
    </row>
    <row r="69" spans="1:21" ht="19.5" hidden="1" customHeight="1">
      <c r="A69" s="32"/>
      <c r="B69" s="14" t="s">
        <v>50</v>
      </c>
      <c r="C69" s="16" t="s">
        <v>77</v>
      </c>
      <c r="D69" s="14" t="s">
        <v>53</v>
      </c>
      <c r="E69" s="78">
        <v>4550</v>
      </c>
      <c r="F69" s="13">
        <f>SUM(E69/100)</f>
        <v>45.5</v>
      </c>
      <c r="G69" s="13">
        <v>2074.63</v>
      </c>
      <c r="H69" s="91">
        <f t="shared" si="7"/>
        <v>94.395665000000008</v>
      </c>
      <c r="I69" s="13">
        <f t="shared" si="8"/>
        <v>94395.665000000008</v>
      </c>
    </row>
    <row r="70" spans="1:21" ht="18.75" hidden="1" customHeight="1">
      <c r="A70" s="32"/>
      <c r="B70" s="92" t="s">
        <v>114</v>
      </c>
      <c r="C70" s="16" t="s">
        <v>33</v>
      </c>
      <c r="D70" s="14"/>
      <c r="E70" s="78">
        <v>58.5</v>
      </c>
      <c r="F70" s="13">
        <f>SUM(E70)</f>
        <v>58.5</v>
      </c>
      <c r="G70" s="13">
        <v>45.32</v>
      </c>
      <c r="H70" s="91">
        <f t="shared" si="7"/>
        <v>2.6512199999999999</v>
      </c>
      <c r="I70" s="13">
        <f t="shared" si="8"/>
        <v>2651.22</v>
      </c>
    </row>
    <row r="71" spans="1:21" ht="16.5" hidden="1" customHeight="1">
      <c r="A71" s="32"/>
      <c r="B71" s="92" t="s">
        <v>115</v>
      </c>
      <c r="C71" s="16" t="s">
        <v>33</v>
      </c>
      <c r="D71" s="14"/>
      <c r="E71" s="78">
        <v>58.5</v>
      </c>
      <c r="F71" s="13">
        <f>SUM(E71)</f>
        <v>58.5</v>
      </c>
      <c r="G71" s="13">
        <v>42.28</v>
      </c>
      <c r="H71" s="91">
        <f t="shared" si="7"/>
        <v>2.4733800000000001</v>
      </c>
      <c r="I71" s="13">
        <f t="shared" si="8"/>
        <v>2473.38</v>
      </c>
    </row>
    <row r="72" spans="1:21" ht="15.75" customHeight="1">
      <c r="A72" s="32">
        <v>21</v>
      </c>
      <c r="B72" s="14" t="s">
        <v>57</v>
      </c>
      <c r="C72" s="16" t="s">
        <v>58</v>
      </c>
      <c r="D72" s="14" t="s">
        <v>53</v>
      </c>
      <c r="E72" s="18">
        <v>5</v>
      </c>
      <c r="F72" s="79">
        <v>5</v>
      </c>
      <c r="G72" s="13">
        <v>49.88</v>
      </c>
      <c r="H72" s="91">
        <f t="shared" si="7"/>
        <v>0.24940000000000001</v>
      </c>
      <c r="I72" s="13">
        <f t="shared" si="8"/>
        <v>249.4</v>
      </c>
    </row>
    <row r="73" spans="1:21" ht="15.75" hidden="1" customHeight="1">
      <c r="A73" s="32"/>
      <c r="B73" s="64" t="s">
        <v>72</v>
      </c>
      <c r="C73" s="16"/>
      <c r="D73" s="14"/>
      <c r="E73" s="18"/>
      <c r="F73" s="13"/>
      <c r="G73" s="13"/>
      <c r="H73" s="91" t="s">
        <v>150</v>
      </c>
      <c r="I73" s="13"/>
    </row>
    <row r="74" spans="1:21" ht="15.75" hidden="1" customHeight="1">
      <c r="A74" s="32"/>
      <c r="B74" s="14" t="s">
        <v>73</v>
      </c>
      <c r="C74" s="16" t="s">
        <v>75</v>
      </c>
      <c r="D74" s="14"/>
      <c r="E74" s="18">
        <v>10</v>
      </c>
      <c r="F74" s="13">
        <v>1</v>
      </c>
      <c r="G74" s="13">
        <v>501.62</v>
      </c>
      <c r="H74" s="91">
        <f t="shared" si="7"/>
        <v>0.50161999999999995</v>
      </c>
      <c r="I74" s="13">
        <v>0</v>
      </c>
    </row>
    <row r="75" spans="1:21" ht="15.75" hidden="1" customHeight="1">
      <c r="A75" s="32"/>
      <c r="B75" s="14" t="s">
        <v>74</v>
      </c>
      <c r="C75" s="16" t="s">
        <v>31</v>
      </c>
      <c r="D75" s="14"/>
      <c r="E75" s="18">
        <v>3</v>
      </c>
      <c r="F75" s="71">
        <v>3</v>
      </c>
      <c r="G75" s="13">
        <v>852.99</v>
      </c>
      <c r="H75" s="91">
        <f>F75*G75/1000</f>
        <v>2.5589700000000004</v>
      </c>
      <c r="I75" s="13">
        <v>0</v>
      </c>
    </row>
    <row r="76" spans="1:21" ht="15.75" hidden="1" customHeight="1">
      <c r="A76" s="32"/>
      <c r="B76" s="14" t="s">
        <v>117</v>
      </c>
      <c r="C76" s="16" t="s">
        <v>31</v>
      </c>
      <c r="D76" s="14"/>
      <c r="E76" s="18">
        <v>1</v>
      </c>
      <c r="F76" s="13">
        <v>1</v>
      </c>
      <c r="G76" s="13">
        <v>358.51</v>
      </c>
      <c r="H76" s="91">
        <f>G76*F76/1000</f>
        <v>0.35851</v>
      </c>
      <c r="I76" s="13">
        <v>0</v>
      </c>
    </row>
    <row r="77" spans="1:21" ht="15.75" hidden="1" customHeight="1">
      <c r="A77" s="32"/>
      <c r="B77" s="94" t="s">
        <v>76</v>
      </c>
      <c r="C77" s="16"/>
      <c r="D77" s="14"/>
      <c r="E77" s="18"/>
      <c r="F77" s="13"/>
      <c r="G77" s="13" t="s">
        <v>150</v>
      </c>
      <c r="H77" s="91" t="s">
        <v>150</v>
      </c>
      <c r="I77" s="13"/>
    </row>
    <row r="78" spans="1:21" ht="15.75" hidden="1" customHeight="1">
      <c r="A78" s="32"/>
      <c r="B78" s="47" t="s">
        <v>165</v>
      </c>
      <c r="C78" s="16" t="s">
        <v>77</v>
      </c>
      <c r="D78" s="14"/>
      <c r="E78" s="18"/>
      <c r="F78" s="13">
        <v>1.2</v>
      </c>
      <c r="G78" s="13">
        <v>2759.44</v>
      </c>
      <c r="H78" s="91">
        <f t="shared" si="7"/>
        <v>3.311328</v>
      </c>
      <c r="I78" s="13">
        <v>0</v>
      </c>
    </row>
    <row r="79" spans="1:21" ht="15.75" hidden="1" customHeight="1">
      <c r="A79" s="32"/>
      <c r="B79" s="70" t="s">
        <v>95</v>
      </c>
      <c r="C79" s="70"/>
      <c r="D79" s="70"/>
      <c r="E79" s="70"/>
      <c r="F79" s="70"/>
      <c r="G79" s="82"/>
      <c r="H79" s="95">
        <f>SUM(H58:H78)</f>
        <v>188.31744405999999</v>
      </c>
      <c r="I79" s="82"/>
    </row>
    <row r="80" spans="1:21" ht="15.75" hidden="1" customHeight="1">
      <c r="A80" s="32"/>
      <c r="B80" s="102" t="s">
        <v>116</v>
      </c>
      <c r="C80" s="23"/>
      <c r="D80" s="22"/>
      <c r="E80" s="72"/>
      <c r="F80" s="103">
        <v>1</v>
      </c>
      <c r="G80" s="13">
        <v>23072.1</v>
      </c>
      <c r="H80" s="91">
        <f>G80*F80/1000</f>
        <v>23.072099999999999</v>
      </c>
      <c r="I80" s="13">
        <v>0</v>
      </c>
    </row>
    <row r="81" spans="1:9" ht="15.75" customHeight="1">
      <c r="A81" s="189" t="s">
        <v>148</v>
      </c>
      <c r="B81" s="190"/>
      <c r="C81" s="190"/>
      <c r="D81" s="190"/>
      <c r="E81" s="190"/>
      <c r="F81" s="190"/>
      <c r="G81" s="190"/>
      <c r="H81" s="190"/>
      <c r="I81" s="191"/>
    </row>
    <row r="82" spans="1:9" ht="15.75" customHeight="1">
      <c r="A82" s="32">
        <v>22</v>
      </c>
      <c r="B82" s="76" t="s">
        <v>118</v>
      </c>
      <c r="C82" s="16" t="s">
        <v>54</v>
      </c>
      <c r="D82" s="51" t="s">
        <v>55</v>
      </c>
      <c r="E82" s="13">
        <v>6980.3</v>
      </c>
      <c r="F82" s="13">
        <f>SUM(E82*12)</f>
        <v>83763.600000000006</v>
      </c>
      <c r="G82" s="13">
        <v>2.1</v>
      </c>
      <c r="H82" s="91">
        <f>SUM(F82*G82/1000)</f>
        <v>175.90356000000003</v>
      </c>
      <c r="I82" s="13">
        <f>F82/12*G82</f>
        <v>14658.630000000001</v>
      </c>
    </row>
    <row r="83" spans="1:9" ht="31.5" customHeight="1">
      <c r="A83" s="32">
        <v>23</v>
      </c>
      <c r="B83" s="14" t="s">
        <v>78</v>
      </c>
      <c r="C83" s="16"/>
      <c r="D83" s="51" t="s">
        <v>55</v>
      </c>
      <c r="E83" s="78">
        <f>E82</f>
        <v>6980.3</v>
      </c>
      <c r="F83" s="13">
        <f>E83*12</f>
        <v>83763.600000000006</v>
      </c>
      <c r="G83" s="13">
        <v>1.63</v>
      </c>
      <c r="H83" s="91">
        <f>F83*G83/1000</f>
        <v>136.53466800000001</v>
      </c>
      <c r="I83" s="13">
        <f>F83/12*G83</f>
        <v>11377.888999999999</v>
      </c>
    </row>
    <row r="84" spans="1:9" ht="15.75" customHeight="1">
      <c r="A84" s="32"/>
      <c r="B84" s="40" t="s">
        <v>81</v>
      </c>
      <c r="C84" s="94"/>
      <c r="D84" s="93"/>
      <c r="E84" s="82"/>
      <c r="F84" s="82"/>
      <c r="G84" s="82"/>
      <c r="H84" s="95">
        <f>H83</f>
        <v>136.53466800000001</v>
      </c>
      <c r="I84" s="82">
        <f>I83+I82+I72+I65+I63+I50+I51+I49+I48+I47+I34+I33+I31+I30+I27+I26+I25+I24+I21+I20+I18+I17+I16</f>
        <v>106293.57421788889</v>
      </c>
    </row>
    <row r="85" spans="1:9" ht="15.75" customHeight="1">
      <c r="A85" s="200" t="s">
        <v>60</v>
      </c>
      <c r="B85" s="201"/>
      <c r="C85" s="201"/>
      <c r="D85" s="201"/>
      <c r="E85" s="201"/>
      <c r="F85" s="201"/>
      <c r="G85" s="201"/>
      <c r="H85" s="201"/>
      <c r="I85" s="202"/>
    </row>
    <row r="86" spans="1:9" ht="15.75" customHeight="1">
      <c r="A86" s="32">
        <v>24</v>
      </c>
      <c r="B86" s="50" t="s">
        <v>141</v>
      </c>
      <c r="C86" s="62" t="s">
        <v>85</v>
      </c>
      <c r="D86" s="36"/>
      <c r="E86" s="18"/>
      <c r="F86" s="13">
        <v>8</v>
      </c>
      <c r="G86" s="36">
        <v>203.68</v>
      </c>
      <c r="H86" s="91">
        <f>G86*F86/1000</f>
        <v>1.62944</v>
      </c>
      <c r="I86" s="13">
        <f>G86*2</f>
        <v>407.36</v>
      </c>
    </row>
    <row r="87" spans="1:9" ht="15.75" customHeight="1">
      <c r="A87" s="32" t="s">
        <v>265</v>
      </c>
      <c r="B87" s="50" t="s">
        <v>137</v>
      </c>
      <c r="C87" s="62" t="s">
        <v>110</v>
      </c>
      <c r="D87" s="14"/>
      <c r="E87" s="18"/>
      <c r="F87" s="13">
        <v>1080</v>
      </c>
      <c r="G87" s="13">
        <v>55.55</v>
      </c>
      <c r="H87" s="91">
        <f t="shared" ref="H87" si="9">G87*F87/1000</f>
        <v>59.994</v>
      </c>
      <c r="I87" s="13">
        <f>G87*120</f>
        <v>6666</v>
      </c>
    </row>
    <row r="88" spans="1:9" ht="15.75" customHeight="1">
      <c r="A88" s="32">
        <v>26</v>
      </c>
      <c r="B88" s="50" t="s">
        <v>83</v>
      </c>
      <c r="C88" s="62" t="s">
        <v>110</v>
      </c>
      <c r="D88" s="14"/>
      <c r="E88" s="18"/>
      <c r="F88" s="13"/>
      <c r="G88" s="36">
        <v>197.48</v>
      </c>
      <c r="H88" s="91"/>
      <c r="I88" s="13">
        <f>G88*2</f>
        <v>394.96</v>
      </c>
    </row>
    <row r="89" spans="1:9" ht="30" customHeight="1">
      <c r="A89" s="32">
        <v>27</v>
      </c>
      <c r="B89" s="50" t="s">
        <v>267</v>
      </c>
      <c r="C89" s="62" t="s">
        <v>152</v>
      </c>
      <c r="D89" s="14"/>
      <c r="E89" s="18"/>
      <c r="F89" s="13"/>
      <c r="G89" s="36">
        <v>56.34</v>
      </c>
      <c r="H89" s="91"/>
      <c r="I89" s="13">
        <f>G89*1</f>
        <v>56.34</v>
      </c>
    </row>
    <row r="90" spans="1:9" ht="15.75" customHeight="1">
      <c r="A90" s="32"/>
      <c r="B90" s="45" t="s">
        <v>51</v>
      </c>
      <c r="C90" s="41"/>
      <c r="D90" s="48"/>
      <c r="E90" s="41">
        <v>1</v>
      </c>
      <c r="F90" s="41"/>
      <c r="G90" s="41"/>
      <c r="H90" s="41"/>
      <c r="I90" s="34">
        <f>I89+I88+I86</f>
        <v>858.66</v>
      </c>
    </row>
    <row r="91" spans="1:9">
      <c r="A91" s="32"/>
      <c r="B91" s="47" t="s">
        <v>79</v>
      </c>
      <c r="C91" s="15"/>
      <c r="D91" s="15"/>
      <c r="E91" s="42"/>
      <c r="F91" s="42"/>
      <c r="G91" s="43"/>
      <c r="H91" s="43"/>
      <c r="I91" s="17">
        <v>0</v>
      </c>
    </row>
    <row r="92" spans="1:9">
      <c r="A92" s="49"/>
      <c r="B92" s="46" t="s">
        <v>179</v>
      </c>
      <c r="C92" s="35"/>
      <c r="D92" s="35"/>
      <c r="E92" s="35"/>
      <c r="F92" s="35"/>
      <c r="G92" s="35"/>
      <c r="H92" s="35"/>
      <c r="I92" s="44">
        <f>I84+I90</f>
        <v>107152.23421788889</v>
      </c>
    </row>
    <row r="93" spans="1:9">
      <c r="A93" s="215" t="s">
        <v>266</v>
      </c>
      <c r="B93" s="216"/>
      <c r="C93" s="216"/>
      <c r="D93" s="216"/>
      <c r="E93" s="216"/>
      <c r="F93" s="216"/>
      <c r="G93" s="216"/>
      <c r="H93" s="216"/>
      <c r="I93" s="216"/>
    </row>
    <row r="94" spans="1:9" ht="15.75">
      <c r="A94" s="192" t="s">
        <v>268</v>
      </c>
      <c r="B94" s="192"/>
      <c r="C94" s="192"/>
      <c r="D94" s="192"/>
      <c r="E94" s="192"/>
      <c r="F94" s="192"/>
      <c r="G94" s="192"/>
      <c r="H94" s="192"/>
      <c r="I94" s="192"/>
    </row>
    <row r="95" spans="1:9" ht="15.75" customHeight="1">
      <c r="A95" s="60"/>
      <c r="B95" s="193" t="s">
        <v>269</v>
      </c>
      <c r="C95" s="193"/>
      <c r="D95" s="193"/>
      <c r="E95" s="193"/>
      <c r="F95" s="193"/>
      <c r="G95" s="193"/>
      <c r="H95" s="75"/>
      <c r="I95" s="3"/>
    </row>
    <row r="96" spans="1:9">
      <c r="A96" s="69"/>
      <c r="B96" s="194" t="s">
        <v>6</v>
      </c>
      <c r="C96" s="194"/>
      <c r="D96" s="194"/>
      <c r="E96" s="194"/>
      <c r="F96" s="194"/>
      <c r="G96" s="194"/>
      <c r="H96" s="27"/>
      <c r="I96" s="5"/>
    </row>
    <row r="97" spans="1:9">
      <c r="A97" s="10"/>
      <c r="B97" s="10"/>
      <c r="C97" s="10"/>
      <c r="D97" s="10"/>
      <c r="E97" s="10"/>
      <c r="F97" s="10"/>
      <c r="G97" s="10"/>
      <c r="H97" s="10"/>
      <c r="I97" s="10"/>
    </row>
    <row r="98" spans="1:9" ht="15.75">
      <c r="A98" s="195" t="s">
        <v>7</v>
      </c>
      <c r="B98" s="195"/>
      <c r="C98" s="195"/>
      <c r="D98" s="195"/>
      <c r="E98" s="195"/>
      <c r="F98" s="195"/>
      <c r="G98" s="195"/>
      <c r="H98" s="195"/>
      <c r="I98" s="195"/>
    </row>
    <row r="99" spans="1:9" ht="15.75">
      <c r="A99" s="195" t="s">
        <v>8</v>
      </c>
      <c r="B99" s="195"/>
      <c r="C99" s="195"/>
      <c r="D99" s="195"/>
      <c r="E99" s="195"/>
      <c r="F99" s="195"/>
      <c r="G99" s="195"/>
      <c r="H99" s="195"/>
      <c r="I99" s="195"/>
    </row>
    <row r="100" spans="1:9" ht="15.75">
      <c r="A100" s="196" t="s">
        <v>61</v>
      </c>
      <c r="B100" s="196"/>
      <c r="C100" s="196"/>
      <c r="D100" s="196"/>
      <c r="E100" s="196"/>
      <c r="F100" s="196"/>
      <c r="G100" s="196"/>
      <c r="H100" s="196"/>
      <c r="I100" s="196"/>
    </row>
    <row r="101" spans="1:9" ht="15.75">
      <c r="A101" s="11"/>
    </row>
    <row r="102" spans="1:9" ht="15.75">
      <c r="A102" s="197" t="s">
        <v>9</v>
      </c>
      <c r="B102" s="197"/>
      <c r="C102" s="197"/>
      <c r="D102" s="197"/>
      <c r="E102" s="197"/>
      <c r="F102" s="197"/>
      <c r="G102" s="197"/>
      <c r="H102" s="197"/>
      <c r="I102" s="197"/>
    </row>
    <row r="103" spans="1:9" ht="15.75" customHeight="1">
      <c r="A103" s="4"/>
    </row>
    <row r="104" spans="1:9" ht="15.75" customHeight="1">
      <c r="B104" s="66" t="s">
        <v>10</v>
      </c>
      <c r="C104" s="198" t="s">
        <v>142</v>
      </c>
      <c r="D104" s="198"/>
      <c r="E104" s="198"/>
      <c r="F104" s="73"/>
      <c r="I104" s="68"/>
    </row>
    <row r="105" spans="1:9" ht="15.75" customHeight="1">
      <c r="A105" s="69"/>
      <c r="C105" s="194" t="s">
        <v>11</v>
      </c>
      <c r="D105" s="194"/>
      <c r="E105" s="194"/>
      <c r="F105" s="27"/>
      <c r="I105" s="67" t="s">
        <v>12</v>
      </c>
    </row>
    <row r="106" spans="1:9" ht="15.75" customHeight="1">
      <c r="A106" s="28"/>
      <c r="C106" s="12"/>
      <c r="D106" s="12"/>
      <c r="G106" s="12"/>
      <c r="H106" s="12"/>
    </row>
    <row r="107" spans="1:9" ht="15.75">
      <c r="B107" s="66" t="s">
        <v>13</v>
      </c>
      <c r="C107" s="199"/>
      <c r="D107" s="199"/>
      <c r="E107" s="199"/>
      <c r="F107" s="74"/>
      <c r="I107" s="68"/>
    </row>
    <row r="108" spans="1:9">
      <c r="A108" s="69"/>
      <c r="C108" s="188" t="s">
        <v>11</v>
      </c>
      <c r="D108" s="188"/>
      <c r="E108" s="188"/>
      <c r="F108" s="69"/>
      <c r="I108" s="67" t="s">
        <v>12</v>
      </c>
    </row>
    <row r="109" spans="1:9" ht="15.75">
      <c r="A109" s="4" t="s">
        <v>14</v>
      </c>
    </row>
    <row r="110" spans="1:9">
      <c r="A110" s="186" t="s">
        <v>15</v>
      </c>
      <c r="B110" s="186"/>
      <c r="C110" s="186"/>
      <c r="D110" s="186"/>
      <c r="E110" s="186"/>
      <c r="F110" s="186"/>
      <c r="G110" s="186"/>
      <c r="H110" s="186"/>
      <c r="I110" s="186"/>
    </row>
    <row r="111" spans="1:9" ht="45" customHeight="1">
      <c r="A111" s="187" t="s">
        <v>16</v>
      </c>
      <c r="B111" s="187"/>
      <c r="C111" s="187"/>
      <c r="D111" s="187"/>
      <c r="E111" s="187"/>
      <c r="F111" s="187"/>
      <c r="G111" s="187"/>
      <c r="H111" s="187"/>
      <c r="I111" s="187"/>
    </row>
    <row r="112" spans="1:9" ht="30" customHeight="1">
      <c r="A112" s="187" t="s">
        <v>17</v>
      </c>
      <c r="B112" s="187"/>
      <c r="C112" s="187"/>
      <c r="D112" s="187"/>
      <c r="E112" s="187"/>
      <c r="F112" s="187"/>
      <c r="G112" s="187"/>
      <c r="H112" s="187"/>
      <c r="I112" s="187"/>
    </row>
    <row r="113" spans="1:9" ht="30" customHeight="1">
      <c r="A113" s="187" t="s">
        <v>21</v>
      </c>
      <c r="B113" s="187"/>
      <c r="C113" s="187"/>
      <c r="D113" s="187"/>
      <c r="E113" s="187"/>
      <c r="F113" s="187"/>
      <c r="G113" s="187"/>
      <c r="H113" s="187"/>
      <c r="I113" s="187"/>
    </row>
    <row r="114" spans="1:9" ht="15" customHeight="1">
      <c r="A114" s="187" t="s">
        <v>20</v>
      </c>
      <c r="B114" s="187"/>
      <c r="C114" s="187"/>
      <c r="D114" s="187"/>
      <c r="E114" s="187"/>
      <c r="F114" s="187"/>
      <c r="G114" s="187"/>
      <c r="H114" s="187"/>
      <c r="I114" s="187"/>
    </row>
  </sheetData>
  <autoFilter ref="I12:I60"/>
  <mergeCells count="30">
    <mergeCell ref="A111:I111"/>
    <mergeCell ref="A112:I112"/>
    <mergeCell ref="A113:I113"/>
    <mergeCell ref="A114:I114"/>
    <mergeCell ref="A102:I102"/>
    <mergeCell ref="C104:E104"/>
    <mergeCell ref="C105:E105"/>
    <mergeCell ref="C107:E107"/>
    <mergeCell ref="C108:E108"/>
    <mergeCell ref="A110:I110"/>
    <mergeCell ref="A100:I100"/>
    <mergeCell ref="A15:I15"/>
    <mergeCell ref="A28:I28"/>
    <mergeCell ref="A46:I46"/>
    <mergeCell ref="A56:I56"/>
    <mergeCell ref="A85:I85"/>
    <mergeCell ref="A94:I94"/>
    <mergeCell ref="B95:G95"/>
    <mergeCell ref="B96:G96"/>
    <mergeCell ref="A98:I98"/>
    <mergeCell ref="A99:I99"/>
    <mergeCell ref="A93:I93"/>
    <mergeCell ref="R65:U65"/>
    <mergeCell ref="A81:I81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16</vt:i4>
      </vt:variant>
    </vt:vector>
  </HeadingPairs>
  <TitlesOfParts>
    <vt:vector size="28" baseType="lpstr">
      <vt:lpstr>01.18</vt:lpstr>
      <vt:lpstr>02.18</vt:lpstr>
      <vt:lpstr>03.18</vt:lpstr>
      <vt:lpstr>04.18</vt:lpstr>
      <vt:lpstr>05.18</vt:lpstr>
      <vt:lpstr>06.18</vt:lpstr>
      <vt:lpstr>07.18</vt:lpstr>
      <vt:lpstr>08.18</vt:lpstr>
      <vt:lpstr>09.18</vt:lpstr>
      <vt:lpstr>10.18</vt:lpstr>
      <vt:lpstr>11.18</vt:lpstr>
      <vt:lpstr>12.18</vt:lpstr>
      <vt:lpstr>'04.18'!Заголовки_для_печати</vt:lpstr>
      <vt:lpstr>'10.18'!Заголовки_для_печати</vt:lpstr>
      <vt:lpstr>'11.18'!Заголовки_для_печати</vt:lpstr>
      <vt:lpstr>'12.18'!Заголовки_для_печати</vt:lpstr>
      <vt:lpstr>'01.18'!Область_печати</vt:lpstr>
      <vt:lpstr>'02.18'!Область_печати</vt:lpstr>
      <vt:lpstr>'03.18'!Область_печати</vt:lpstr>
      <vt:lpstr>'04.18'!Область_печати</vt:lpstr>
      <vt:lpstr>'05.18'!Область_печати</vt:lpstr>
      <vt:lpstr>'06.18'!Область_печати</vt:lpstr>
      <vt:lpstr>'07.18'!Область_печати</vt:lpstr>
      <vt:lpstr>'08.18'!Область_печати</vt:lpstr>
      <vt:lpstr>'09.18'!Область_печати</vt:lpstr>
      <vt:lpstr>'10.18'!Область_печати</vt:lpstr>
      <vt:lpstr>'11.18'!Область_печати</vt:lpstr>
      <vt:lpstr>'12.18'!Область_печати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2019-01-29T10:09:29Z</cp:lastPrinted>
  <dcterms:created xsi:type="dcterms:W3CDTF">2016-03-25T08:33:47Z</dcterms:created>
  <dcterms:modified xsi:type="dcterms:W3CDTF">2019-01-29T10:09:50Z</dcterms:modified>
</cp:coreProperties>
</file>