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540" windowWidth="15495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0" hidden="1">'01.16'!$I$12:$I$61</definedName>
    <definedName name="_xlnm._FilterDatabase" localSheetId="1" hidden="1">'02.16'!$I$12:$I$61</definedName>
    <definedName name="_xlnm._FilterDatabase" localSheetId="2" hidden="1">'03.16'!$I$12:$I$61</definedName>
    <definedName name="_xlnm._FilterDatabase" localSheetId="3" hidden="1">'04.16'!$I$12:$I$61</definedName>
    <definedName name="_xlnm._FilterDatabase" localSheetId="4" hidden="1">'05.16'!$I$12:$I$61</definedName>
    <definedName name="_xlnm._FilterDatabase" localSheetId="5" hidden="1">'06.16'!$I$12:$I$61</definedName>
    <definedName name="_xlnm._FilterDatabase" localSheetId="6" hidden="1">'07.16'!$I$12:$I$61</definedName>
    <definedName name="_xlnm._FilterDatabase" localSheetId="7" hidden="1">'08.16'!$I$12:$I$61</definedName>
    <definedName name="_xlnm._FilterDatabase" localSheetId="8" hidden="1">'09.16'!$I$12:$I$61</definedName>
    <definedName name="_xlnm._FilterDatabase" localSheetId="9" hidden="1">'10.16'!$I$12:$I$61</definedName>
    <definedName name="_xlnm._FilterDatabase" localSheetId="11" hidden="1">'12.16'!$G$12:$G$66</definedName>
    <definedName name="_xlnm.Print_Titles" localSheetId="4">'05.16'!$12:$13</definedName>
    <definedName name="_xlnm.Print_Area" localSheetId="0">'01.16'!$A$1:$I$142</definedName>
    <definedName name="_xlnm.Print_Area" localSheetId="1">'02.16'!$A$1:$I$117</definedName>
    <definedName name="_xlnm.Print_Area" localSheetId="2">'03.16'!$A$1:$I$134</definedName>
    <definedName name="_xlnm.Print_Area" localSheetId="3">'04.16'!$A$1:$I$136</definedName>
    <definedName name="_xlnm.Print_Area" localSheetId="4">'05.16'!$A$1:$I$126</definedName>
    <definedName name="_xlnm.Print_Area" localSheetId="5">'06.16'!$A$1:$I$134</definedName>
    <definedName name="_xlnm.Print_Area" localSheetId="6">'07.16'!$A$1:$I$117</definedName>
    <definedName name="_xlnm.Print_Area" localSheetId="7">'08.16'!$A$1:$I$112</definedName>
    <definedName name="_xlnm.Print_Area" localSheetId="8">'09.16'!$A$1:$I$134</definedName>
    <definedName name="_xlnm.Print_Area" localSheetId="9">'10.16'!$A$1:$I$134</definedName>
    <definedName name="_xlnm.Print_Area" localSheetId="10">'11.16'!$A$1:$G$115</definedName>
    <definedName name="_xlnm.Print_Area" localSheetId="11">'12.16'!$A$1:$G$116</definedName>
  </definedNames>
  <calcPr calcId="124519"/>
</workbook>
</file>

<file path=xl/calcChain.xml><?xml version="1.0" encoding="utf-8"?>
<calcChain xmlns="http://schemas.openxmlformats.org/spreadsheetml/2006/main">
  <c r="G90" i="8"/>
  <c r="G89"/>
  <c r="G88"/>
  <c r="G93" s="1"/>
  <c r="G92"/>
  <c r="G90" i="16"/>
  <c r="G92" s="1"/>
  <c r="G88"/>
  <c r="H110" i="26"/>
  <c r="H109"/>
  <c r="H108"/>
  <c r="H107"/>
  <c r="H106"/>
  <c r="H105"/>
  <c r="H104"/>
  <c r="F103"/>
  <c r="H103" s="1"/>
  <c r="H102"/>
  <c r="H101"/>
  <c r="H100"/>
  <c r="H99"/>
  <c r="H98"/>
  <c r="H97"/>
  <c r="H96"/>
  <c r="H95"/>
  <c r="H94"/>
  <c r="H93"/>
  <c r="H92"/>
  <c r="H91"/>
  <c r="H90"/>
  <c r="H89"/>
  <c r="H88"/>
  <c r="H87"/>
  <c r="H86"/>
  <c r="I111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0" i="25"/>
  <c r="I65"/>
  <c r="I53"/>
  <c r="H110"/>
  <c r="H109"/>
  <c r="H108"/>
  <c r="H107"/>
  <c r="H106"/>
  <c r="H105"/>
  <c r="H104"/>
  <c r="F103"/>
  <c r="H103" s="1"/>
  <c r="H102"/>
  <c r="H101"/>
  <c r="H100"/>
  <c r="H99"/>
  <c r="H98"/>
  <c r="H97"/>
  <c r="H96"/>
  <c r="H95"/>
  <c r="H94"/>
  <c r="H93"/>
  <c r="H92"/>
  <c r="H91"/>
  <c r="H90"/>
  <c r="H89"/>
  <c r="H88"/>
  <c r="H87"/>
  <c r="H86"/>
  <c r="I111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8" i="24"/>
  <c r="I84"/>
  <c r="I87"/>
  <c r="I86"/>
  <c r="I74"/>
  <c r="I65"/>
  <c r="H88"/>
  <c r="F87"/>
  <c r="H87" s="1"/>
  <c r="H86"/>
  <c r="I89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93" i="23"/>
  <c r="I92"/>
  <c r="I91"/>
  <c r="I90"/>
  <c r="I89"/>
  <c r="I88"/>
  <c r="I87"/>
  <c r="I86"/>
  <c r="I74"/>
  <c r="I65"/>
  <c r="H93"/>
  <c r="H92"/>
  <c r="H91"/>
  <c r="H90"/>
  <c r="H89"/>
  <c r="H88"/>
  <c r="H87"/>
  <c r="H86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110" i="22"/>
  <c r="H109"/>
  <c r="H108"/>
  <c r="H107"/>
  <c r="H106"/>
  <c r="H105"/>
  <c r="H104"/>
  <c r="F103"/>
  <c r="H103" s="1"/>
  <c r="H102"/>
  <c r="H101"/>
  <c r="H100"/>
  <c r="H99"/>
  <c r="H98"/>
  <c r="H97"/>
  <c r="H96"/>
  <c r="H95"/>
  <c r="H94"/>
  <c r="H93"/>
  <c r="H92"/>
  <c r="H91"/>
  <c r="H90"/>
  <c r="H89"/>
  <c r="H88"/>
  <c r="H87"/>
  <c r="H86"/>
  <c r="I111"/>
  <c r="E83"/>
  <c r="F83" s="1"/>
  <c r="H82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102" i="21"/>
  <c r="I101"/>
  <c r="I100"/>
  <c r="I99"/>
  <c r="I98"/>
  <c r="I97"/>
  <c r="I96"/>
  <c r="I95"/>
  <c r="I94"/>
  <c r="I93"/>
  <c r="I92"/>
  <c r="I89"/>
  <c r="I90"/>
  <c r="I91"/>
  <c r="I88"/>
  <c r="I83" i="26" l="1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H20" i="25"/>
  <c r="I48"/>
  <c r="I46"/>
  <c r="I49"/>
  <c r="I47"/>
  <c r="I51"/>
  <c r="I52"/>
  <c r="I83"/>
  <c r="H83"/>
  <c r="H84" s="1"/>
  <c r="I16"/>
  <c r="H17"/>
  <c r="I18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I83" i="24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I94" i="23"/>
  <c r="H17"/>
  <c r="I83"/>
  <c r="H83"/>
  <c r="H84" s="1"/>
  <c r="I16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H63" i="22"/>
  <c r="H70"/>
  <c r="H34"/>
  <c r="H68"/>
  <c r="H59"/>
  <c r="H79" s="1"/>
  <c r="H50"/>
  <c r="H40"/>
  <c r="H42"/>
  <c r="I83"/>
  <c r="H83"/>
  <c r="H84" s="1"/>
  <c r="I16"/>
  <c r="H17"/>
  <c r="I18"/>
  <c r="H20"/>
  <c r="I21"/>
  <c r="I27"/>
  <c r="H28"/>
  <c r="I31"/>
  <c r="H32"/>
  <c r="I33"/>
  <c r="I41"/>
  <c r="I43"/>
  <c r="I57"/>
  <c r="I67"/>
  <c r="I69"/>
  <c r="I71"/>
  <c r="I87" i="21"/>
  <c r="I86"/>
  <c r="I75"/>
  <c r="I74"/>
  <c r="I26"/>
  <c r="H102"/>
  <c r="H101"/>
  <c r="F100"/>
  <c r="H100" s="1"/>
  <c r="H99"/>
  <c r="H98"/>
  <c r="H97"/>
  <c r="H96"/>
  <c r="H95"/>
  <c r="H94"/>
  <c r="H93"/>
  <c r="H92"/>
  <c r="H91"/>
  <c r="H90"/>
  <c r="H89"/>
  <c r="H88"/>
  <c r="H87"/>
  <c r="H86"/>
  <c r="I103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7" i="20"/>
  <c r="I86"/>
  <c r="I65"/>
  <c r="H112"/>
  <c r="H111"/>
  <c r="H110"/>
  <c r="H109"/>
  <c r="H108"/>
  <c r="H107"/>
  <c r="H106"/>
  <c r="F105"/>
  <c r="H105" s="1"/>
  <c r="H104"/>
  <c r="H103"/>
  <c r="H102"/>
  <c r="H101"/>
  <c r="H100"/>
  <c r="H99"/>
  <c r="H98"/>
  <c r="H97"/>
  <c r="H96"/>
  <c r="H95"/>
  <c r="H94"/>
  <c r="H93"/>
  <c r="H92"/>
  <c r="H91"/>
  <c r="H90"/>
  <c r="H89"/>
  <c r="H88"/>
  <c r="F87"/>
  <c r="H87" s="1"/>
  <c r="H86"/>
  <c r="I113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65" i="19"/>
  <c r="H110"/>
  <c r="H109"/>
  <c r="H108"/>
  <c r="H107"/>
  <c r="H106"/>
  <c r="H105"/>
  <c r="H104"/>
  <c r="F103"/>
  <c r="H103" s="1"/>
  <c r="H102"/>
  <c r="H101"/>
  <c r="H100"/>
  <c r="H99"/>
  <c r="H98"/>
  <c r="H97"/>
  <c r="H96"/>
  <c r="H95"/>
  <c r="H94"/>
  <c r="H93"/>
  <c r="H92"/>
  <c r="H91"/>
  <c r="H90"/>
  <c r="H89"/>
  <c r="H88"/>
  <c r="H87"/>
  <c r="H86"/>
  <c r="I111"/>
  <c r="E83"/>
  <c r="F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4" i="18"/>
  <c r="I92"/>
  <c r="I93"/>
  <c r="I91"/>
  <c r="I90"/>
  <c r="I88"/>
  <c r="I87"/>
  <c r="I86"/>
  <c r="I74"/>
  <c r="I65"/>
  <c r="I53"/>
  <c r="H93"/>
  <c r="H92"/>
  <c r="H91"/>
  <c r="H90"/>
  <c r="I89"/>
  <c r="H89"/>
  <c r="H88"/>
  <c r="H87"/>
  <c r="H86"/>
  <c r="E83"/>
  <c r="F83" s="1"/>
  <c r="I83" s="1"/>
  <c r="F82"/>
  <c r="I82" s="1"/>
  <c r="H80"/>
  <c r="H78"/>
  <c r="H76"/>
  <c r="H75"/>
  <c r="H74"/>
  <c r="I72"/>
  <c r="H72"/>
  <c r="F71"/>
  <c r="H71" s="1"/>
  <c r="F70"/>
  <c r="I70" s="1"/>
  <c r="F69"/>
  <c r="H69" s="1"/>
  <c r="F68"/>
  <c r="I68" s="1"/>
  <c r="F67"/>
  <c r="H67" s="1"/>
  <c r="H66"/>
  <c r="H65"/>
  <c r="F63"/>
  <c r="I63" s="1"/>
  <c r="F62"/>
  <c r="H62" s="1"/>
  <c r="H60"/>
  <c r="F59"/>
  <c r="I59" s="1"/>
  <c r="F58"/>
  <c r="H58" s="1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H39"/>
  <c r="I38"/>
  <c r="H38"/>
  <c r="H36"/>
  <c r="H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84" i="17"/>
  <c r="I121" s="1"/>
  <c r="I119"/>
  <c r="I72"/>
  <c r="I84" i="26" l="1"/>
  <c r="H79"/>
  <c r="I113"/>
  <c r="I84" i="25"/>
  <c r="H79"/>
  <c r="I113"/>
  <c r="H79" i="24"/>
  <c r="I91"/>
  <c r="I84" i="23"/>
  <c r="H79"/>
  <c r="I96"/>
  <c r="I84" i="22"/>
  <c r="I113"/>
  <c r="I19" i="21"/>
  <c r="I24"/>
  <c r="I46"/>
  <c r="I48"/>
  <c r="I22"/>
  <c r="I25"/>
  <c r="I23"/>
  <c r="I49"/>
  <c r="I47"/>
  <c r="I83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I52" i="20"/>
  <c r="I51"/>
  <c r="I83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I83" i="19"/>
  <c r="H83"/>
  <c r="H84" s="1"/>
  <c r="I16"/>
  <c r="H17"/>
  <c r="I18"/>
  <c r="H20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H17" i="18"/>
  <c r="H20"/>
  <c r="I94"/>
  <c r="I16"/>
  <c r="I18"/>
  <c r="I21"/>
  <c r="I27"/>
  <c r="H28"/>
  <c r="I31"/>
  <c r="H32"/>
  <c r="I33"/>
  <c r="H34"/>
  <c r="H40"/>
  <c r="I41"/>
  <c r="H42"/>
  <c r="I43"/>
  <c r="H50"/>
  <c r="I57"/>
  <c r="H59"/>
  <c r="H63"/>
  <c r="I67"/>
  <c r="H68"/>
  <c r="I69"/>
  <c r="H70"/>
  <c r="I71"/>
  <c r="H82"/>
  <c r="H83"/>
  <c r="H84" s="1"/>
  <c r="I84" i="21" l="1"/>
  <c r="H79"/>
  <c r="I105"/>
  <c r="I84" i="20"/>
  <c r="H79"/>
  <c r="I115"/>
  <c r="I84" i="19"/>
  <c r="H79"/>
  <c r="I113"/>
  <c r="H79" i="18"/>
  <c r="I96"/>
  <c r="H118" i="17" l="1"/>
  <c r="H117"/>
  <c r="H116"/>
  <c r="H115"/>
  <c r="H114"/>
  <c r="H113"/>
  <c r="H112"/>
  <c r="F111"/>
  <c r="H111" s="1"/>
  <c r="H110"/>
  <c r="H109"/>
  <c r="H108"/>
  <c r="H107"/>
  <c r="H106"/>
  <c r="H105"/>
  <c r="H104"/>
  <c r="H103"/>
  <c r="H102"/>
  <c r="H101"/>
  <c r="H100"/>
  <c r="H99"/>
  <c r="H98"/>
  <c r="H97"/>
  <c r="H96"/>
  <c r="H95"/>
  <c r="H94"/>
  <c r="I93"/>
  <c r="H93"/>
  <c r="I92"/>
  <c r="H92"/>
  <c r="I91"/>
  <c r="F91"/>
  <c r="H91" s="1"/>
  <c r="I90"/>
  <c r="H90"/>
  <c r="I89"/>
  <c r="H89"/>
  <c r="I88"/>
  <c r="H88"/>
  <c r="I87"/>
  <c r="H87"/>
  <c r="I86"/>
  <c r="H86"/>
  <c r="E83"/>
  <c r="F83" s="1"/>
  <c r="F82"/>
  <c r="I82" s="1"/>
  <c r="H80"/>
  <c r="H78"/>
  <c r="H76"/>
  <c r="H75"/>
  <c r="H74"/>
  <c r="H72"/>
  <c r="F71"/>
  <c r="F70"/>
  <c r="F69"/>
  <c r="F68"/>
  <c r="F67"/>
  <c r="H66"/>
  <c r="H65"/>
  <c r="F63"/>
  <c r="H63" s="1"/>
  <c r="F62"/>
  <c r="H62" s="1"/>
  <c r="H60"/>
  <c r="F59"/>
  <c r="H59" s="1"/>
  <c r="F58"/>
  <c r="H58" s="1"/>
  <c r="F57"/>
  <c r="I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F40"/>
  <c r="H40" s="1"/>
  <c r="H39"/>
  <c r="I38"/>
  <c r="H38"/>
  <c r="F28"/>
  <c r="I28" s="1"/>
  <c r="H36"/>
  <c r="H35"/>
  <c r="F27"/>
  <c r="H27" s="1"/>
  <c r="F34"/>
  <c r="F33"/>
  <c r="F32"/>
  <c r="F31"/>
  <c r="H26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68" l="1"/>
  <c r="I68"/>
  <c r="H70"/>
  <c r="I70"/>
  <c r="H67"/>
  <c r="I67"/>
  <c r="H69"/>
  <c r="I69"/>
  <c r="H71"/>
  <c r="I71"/>
  <c r="H34"/>
  <c r="I34"/>
  <c r="H31"/>
  <c r="I31"/>
  <c r="H33"/>
  <c r="I33"/>
  <c r="H32"/>
  <c r="I32"/>
  <c r="H82"/>
  <c r="I83"/>
  <c r="H83"/>
  <c r="H84" s="1"/>
  <c r="H16"/>
  <c r="I17"/>
  <c r="H18"/>
  <c r="I20"/>
  <c r="H21"/>
  <c r="I27"/>
  <c r="H28"/>
  <c r="I40"/>
  <c r="H41"/>
  <c r="I42"/>
  <c r="H43"/>
  <c r="H50"/>
  <c r="H57"/>
  <c r="H79" s="1"/>
  <c r="I59"/>
  <c r="I63"/>
  <c r="G84" i="8" l="1"/>
  <c r="G62"/>
  <c r="E32"/>
  <c r="G84" i="16"/>
  <c r="G95" i="8" l="1"/>
  <c r="G94" i="16" l="1"/>
  <c r="G62"/>
  <c r="E32"/>
</calcChain>
</file>

<file path=xl/sharedStrings.xml><?xml version="1.0" encoding="utf-8"?>
<sst xmlns="http://schemas.openxmlformats.org/spreadsheetml/2006/main" count="2984" uniqueCount="246">
  <si>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</si>
  <si>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</si>
  <si>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</si>
  <si>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</si>
  <si>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</si>
  <si>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</si>
  <si>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</si>
  <si>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</si>
  <si>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</si>
  <si>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</si>
  <si>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</si>
  <si>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</si>
  <si>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</si>
  <si>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</si>
  <si>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</si>
  <si>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</si>
  <si>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</si>
  <si>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</si>
  <si>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</si>
  <si>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</si>
  <si>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</si>
  <si>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</si>
  <si>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</si>
  <si>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</si>
  <si>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</si>
  <si>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</si>
  <si>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</si>
  <si>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</si>
  <si>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</si>
  <si>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</si>
  <si>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</si>
  <si>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</si>
  <si>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</si>
  <si>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</si>
  <si>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</si>
  <si>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</si>
  <si>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</si>
  <si>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</si>
  <si>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</si>
  <si>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</si>
  <si>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</si>
  <si>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</si>
  <si>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</si>
  <si>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</si>
  <si>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</si>
  <si>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</si>
  <si>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</si>
  <si>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</si>
  <si>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</si>
  <si>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</si>
  <si>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</si>
  <si>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</si>
  <si>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</si>
  <si>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</si>
  <si>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</si>
  <si>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</si>
  <si>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</si>
  <si>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</si>
  <si>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</si>
  <si>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</si>
  <si>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</si>
  <si>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</si>
  <si>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</si>
  <si>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</si>
  <si>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Проведение технических осмотров и мелкий ремонт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</si>
  <si>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</si>
  <si>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</si>
  <si>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</si>
  <si>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</si>
  <si>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</si>
  <si>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</si>
  <si>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</si>
  <si>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</si>
  <si>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</si>
  <si>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</si>
  <si>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</si>
  <si>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</si>
  <si>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</si>
  <si>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</si>
  <si>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</si>
  <si>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</si>
  <si>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</si>
  <si>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</si>
  <si>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</si>
  <si>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</si>
  <si>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</si>
  <si>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</si>
  <si>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</si>
  <si>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</si>
  <si>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</si>
  <si>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</si>
  <si>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</si>
  <si>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</si>
  <si>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</si>
  <si>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</si>
  <si>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</si>
  <si>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</si>
  <si>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</si>
  <si>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</si>
  <si>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</si>
  <si>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</si>
  <si>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</si>
  <si>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</si>
  <si>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</si>
  <si>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</si>
  <si>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</si>
  <si>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</si>
  <si>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</si>
  <si>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</si>
  <si>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</si>
  <si>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</si>
  <si>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</si>
  <si>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</si>
  <si>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</si>
  <si>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</si>
  <si>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</si>
  <si>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</si>
  <si>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</si>
  <si>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</si>
  <si>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</si>
  <si>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</si>
  <si>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</si>
  <si>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</si>
  <si>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</si>
  <si>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</si>
  <si>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</si>
  <si>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1 раз в месяц (5 раз за сезон)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</si>
  <si>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</si>
  <si>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</si>
  <si>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</si>
  <si>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</si>
  <si>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</si>
  <si>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</si>
  <si>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</si>
  <si>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</si>
  <si>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</si>
  <si>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АКТ №12</t>
  </si>
  <si>
    <t>за период с 01.12.2016 г. по 31.12.2016 г.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</si>
  <si>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</si>
  <si>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</si>
  <si>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</si>
  <si>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ежедневно 365 раз</t>
  </si>
  <si>
    <t>Подметание территории с усовершенствованным покрытием асф.: крыльца, контейнерн пл., проезд, тротуар</t>
  </si>
  <si>
    <t>Очистка  от мусора</t>
  </si>
  <si>
    <t>Дератизация</t>
  </si>
  <si>
    <t>Влажная протирка шкафов для щитов и слаботочн.ус.</t>
  </si>
  <si>
    <t>Прочистка каналов</t>
  </si>
  <si>
    <t xml:space="preserve">2 раза в месяц 24 раза в год </t>
  </si>
  <si>
    <t>1 шт</t>
  </si>
  <si>
    <t>1 раз в 2  месяца</t>
  </si>
  <si>
    <t>Вывоз снега с придомовой территории</t>
  </si>
  <si>
    <t>1м3</t>
  </si>
  <si>
    <t>по мере необходимости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</si>
  <si>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</si>
  <si>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</si>
  <si>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</si>
  <si>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</si>
  <si>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</si>
  <si>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</si>
  <si>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</si>
  <si>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</si>
  <si>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Смена внутренних трубопроводов из стальных труб диаметром до 32 мм</t>
  </si>
  <si>
    <t>Смена арматуры - вентилей и клапанов обратных муфтовых диаметром до 20 мм</t>
  </si>
  <si>
    <t>Внеплановый осмотр электросетей, армазуры и электрооборудования на лестничных клетках</t>
  </si>
  <si>
    <t xml:space="preserve">Внеплановая проверка вентканалов 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</si>
  <si>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ул.Советская пгт.Ярега
</t>
  </si>
  <si>
    <t>Устройство хомута диаметром до 50 мм</t>
  </si>
  <si>
    <t>Утепление трубопроводов минеральной ватой</t>
  </si>
  <si>
    <t>1 м3</t>
  </si>
  <si>
    <r>
      <t xml:space="preserve">    Собственники помещений в многоквартирном доме, расположенном по адресу: пгт.Ярега, ул.Строительная, д.9,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</si>
  <si>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9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</t>
    </r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</si>
  <si>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</si>
  <si>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</si>
  <si>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</si>
  <si>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</si>
  <si>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III. Содержание общего имущества МКД</t>
  </si>
  <si>
    <t>IV. Прочие услуги</t>
  </si>
  <si>
    <t>АКТ №1</t>
  </si>
  <si>
    <t xml:space="preserve">2 раза в месяц   24 раза в год </t>
  </si>
  <si>
    <t xml:space="preserve">Смена сгонов у трубопроводов диаметром до 20 мм </t>
  </si>
  <si>
    <t>1 сгон</t>
  </si>
  <si>
    <t>Смена трубопроводов на металл-полимерные трубы диаметром до 20мм</t>
  </si>
  <si>
    <t>м</t>
  </si>
  <si>
    <t>Мелкий ремонт электропроводки</t>
  </si>
  <si>
    <t>Смена отдельных участков внутренней проводки</t>
  </si>
  <si>
    <t>Смена выключателей</t>
  </si>
  <si>
    <t>Смена частей водосточных труб - отливы</t>
  </si>
  <si>
    <t>Установка железной двери (вход на крышу 2п.)</t>
  </si>
  <si>
    <t>тыс.руб.</t>
  </si>
  <si>
    <t>Ремонт квартиры после затопления ГВС (кв.36)</t>
  </si>
  <si>
    <t>Смена вентилей диаметром до 32 мм (без материалов)</t>
  </si>
  <si>
    <t xml:space="preserve">Смена полиэтиленовых канализационных труб 110×1000 мм </t>
  </si>
  <si>
    <t xml:space="preserve">Смена полиэтиленовых канализационных труб 110×2000 мм </t>
  </si>
  <si>
    <t>Манжета 100</t>
  </si>
  <si>
    <t>Переход чугун-пластик 100</t>
  </si>
  <si>
    <t>Муфта 100</t>
  </si>
  <si>
    <t>Патрубок компенсационный 100</t>
  </si>
  <si>
    <t>Смена трубопроводов на полиропиленовые трубы PN25 диаметром 25 мм</t>
  </si>
  <si>
    <t>Смена трубопроводов на полиропиленовые трубы PN20 диаметром 25 мм</t>
  </si>
  <si>
    <t>Смена трубопроводов на полиропиленовые трубы PN25 диаметром 20 мм</t>
  </si>
  <si>
    <t>Настройка таймера освещения ТО-2</t>
  </si>
  <si>
    <t>100шт</t>
  </si>
  <si>
    <t>Ремонт силового предохранительного шкафа (без стоимости материалов)</t>
  </si>
  <si>
    <t>Ремонт ограждений контейнерной площадки</t>
  </si>
  <si>
    <t xml:space="preserve">Герметизация стыков трубопроводов    </t>
  </si>
  <si>
    <t>1 место</t>
  </si>
  <si>
    <t>Смена отдельных участков наружной проводки</t>
  </si>
  <si>
    <t>Смена патронов</t>
  </si>
  <si>
    <t>Ремонт лотка ливневки</t>
  </si>
  <si>
    <t>Отвод 100×90°</t>
  </si>
  <si>
    <t>Отвод 100×45°</t>
  </si>
  <si>
    <t>5 раз в год</t>
  </si>
  <si>
    <t>2. Всего за период с 01.01.2016 по 31.01.2016 выполнено работ (оказано услуг) на общую сумму: 62030,67 руб.</t>
  </si>
  <si>
    <t>(шестьдесят две тысячи тридцать рублей 67 копеек)</t>
  </si>
  <si>
    <t>АКТ №2</t>
  </si>
  <si>
    <t>2. Всего за период с 01.02.2016 по 29.02.2016 выполнено работ (оказано услуг) на общую сумму: 59462,55 руб.</t>
  </si>
  <si>
    <t>(пятьдесят девять тысяч четыреста шестьдесят два рубля 55 копеек)</t>
  </si>
  <si>
    <t>АКТ №3</t>
  </si>
  <si>
    <t>2. Всего за период с 01.03.2016 по 31.03.2016 выполнено работ (оказано услуг) на общую сумму: 41692,42 руб.</t>
  </si>
  <si>
    <t>(сорок одна тысяча шестьсот девяносто два рубля 42 копейки)</t>
  </si>
  <si>
    <t>АКТ №4</t>
  </si>
  <si>
    <t>2. Всего за период с 01.04.2016 по 30.04.2016 выполнено работ (оказано услуг) на общую сумму: 53482,94 руб.</t>
  </si>
  <si>
    <t>(пятьдесят три тысячи четыреста восемьдесят два рубля 94 копейки)</t>
  </si>
  <si>
    <t>АКТ №5</t>
  </si>
  <si>
    <t>2. Всего за период с 01.05.2016 по 31.05.2016 выполнено работ (оказано услуг) на общую сумму: 112186,70 руб.</t>
  </si>
  <si>
    <t>(сто двенадцать тысяч сто восемьдесят шесть рублей 70 копеек)</t>
  </si>
  <si>
    <t>АКТ №6</t>
  </si>
  <si>
    <t>2. Всего за период с 01.06.2016 по 30.06.2016 выполнено работ (оказано услуг) на общую сумму: 37109,38 руб.</t>
  </si>
  <si>
    <t>(тридцать семь тысяч сто девять рублей 38 копеек)</t>
  </si>
  <si>
    <t>АКТ №7</t>
  </si>
  <si>
    <t>2. Всего за период с 01.07.2016 по 31.07.2016 выполнено работ (оказано услуг) на общую сумму: 39999,43 руб.</t>
  </si>
  <si>
    <t>(тридцать девять тысяч девятьсот девяносто девять рублей 43 копейки)</t>
  </si>
  <si>
    <t>АКТ №8</t>
  </si>
  <si>
    <t>2. Всего за период с 01.08.2016 по 31.08.2016 выполнено работ (оказано услуг) на общую сумму: 107286,52 руб.</t>
  </si>
  <si>
    <t>(сто семь тысяч двести восемьдесят шесть рублей 52 копейки)</t>
  </si>
  <si>
    <t>АКТ №9</t>
  </si>
  <si>
    <t>2. Всего за период с 01.09.2016 по 30.09.2016 выполнено работ (оказано услуг) на общую сумму: 50936,56 руб.</t>
  </si>
  <si>
    <t>(пятьдесят тысяч девятьсот тридцать шесть рублей 56 копеек)</t>
  </si>
  <si>
    <t>АКТ №10</t>
  </si>
  <si>
    <t>2. Всего за период с 01.10.2016 по 31.10.2016 выполнено работ (оказано услуг) на общую сумму: 37109,38 руб.</t>
  </si>
  <si>
    <t>Ремонт и регулировка доводчика (со стоимостью доводчика)</t>
  </si>
  <si>
    <t>1шт.</t>
  </si>
  <si>
    <t>2. Всего за период с 01.11.2016 по 30.11.2016 выполнено работ (оказано услуг) на общую сумму: 47146,60 руб.</t>
  </si>
  <si>
    <t>(сорок семь тысяч сто сорок шесть рублей 60 копеек)</t>
  </si>
  <si>
    <t>2. Всего за период с 01.12.2016 по 31.12.2016 выполнено работ (оказано услуг) на общую сумму: 45358,85 руб.</t>
  </si>
  <si>
    <t>(сорок пять тысяч триста пятьдесят восемь рублей 85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</si>
</sst>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1" fillId="3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2" fontId="11" fillId="0" borderId="1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/>
    </xf>
    <xf numFmtId="0" fontId="14" fillId="0" borderId="3" xfId="0" applyFont="1" applyBorder="1" applyAlignment="1"/>
    <xf numFmtId="0" fontId="11" fillId="5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2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177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84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42400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7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hidden="1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hidden="1" customHeight="1">
      <c r="A32" s="38">
        <v>9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hidden="1" customHeight="1">
      <c r="A34" s="38">
        <v>10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customHeight="1">
      <c r="A50" s="38">
        <v>14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v>0</v>
      </c>
      <c r="J53" s="32"/>
      <c r="L53" s="25"/>
      <c r="M53" s="26"/>
      <c r="N53" s="27"/>
    </row>
    <row r="54" spans="1:22" ht="15.75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172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18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hidden="1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hidden="1" customHeight="1">
      <c r="A74" s="38"/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v>0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173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19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20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I16+I17+I18+I20+I21+I27+I28+I38+I40+I41+I42+I43+I44+I50+I54+I57+I59+I63+I82+I83</f>
        <v>48810.877610000003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15.75" customHeight="1">
      <c r="A86" s="38">
        <v>21</v>
      </c>
      <c r="B86" s="81" t="s">
        <v>166</v>
      </c>
      <c r="C86" s="106" t="s">
        <v>96</v>
      </c>
      <c r="D86" s="18"/>
      <c r="E86" s="23"/>
      <c r="F86" s="16">
        <v>5</v>
      </c>
      <c r="G86" s="16">
        <v>185.81</v>
      </c>
      <c r="H86" s="146">
        <f>G86*F86/1000</f>
        <v>0.92904999999999993</v>
      </c>
      <c r="I86" s="16">
        <f>G86*3</f>
        <v>557.43000000000006</v>
      </c>
    </row>
    <row r="87" spans="1:9" ht="15.75" customHeight="1">
      <c r="A87" s="38">
        <v>22</v>
      </c>
      <c r="B87" s="81" t="s">
        <v>179</v>
      </c>
      <c r="C87" s="106" t="s">
        <v>180</v>
      </c>
      <c r="D87" s="18"/>
      <c r="E87" s="23"/>
      <c r="F87" s="16">
        <v>1</v>
      </c>
      <c r="G87" s="16">
        <v>195.95</v>
      </c>
      <c r="H87" s="146">
        <f>G87*F87/1000</f>
        <v>0.19594999999999999</v>
      </c>
      <c r="I87" s="16">
        <f>G87</f>
        <v>195.95</v>
      </c>
    </row>
    <row r="88" spans="1:9" ht="31.5" customHeight="1">
      <c r="A88" s="38">
        <v>23</v>
      </c>
      <c r="B88" s="81" t="s">
        <v>162</v>
      </c>
      <c r="C88" s="106" t="s">
        <v>148</v>
      </c>
      <c r="D88" s="18"/>
      <c r="E88" s="23"/>
      <c r="F88" s="16">
        <v>3</v>
      </c>
      <c r="G88" s="16">
        <v>559.62</v>
      </c>
      <c r="H88" s="146">
        <f>G88*F88/1000</f>
        <v>1.67886</v>
      </c>
      <c r="I88" s="16">
        <f>G88</f>
        <v>559.62</v>
      </c>
    </row>
    <row r="89" spans="1:9" ht="31.5" customHeight="1">
      <c r="A89" s="38">
        <v>24</v>
      </c>
      <c r="B89" s="81" t="s">
        <v>181</v>
      </c>
      <c r="C89" s="106" t="s">
        <v>182</v>
      </c>
      <c r="D89" s="67"/>
      <c r="E89" s="16"/>
      <c r="F89" s="16">
        <v>11</v>
      </c>
      <c r="G89" s="16">
        <v>2057</v>
      </c>
      <c r="H89" s="146">
        <f t="shared" ref="H89:H118" si="7">G89*F89/1000</f>
        <v>22.626999999999999</v>
      </c>
      <c r="I89" s="16">
        <f>G89*5.5</f>
        <v>11313.5</v>
      </c>
    </row>
    <row r="90" spans="1:9" ht="15.75" customHeight="1">
      <c r="A90" s="38">
        <v>25</v>
      </c>
      <c r="B90" s="81" t="s">
        <v>91</v>
      </c>
      <c r="C90" s="106" t="s">
        <v>127</v>
      </c>
      <c r="D90" s="67"/>
      <c r="E90" s="16"/>
      <c r="F90" s="16">
        <v>8</v>
      </c>
      <c r="G90" s="16">
        <v>180.15</v>
      </c>
      <c r="H90" s="146">
        <f t="shared" si="7"/>
        <v>1.4412</v>
      </c>
      <c r="I90" s="16">
        <f>G90*2</f>
        <v>360.3</v>
      </c>
    </row>
    <row r="91" spans="1:9" ht="31.5" customHeight="1">
      <c r="A91" s="38">
        <v>26</v>
      </c>
      <c r="B91" s="81" t="s">
        <v>163</v>
      </c>
      <c r="C91" s="106" t="s">
        <v>37</v>
      </c>
      <c r="D91" s="67"/>
      <c r="E91" s="16"/>
      <c r="F91" s="16">
        <f>7/100</f>
        <v>7.0000000000000007E-2</v>
      </c>
      <c r="G91" s="16">
        <v>3397.65</v>
      </c>
      <c r="H91" s="146">
        <f t="shared" si="7"/>
        <v>0.23783550000000003</v>
      </c>
      <c r="I91" s="16">
        <f>G91*0.04</f>
        <v>135.90600000000001</v>
      </c>
    </row>
    <row r="92" spans="1:9" ht="31.5" customHeight="1">
      <c r="A92" s="38">
        <v>27</v>
      </c>
      <c r="B92" s="81" t="s">
        <v>85</v>
      </c>
      <c r="C92" s="106" t="s">
        <v>127</v>
      </c>
      <c r="D92" s="67"/>
      <c r="E92" s="16"/>
      <c r="F92" s="16">
        <v>4</v>
      </c>
      <c r="G92" s="16">
        <v>79.09</v>
      </c>
      <c r="H92" s="146">
        <f t="shared" si="7"/>
        <v>0.31636000000000003</v>
      </c>
      <c r="I92" s="16">
        <f>G92</f>
        <v>79.09</v>
      </c>
    </row>
    <row r="93" spans="1:9" ht="15.75" customHeight="1">
      <c r="A93" s="38">
        <v>28</v>
      </c>
      <c r="B93" s="81" t="s">
        <v>183</v>
      </c>
      <c r="C93" s="168" t="s">
        <v>88</v>
      </c>
      <c r="D93" s="67"/>
      <c r="E93" s="16"/>
      <c r="F93" s="16">
        <v>1</v>
      </c>
      <c r="G93" s="16">
        <v>18</v>
      </c>
      <c r="H93" s="146">
        <f t="shared" si="7"/>
        <v>1.7999999999999999E-2</v>
      </c>
      <c r="I93" s="16">
        <f>G93</f>
        <v>18</v>
      </c>
    </row>
    <row r="94" spans="1:9" ht="15.75" hidden="1" customHeight="1">
      <c r="A94" s="38"/>
      <c r="B94" s="81" t="s">
        <v>184</v>
      </c>
      <c r="C94" s="106" t="s">
        <v>182</v>
      </c>
      <c r="D94" s="67"/>
      <c r="E94" s="16"/>
      <c r="F94" s="16">
        <v>5</v>
      </c>
      <c r="G94" s="16">
        <v>129.04</v>
      </c>
      <c r="H94" s="146">
        <f t="shared" si="7"/>
        <v>0.64519999999999988</v>
      </c>
      <c r="I94" s="16">
        <v>0</v>
      </c>
    </row>
    <row r="95" spans="1:9" ht="15.75" hidden="1" customHeight="1">
      <c r="A95" s="38"/>
      <c r="B95" s="81" t="s">
        <v>185</v>
      </c>
      <c r="C95" s="106" t="s">
        <v>127</v>
      </c>
      <c r="D95" s="67"/>
      <c r="E95" s="16"/>
      <c r="F95" s="16">
        <v>1</v>
      </c>
      <c r="G95" s="16">
        <v>124.25</v>
      </c>
      <c r="H95" s="146">
        <f t="shared" si="7"/>
        <v>0.12425</v>
      </c>
      <c r="I95" s="16">
        <v>0</v>
      </c>
    </row>
    <row r="96" spans="1:9" ht="15.75" hidden="1" customHeight="1">
      <c r="A96" s="38"/>
      <c r="B96" s="148" t="s">
        <v>186</v>
      </c>
      <c r="C96" s="106" t="s">
        <v>148</v>
      </c>
      <c r="D96" s="67"/>
      <c r="E96" s="16"/>
      <c r="F96" s="16">
        <v>1</v>
      </c>
      <c r="G96" s="16">
        <v>2292.96</v>
      </c>
      <c r="H96" s="146">
        <f t="shared" si="7"/>
        <v>2.2929599999999999</v>
      </c>
      <c r="I96" s="16">
        <v>0</v>
      </c>
    </row>
    <row r="97" spans="1:9" ht="15.75" hidden="1" customHeight="1">
      <c r="A97" s="38"/>
      <c r="B97" s="81" t="s">
        <v>187</v>
      </c>
      <c r="C97" s="106" t="s">
        <v>188</v>
      </c>
      <c r="D97" s="67"/>
      <c r="E97" s="16"/>
      <c r="F97" s="16">
        <v>1</v>
      </c>
      <c r="G97" s="16">
        <v>8279</v>
      </c>
      <c r="H97" s="146">
        <f t="shared" si="7"/>
        <v>8.2789999999999999</v>
      </c>
      <c r="I97" s="16">
        <v>0</v>
      </c>
    </row>
    <row r="98" spans="1:9" ht="15.75" hidden="1" customHeight="1">
      <c r="A98" s="38"/>
      <c r="B98" s="81" t="s">
        <v>189</v>
      </c>
      <c r="C98" s="106" t="s">
        <v>188</v>
      </c>
      <c r="D98" s="67"/>
      <c r="E98" s="16"/>
      <c r="F98" s="16">
        <v>1</v>
      </c>
      <c r="G98" s="16">
        <v>7522</v>
      </c>
      <c r="H98" s="146">
        <f t="shared" si="7"/>
        <v>7.5220000000000002</v>
      </c>
      <c r="I98" s="16"/>
    </row>
    <row r="99" spans="1:9" ht="15.75" hidden="1" customHeight="1">
      <c r="A99" s="38"/>
      <c r="B99" s="81" t="s">
        <v>190</v>
      </c>
      <c r="C99" s="106" t="s">
        <v>148</v>
      </c>
      <c r="D99" s="67"/>
      <c r="E99" s="16"/>
      <c r="F99" s="16">
        <v>1</v>
      </c>
      <c r="G99" s="16">
        <v>625.07000000000005</v>
      </c>
      <c r="H99" s="146">
        <f t="shared" si="7"/>
        <v>0.62507000000000001</v>
      </c>
      <c r="I99" s="16">
        <v>0</v>
      </c>
    </row>
    <row r="100" spans="1:9" ht="31.5" hidden="1" customHeight="1">
      <c r="A100" s="38"/>
      <c r="B100" s="81" t="s">
        <v>191</v>
      </c>
      <c r="C100" s="106" t="s">
        <v>88</v>
      </c>
      <c r="D100" s="67"/>
      <c r="E100" s="16"/>
      <c r="F100" s="16">
        <v>3</v>
      </c>
      <c r="G100" s="16">
        <v>771.29</v>
      </c>
      <c r="H100" s="146">
        <f t="shared" si="7"/>
        <v>2.3138700000000001</v>
      </c>
      <c r="I100" s="16">
        <v>0</v>
      </c>
    </row>
    <row r="101" spans="1:9" ht="31.5" hidden="1" customHeight="1">
      <c r="A101" s="38"/>
      <c r="B101" s="81" t="s">
        <v>192</v>
      </c>
      <c r="C101" s="106" t="s">
        <v>88</v>
      </c>
      <c r="D101" s="67"/>
      <c r="E101" s="16"/>
      <c r="F101" s="16">
        <v>2</v>
      </c>
      <c r="G101" s="16">
        <v>960.74</v>
      </c>
      <c r="H101" s="146">
        <f t="shared" si="7"/>
        <v>1.9214800000000001</v>
      </c>
      <c r="I101" s="16">
        <v>0</v>
      </c>
    </row>
    <row r="102" spans="1:9" ht="15.75" hidden="1" customHeight="1">
      <c r="A102" s="38"/>
      <c r="B102" s="81" t="s">
        <v>193</v>
      </c>
      <c r="C102" s="106" t="s">
        <v>127</v>
      </c>
      <c r="D102" s="67"/>
      <c r="E102" s="16"/>
      <c r="F102" s="16">
        <v>2</v>
      </c>
      <c r="G102" s="16">
        <v>27.36</v>
      </c>
      <c r="H102" s="146">
        <f t="shared" si="7"/>
        <v>5.4719999999999998E-2</v>
      </c>
      <c r="I102" s="16">
        <v>0</v>
      </c>
    </row>
    <row r="103" spans="1:9" ht="15.75" hidden="1" customHeight="1">
      <c r="A103" s="38"/>
      <c r="B103" s="81" t="s">
        <v>209</v>
      </c>
      <c r="C103" s="106" t="s">
        <v>127</v>
      </c>
      <c r="D103" s="67"/>
      <c r="E103" s="16"/>
      <c r="F103" s="16">
        <v>2</v>
      </c>
      <c r="G103" s="16">
        <v>50.01</v>
      </c>
      <c r="H103" s="146">
        <f t="shared" si="7"/>
        <v>0.10002</v>
      </c>
      <c r="I103" s="16">
        <v>0</v>
      </c>
    </row>
    <row r="104" spans="1:9" ht="15.75" hidden="1" customHeight="1">
      <c r="A104" s="38"/>
      <c r="B104" s="81" t="s">
        <v>210</v>
      </c>
      <c r="C104" s="106" t="s">
        <v>127</v>
      </c>
      <c r="D104" s="67"/>
      <c r="E104" s="16"/>
      <c r="F104" s="16">
        <v>1</v>
      </c>
      <c r="G104" s="16">
        <v>47.59</v>
      </c>
      <c r="H104" s="146">
        <f t="shared" si="7"/>
        <v>4.759E-2</v>
      </c>
      <c r="I104" s="16">
        <v>0</v>
      </c>
    </row>
    <row r="105" spans="1:9" ht="15.75" hidden="1" customHeight="1">
      <c r="A105" s="38"/>
      <c r="B105" s="81" t="s">
        <v>194</v>
      </c>
      <c r="C105" s="106" t="s">
        <v>127</v>
      </c>
      <c r="D105" s="67"/>
      <c r="E105" s="16"/>
      <c r="F105" s="16">
        <v>5</v>
      </c>
      <c r="G105" s="16">
        <v>109.73</v>
      </c>
      <c r="H105" s="146">
        <f t="shared" si="7"/>
        <v>0.54864999999999997</v>
      </c>
      <c r="I105" s="16">
        <v>0</v>
      </c>
    </row>
    <row r="106" spans="1:9" ht="15.75" hidden="1" customHeight="1">
      <c r="A106" s="38"/>
      <c r="B106" s="81" t="s">
        <v>195</v>
      </c>
      <c r="C106" s="106" t="s">
        <v>127</v>
      </c>
      <c r="D106" s="67"/>
      <c r="E106" s="16"/>
      <c r="F106" s="16">
        <v>2</v>
      </c>
      <c r="G106" s="16">
        <v>61.81</v>
      </c>
      <c r="H106" s="146">
        <f t="shared" si="7"/>
        <v>0.12362000000000001</v>
      </c>
      <c r="I106" s="16">
        <v>0</v>
      </c>
    </row>
    <row r="107" spans="1:9" ht="15.75" hidden="1" customHeight="1">
      <c r="A107" s="38"/>
      <c r="B107" s="81" t="s">
        <v>196</v>
      </c>
      <c r="C107" s="106" t="s">
        <v>127</v>
      </c>
      <c r="D107" s="67"/>
      <c r="E107" s="16"/>
      <c r="F107" s="16">
        <v>4</v>
      </c>
      <c r="G107" s="16">
        <v>78.89</v>
      </c>
      <c r="H107" s="146">
        <f t="shared" si="7"/>
        <v>0.31556000000000001</v>
      </c>
      <c r="I107" s="16">
        <v>0</v>
      </c>
    </row>
    <row r="108" spans="1:9" ht="31.5" hidden="1" customHeight="1">
      <c r="A108" s="38"/>
      <c r="B108" s="81" t="s">
        <v>197</v>
      </c>
      <c r="C108" s="106" t="s">
        <v>182</v>
      </c>
      <c r="D108" s="67"/>
      <c r="E108" s="16"/>
      <c r="F108" s="16">
        <v>4</v>
      </c>
      <c r="G108" s="16">
        <v>1272</v>
      </c>
      <c r="H108" s="146">
        <f t="shared" si="7"/>
        <v>5.0880000000000001</v>
      </c>
      <c r="I108" s="16">
        <v>0</v>
      </c>
    </row>
    <row r="109" spans="1:9" ht="31.5" hidden="1" customHeight="1">
      <c r="A109" s="38"/>
      <c r="B109" s="81" t="s">
        <v>198</v>
      </c>
      <c r="C109" s="106" t="s">
        <v>182</v>
      </c>
      <c r="D109" s="67"/>
      <c r="E109" s="16"/>
      <c r="F109" s="16">
        <v>4</v>
      </c>
      <c r="G109" s="16">
        <v>1206</v>
      </c>
      <c r="H109" s="146">
        <f>G109*F109/1000</f>
        <v>4.8239999999999998</v>
      </c>
      <c r="I109" s="16">
        <v>0</v>
      </c>
    </row>
    <row r="110" spans="1:9" ht="31.5" hidden="1" customHeight="1">
      <c r="A110" s="38"/>
      <c r="B110" s="81" t="s">
        <v>199</v>
      </c>
      <c r="C110" s="106" t="s">
        <v>182</v>
      </c>
      <c r="D110" s="67"/>
      <c r="E110" s="16"/>
      <c r="F110" s="16">
        <v>2</v>
      </c>
      <c r="G110" s="16">
        <v>1187</v>
      </c>
      <c r="H110" s="146">
        <f t="shared" si="7"/>
        <v>2.3740000000000001</v>
      </c>
      <c r="I110" s="16">
        <v>0</v>
      </c>
    </row>
    <row r="111" spans="1:9" ht="15.75" hidden="1" customHeight="1">
      <c r="A111" s="38"/>
      <c r="B111" s="81" t="s">
        <v>200</v>
      </c>
      <c r="C111" s="106" t="s">
        <v>201</v>
      </c>
      <c r="D111" s="18"/>
      <c r="E111" s="23"/>
      <c r="F111" s="16">
        <f>1/100</f>
        <v>0.01</v>
      </c>
      <c r="G111" s="16">
        <v>7033.13</v>
      </c>
      <c r="H111" s="146">
        <f t="shared" si="7"/>
        <v>7.0331299999999999E-2</v>
      </c>
      <c r="I111" s="16">
        <v>0</v>
      </c>
    </row>
    <row r="112" spans="1:9" ht="31.5" hidden="1" customHeight="1">
      <c r="A112" s="38"/>
      <c r="B112" s="81" t="s">
        <v>202</v>
      </c>
      <c r="C112" s="106" t="s">
        <v>127</v>
      </c>
      <c r="D112" s="18"/>
      <c r="E112" s="23"/>
      <c r="F112" s="16">
        <v>1</v>
      </c>
      <c r="G112" s="16">
        <v>2179.33</v>
      </c>
      <c r="H112" s="146">
        <f t="shared" si="7"/>
        <v>2.1793299999999998</v>
      </c>
      <c r="I112" s="16">
        <v>0</v>
      </c>
    </row>
    <row r="113" spans="1:9" ht="15.75" hidden="1" customHeight="1">
      <c r="A113" s="38"/>
      <c r="B113" s="81" t="s">
        <v>203</v>
      </c>
      <c r="C113" s="106" t="s">
        <v>188</v>
      </c>
      <c r="D113" s="18"/>
      <c r="E113" s="23"/>
      <c r="F113" s="16">
        <v>1</v>
      </c>
      <c r="G113" s="16">
        <v>302</v>
      </c>
      <c r="H113" s="146">
        <f t="shared" si="7"/>
        <v>0.30199999999999999</v>
      </c>
      <c r="I113" s="16">
        <v>0</v>
      </c>
    </row>
    <row r="114" spans="1:9" ht="15.75" hidden="1" customHeight="1">
      <c r="A114" s="38"/>
      <c r="B114" s="81" t="s">
        <v>204</v>
      </c>
      <c r="C114" s="168" t="s">
        <v>205</v>
      </c>
      <c r="D114" s="67"/>
      <c r="E114" s="16"/>
      <c r="F114" s="16">
        <v>1</v>
      </c>
      <c r="G114" s="16">
        <v>286.55</v>
      </c>
      <c r="H114" s="146">
        <f>G114*F114/1000</f>
        <v>0.28655000000000003</v>
      </c>
      <c r="I114" s="16">
        <v>0</v>
      </c>
    </row>
    <row r="115" spans="1:9" ht="15.75" hidden="1" customHeight="1">
      <c r="A115" s="38"/>
      <c r="B115" s="81" t="s">
        <v>206</v>
      </c>
      <c r="C115" s="106" t="s">
        <v>182</v>
      </c>
      <c r="D115" s="18"/>
      <c r="E115" s="23"/>
      <c r="F115" s="16">
        <v>10</v>
      </c>
      <c r="G115" s="16">
        <v>83.63</v>
      </c>
      <c r="H115" s="146">
        <f t="shared" si="7"/>
        <v>0.83629999999999993</v>
      </c>
      <c r="I115" s="16">
        <v>0</v>
      </c>
    </row>
    <row r="116" spans="1:9" ht="15.75" hidden="1" customHeight="1">
      <c r="A116" s="38"/>
      <c r="B116" s="81" t="s">
        <v>207</v>
      </c>
      <c r="C116" s="106" t="s">
        <v>127</v>
      </c>
      <c r="D116" s="18"/>
      <c r="E116" s="23"/>
      <c r="F116" s="16">
        <v>1</v>
      </c>
      <c r="G116" s="16">
        <v>149.63999999999999</v>
      </c>
      <c r="H116" s="146">
        <f t="shared" si="7"/>
        <v>0.14964</v>
      </c>
      <c r="I116" s="16">
        <v>0</v>
      </c>
    </row>
    <row r="117" spans="1:9" ht="15.75" hidden="1" customHeight="1">
      <c r="A117" s="38"/>
      <c r="B117" s="148" t="s">
        <v>97</v>
      </c>
      <c r="C117" s="106" t="s">
        <v>127</v>
      </c>
      <c r="D117" s="18"/>
      <c r="E117" s="23"/>
      <c r="F117" s="16">
        <v>1</v>
      </c>
      <c r="G117" s="16">
        <v>179.96</v>
      </c>
      <c r="H117" s="146">
        <f t="shared" si="7"/>
        <v>0.17996000000000001</v>
      </c>
      <c r="I117" s="16">
        <v>0</v>
      </c>
    </row>
    <row r="118" spans="1:9" ht="15.75" hidden="1" customHeight="1">
      <c r="A118" s="38"/>
      <c r="B118" s="148" t="s">
        <v>208</v>
      </c>
      <c r="C118" s="106" t="s">
        <v>188</v>
      </c>
      <c r="D118" s="18"/>
      <c r="E118" s="23"/>
      <c r="F118" s="16">
        <v>1</v>
      </c>
      <c r="G118" s="16">
        <v>60121</v>
      </c>
      <c r="H118" s="146">
        <f t="shared" si="7"/>
        <v>60.121000000000002</v>
      </c>
      <c r="I118" s="16">
        <v>0</v>
      </c>
    </row>
    <row r="119" spans="1:9" ht="15.75" customHeight="1">
      <c r="A119" s="38"/>
      <c r="B119" s="61" t="s">
        <v>50</v>
      </c>
      <c r="C119" s="57"/>
      <c r="D119" s="71"/>
      <c r="E119" s="57">
        <v>1</v>
      </c>
      <c r="F119" s="57"/>
      <c r="G119" s="57"/>
      <c r="H119" s="57"/>
      <c r="I119" s="40">
        <f>SUM(I86:I118)</f>
        <v>13219.796</v>
      </c>
    </row>
    <row r="120" spans="1:9" ht="15.75" customHeight="1">
      <c r="A120" s="38"/>
      <c r="B120" s="67" t="s">
        <v>83</v>
      </c>
      <c r="C120" s="19"/>
      <c r="D120" s="19"/>
      <c r="E120" s="58"/>
      <c r="F120" s="58"/>
      <c r="G120" s="59"/>
      <c r="H120" s="59"/>
      <c r="I120" s="22">
        <v>0</v>
      </c>
    </row>
    <row r="121" spans="1:9" ht="15.75" customHeight="1">
      <c r="A121" s="72"/>
      <c r="B121" s="62" t="s">
        <v>51</v>
      </c>
      <c r="C121" s="46"/>
      <c r="D121" s="46"/>
      <c r="E121" s="46"/>
      <c r="F121" s="46"/>
      <c r="G121" s="46"/>
      <c r="H121" s="46"/>
      <c r="I121" s="60">
        <f>I84+I119</f>
        <v>62030.673610000005</v>
      </c>
    </row>
    <row r="122" spans="1:9" ht="15.75" customHeight="1">
      <c r="A122" s="124" t="s">
        <v>212</v>
      </c>
      <c r="B122" s="124"/>
      <c r="C122" s="124"/>
      <c r="D122" s="124"/>
      <c r="E122" s="124"/>
      <c r="F122" s="124"/>
      <c r="G122" s="124"/>
      <c r="H122" s="124"/>
      <c r="I122" s="124"/>
    </row>
    <row r="123" spans="1:9" ht="15.75" customHeight="1">
      <c r="A123" s="113"/>
      <c r="B123" s="125" t="s">
        <v>213</v>
      </c>
      <c r="C123" s="125"/>
      <c r="D123" s="125"/>
      <c r="E123" s="125"/>
      <c r="F123" s="125"/>
      <c r="G123" s="125"/>
      <c r="H123" s="145"/>
      <c r="I123" s="3"/>
    </row>
    <row r="124" spans="1:9" ht="15.75" customHeight="1">
      <c r="A124" s="109"/>
      <c r="B124" s="126" t="s">
        <v>6</v>
      </c>
      <c r="C124" s="126"/>
      <c r="D124" s="126"/>
      <c r="E124" s="126"/>
      <c r="F124" s="126"/>
      <c r="G124" s="126"/>
      <c r="H124" s="33"/>
      <c r="I124" s="5"/>
    </row>
    <row r="125" spans="1:9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ht="15.75" customHeight="1">
      <c r="A126" s="127" t="s">
        <v>7</v>
      </c>
      <c r="B126" s="127"/>
      <c r="C126" s="127"/>
      <c r="D126" s="127"/>
      <c r="E126" s="127"/>
      <c r="F126" s="127"/>
      <c r="G126" s="127"/>
      <c r="H126" s="127"/>
      <c r="I126" s="127"/>
    </row>
    <row r="127" spans="1:9" ht="15.75" customHeight="1">
      <c r="A127" s="127" t="s">
        <v>8</v>
      </c>
      <c r="B127" s="127"/>
      <c r="C127" s="127"/>
      <c r="D127" s="127"/>
      <c r="E127" s="127"/>
      <c r="F127" s="127"/>
      <c r="G127" s="127"/>
      <c r="H127" s="127"/>
      <c r="I127" s="127"/>
    </row>
    <row r="128" spans="1:9" ht="15.75">
      <c r="A128" s="120" t="s">
        <v>62</v>
      </c>
      <c r="B128" s="120"/>
      <c r="C128" s="120"/>
      <c r="D128" s="120"/>
      <c r="E128" s="120"/>
      <c r="F128" s="120"/>
      <c r="G128" s="120"/>
      <c r="H128" s="120"/>
      <c r="I128" s="120"/>
    </row>
    <row r="129" spans="1:9" ht="15.75" customHeight="1">
      <c r="A129" s="11"/>
    </row>
    <row r="130" spans="1:9" ht="15.75" customHeight="1">
      <c r="A130" s="129" t="s">
        <v>9</v>
      </c>
      <c r="B130" s="129"/>
      <c r="C130" s="129"/>
      <c r="D130" s="129"/>
      <c r="E130" s="129"/>
      <c r="F130" s="129"/>
      <c r="G130" s="129"/>
      <c r="H130" s="129"/>
      <c r="I130" s="129"/>
    </row>
    <row r="131" spans="1:9" ht="15.75" customHeight="1">
      <c r="A131" s="4"/>
    </row>
    <row r="132" spans="1:9" ht="15.75" customHeight="1">
      <c r="B132" s="110" t="s">
        <v>10</v>
      </c>
      <c r="C132" s="140" t="s">
        <v>174</v>
      </c>
      <c r="D132" s="140"/>
      <c r="E132" s="140"/>
      <c r="F132" s="143"/>
      <c r="I132" s="108"/>
    </row>
    <row r="133" spans="1:9" ht="15.75" customHeight="1">
      <c r="A133" s="109"/>
      <c r="C133" s="126" t="s">
        <v>11</v>
      </c>
      <c r="D133" s="126"/>
      <c r="E133" s="126"/>
      <c r="F133" s="33"/>
      <c r="I133" s="107" t="s">
        <v>12</v>
      </c>
    </row>
    <row r="134" spans="1:9" ht="15.75" customHeight="1">
      <c r="A134" s="34"/>
      <c r="C134" s="12"/>
      <c r="D134" s="12"/>
      <c r="G134" s="12"/>
      <c r="H134" s="12"/>
    </row>
    <row r="135" spans="1:9" ht="15.75" customHeight="1">
      <c r="B135" s="110" t="s">
        <v>13</v>
      </c>
      <c r="C135" s="130"/>
      <c r="D135" s="130"/>
      <c r="E135" s="130"/>
      <c r="F135" s="144"/>
      <c r="I135" s="108"/>
    </row>
    <row r="136" spans="1:9">
      <c r="A136" s="109"/>
      <c r="C136" s="131" t="s">
        <v>11</v>
      </c>
      <c r="D136" s="131"/>
      <c r="E136" s="131"/>
      <c r="F136" s="109"/>
      <c r="I136" s="107" t="s">
        <v>12</v>
      </c>
    </row>
    <row r="137" spans="1:9" ht="15.75" customHeight="1">
      <c r="A137" s="4" t="s">
        <v>14</v>
      </c>
    </row>
    <row r="138" spans="1:9" ht="15.75" customHeight="1">
      <c r="A138" s="132" t="s">
        <v>15</v>
      </c>
      <c r="B138" s="132"/>
      <c r="C138" s="132"/>
      <c r="D138" s="132"/>
      <c r="E138" s="132"/>
      <c r="F138" s="132"/>
      <c r="G138" s="132"/>
      <c r="H138" s="132"/>
      <c r="I138" s="132"/>
    </row>
    <row r="139" spans="1:9" ht="45" customHeight="1">
      <c r="A139" s="128" t="s">
        <v>16</v>
      </c>
      <c r="B139" s="128"/>
      <c r="C139" s="128"/>
      <c r="D139" s="128"/>
      <c r="E139" s="128"/>
      <c r="F139" s="128"/>
      <c r="G139" s="128"/>
      <c r="H139" s="128"/>
      <c r="I139" s="128"/>
    </row>
    <row r="140" spans="1:9" ht="30" customHeight="1">
      <c r="A140" s="128" t="s">
        <v>17</v>
      </c>
      <c r="B140" s="128"/>
      <c r="C140" s="128"/>
      <c r="D140" s="128"/>
      <c r="E140" s="128"/>
      <c r="F140" s="128"/>
      <c r="G140" s="128"/>
      <c r="H140" s="128"/>
      <c r="I140" s="128"/>
    </row>
    <row r="141" spans="1:9" ht="30" customHeight="1">
      <c r="A141" s="128" t="s">
        <v>21</v>
      </c>
      <c r="B141" s="128"/>
      <c r="C141" s="128"/>
      <c r="D141" s="128"/>
      <c r="E141" s="128"/>
      <c r="F141" s="128"/>
      <c r="G141" s="128"/>
      <c r="H141" s="128"/>
      <c r="I141" s="128"/>
    </row>
    <row r="142" spans="1:9" ht="15" customHeight="1">
      <c r="A142" s="128" t="s">
        <v>20</v>
      </c>
      <c r="B142" s="128"/>
      <c r="C142" s="128"/>
      <c r="D142" s="128"/>
      <c r="E142" s="128"/>
      <c r="F142" s="128"/>
      <c r="G142" s="128"/>
      <c r="H142" s="128"/>
      <c r="I142" s="128"/>
    </row>
  </sheetData>
  <autoFilter ref="I12:I61"/>
  <mergeCells count="28">
    <mergeCell ref="A138:I138"/>
    <mergeCell ref="A139:I139"/>
    <mergeCell ref="A140:I140"/>
    <mergeCell ref="A141:I141"/>
    <mergeCell ref="A142:I142"/>
    <mergeCell ref="A29:I29"/>
    <mergeCell ref="A128:I128"/>
    <mergeCell ref="A130:I130"/>
    <mergeCell ref="C132:E132"/>
    <mergeCell ref="C133:E133"/>
    <mergeCell ref="C135:E135"/>
    <mergeCell ref="C136:E136"/>
    <mergeCell ref="A81:I81"/>
    <mergeCell ref="A122:I122"/>
    <mergeCell ref="B123:G123"/>
    <mergeCell ref="B124:G124"/>
    <mergeCell ref="A126:I126"/>
    <mergeCell ref="A127:I127"/>
    <mergeCell ref="A15:I15"/>
    <mergeCell ref="A45:I45"/>
    <mergeCell ref="A55:I55"/>
    <mergeCell ref="R66:U66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238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65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42674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147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hidden="1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6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customHeight="1">
      <c r="A31" s="38">
        <v>7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customHeight="1">
      <c r="A32" s="38">
        <v>8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customHeight="1">
      <c r="A34" s="38">
        <v>9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hidden="1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hidden="1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hidden="1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hidden="1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hidden="1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hidden="1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hidden="1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hidden="1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175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hidden="1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hidden="1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10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hidden="1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hidden="1" customHeight="1">
      <c r="A74" s="38"/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v>0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176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11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12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I16+I17+I18+I20+I27+I28+I31+I32+I34+I63+I82+I83</f>
        <v>37109.378226666668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15.75" hidden="1" customHeight="1">
      <c r="A86" s="38"/>
      <c r="B86" s="81" t="s">
        <v>184</v>
      </c>
      <c r="C86" s="106" t="s">
        <v>182</v>
      </c>
      <c r="D86" s="67"/>
      <c r="E86" s="16"/>
      <c r="F86" s="16">
        <v>5</v>
      </c>
      <c r="G86" s="16">
        <v>129.04</v>
      </c>
      <c r="H86" s="146">
        <f t="shared" ref="H86:H110" si="7">G86*F86/1000</f>
        <v>0.64519999999999988</v>
      </c>
      <c r="I86" s="16">
        <v>0</v>
      </c>
    </row>
    <row r="87" spans="1:9" ht="15.75" hidden="1" customHeight="1">
      <c r="A87" s="38"/>
      <c r="B87" s="81" t="s">
        <v>185</v>
      </c>
      <c r="C87" s="106" t="s">
        <v>127</v>
      </c>
      <c r="D87" s="67"/>
      <c r="E87" s="16"/>
      <c r="F87" s="16">
        <v>1</v>
      </c>
      <c r="G87" s="16">
        <v>124.25</v>
      </c>
      <c r="H87" s="146">
        <f t="shared" si="7"/>
        <v>0.12425</v>
      </c>
      <c r="I87" s="16">
        <v>0</v>
      </c>
    </row>
    <row r="88" spans="1:9" ht="15.75" hidden="1" customHeight="1">
      <c r="A88" s="38"/>
      <c r="B88" s="148" t="s">
        <v>186</v>
      </c>
      <c r="C88" s="106" t="s">
        <v>148</v>
      </c>
      <c r="D88" s="67"/>
      <c r="E88" s="16"/>
      <c r="F88" s="16">
        <v>1</v>
      </c>
      <c r="G88" s="16">
        <v>2292.96</v>
      </c>
      <c r="H88" s="146">
        <f t="shared" si="7"/>
        <v>2.2929599999999999</v>
      </c>
      <c r="I88" s="16">
        <v>0</v>
      </c>
    </row>
    <row r="89" spans="1:9" ht="15.75" hidden="1" customHeight="1">
      <c r="A89" s="38"/>
      <c r="B89" s="81" t="s">
        <v>187</v>
      </c>
      <c r="C89" s="106" t="s">
        <v>188</v>
      </c>
      <c r="D89" s="67"/>
      <c r="E89" s="16"/>
      <c r="F89" s="16">
        <v>1</v>
      </c>
      <c r="G89" s="16">
        <v>8279</v>
      </c>
      <c r="H89" s="146">
        <f t="shared" si="7"/>
        <v>8.2789999999999999</v>
      </c>
      <c r="I89" s="16">
        <v>0</v>
      </c>
    </row>
    <row r="90" spans="1:9" ht="15.75" hidden="1" customHeight="1">
      <c r="A90" s="38"/>
      <c r="B90" s="81" t="s">
        <v>189</v>
      </c>
      <c r="C90" s="106" t="s">
        <v>188</v>
      </c>
      <c r="D90" s="67"/>
      <c r="E90" s="16"/>
      <c r="F90" s="16">
        <v>1</v>
      </c>
      <c r="G90" s="16">
        <v>7522</v>
      </c>
      <c r="H90" s="146">
        <f t="shared" si="7"/>
        <v>7.5220000000000002</v>
      </c>
      <c r="I90" s="16"/>
    </row>
    <row r="91" spans="1:9" ht="15.75" hidden="1" customHeight="1">
      <c r="A91" s="38"/>
      <c r="B91" s="81" t="s">
        <v>190</v>
      </c>
      <c r="C91" s="106" t="s">
        <v>148</v>
      </c>
      <c r="D91" s="67"/>
      <c r="E91" s="16"/>
      <c r="F91" s="16">
        <v>1</v>
      </c>
      <c r="G91" s="16">
        <v>625.07000000000005</v>
      </c>
      <c r="H91" s="146">
        <f t="shared" si="7"/>
        <v>0.62507000000000001</v>
      </c>
      <c r="I91" s="16">
        <v>0</v>
      </c>
    </row>
    <row r="92" spans="1:9" ht="31.5" hidden="1" customHeight="1">
      <c r="A92" s="38"/>
      <c r="B92" s="81" t="s">
        <v>191</v>
      </c>
      <c r="C92" s="106" t="s">
        <v>88</v>
      </c>
      <c r="D92" s="67"/>
      <c r="E92" s="16"/>
      <c r="F92" s="16">
        <v>3</v>
      </c>
      <c r="G92" s="16">
        <v>771.29</v>
      </c>
      <c r="H92" s="146">
        <f t="shared" si="7"/>
        <v>2.3138700000000001</v>
      </c>
      <c r="I92" s="16">
        <v>0</v>
      </c>
    </row>
    <row r="93" spans="1:9" ht="31.5" hidden="1" customHeight="1">
      <c r="A93" s="38"/>
      <c r="B93" s="81" t="s">
        <v>192</v>
      </c>
      <c r="C93" s="106" t="s">
        <v>88</v>
      </c>
      <c r="D93" s="67"/>
      <c r="E93" s="16"/>
      <c r="F93" s="16">
        <v>2</v>
      </c>
      <c r="G93" s="16">
        <v>960.74</v>
      </c>
      <c r="H93" s="146">
        <f t="shared" si="7"/>
        <v>1.9214800000000001</v>
      </c>
      <c r="I93" s="16">
        <v>0</v>
      </c>
    </row>
    <row r="94" spans="1:9" ht="15.75" hidden="1" customHeight="1">
      <c r="A94" s="38"/>
      <c r="B94" s="81" t="s">
        <v>193</v>
      </c>
      <c r="C94" s="106" t="s">
        <v>127</v>
      </c>
      <c r="D94" s="67"/>
      <c r="E94" s="16"/>
      <c r="F94" s="16">
        <v>2</v>
      </c>
      <c r="G94" s="16">
        <v>27.36</v>
      </c>
      <c r="H94" s="146">
        <f t="shared" si="7"/>
        <v>5.4719999999999998E-2</v>
      </c>
      <c r="I94" s="16">
        <v>0</v>
      </c>
    </row>
    <row r="95" spans="1:9" ht="15.75" hidden="1" customHeight="1">
      <c r="A95" s="38"/>
      <c r="B95" s="81" t="s">
        <v>209</v>
      </c>
      <c r="C95" s="106" t="s">
        <v>127</v>
      </c>
      <c r="D95" s="67"/>
      <c r="E95" s="16"/>
      <c r="F95" s="16">
        <v>2</v>
      </c>
      <c r="G95" s="16">
        <v>50.01</v>
      </c>
      <c r="H95" s="146">
        <f t="shared" si="7"/>
        <v>0.10002</v>
      </c>
      <c r="I95" s="16">
        <v>0</v>
      </c>
    </row>
    <row r="96" spans="1:9" ht="15.75" hidden="1" customHeight="1">
      <c r="A96" s="38"/>
      <c r="B96" s="81" t="s">
        <v>210</v>
      </c>
      <c r="C96" s="106" t="s">
        <v>127</v>
      </c>
      <c r="D96" s="67"/>
      <c r="E96" s="16"/>
      <c r="F96" s="16">
        <v>1</v>
      </c>
      <c r="G96" s="16">
        <v>47.59</v>
      </c>
      <c r="H96" s="146">
        <f t="shared" si="7"/>
        <v>4.759E-2</v>
      </c>
      <c r="I96" s="16">
        <v>0</v>
      </c>
    </row>
    <row r="97" spans="1:9" ht="15.75" hidden="1" customHeight="1">
      <c r="A97" s="38"/>
      <c r="B97" s="81" t="s">
        <v>194</v>
      </c>
      <c r="C97" s="106" t="s">
        <v>127</v>
      </c>
      <c r="D97" s="67"/>
      <c r="E97" s="16"/>
      <c r="F97" s="16">
        <v>5</v>
      </c>
      <c r="G97" s="16">
        <v>109.73</v>
      </c>
      <c r="H97" s="146">
        <f t="shared" si="7"/>
        <v>0.54864999999999997</v>
      </c>
      <c r="I97" s="16">
        <v>0</v>
      </c>
    </row>
    <row r="98" spans="1:9" ht="15.75" hidden="1" customHeight="1">
      <c r="A98" s="38"/>
      <c r="B98" s="81" t="s">
        <v>195</v>
      </c>
      <c r="C98" s="106" t="s">
        <v>127</v>
      </c>
      <c r="D98" s="67"/>
      <c r="E98" s="16"/>
      <c r="F98" s="16">
        <v>2</v>
      </c>
      <c r="G98" s="16">
        <v>61.81</v>
      </c>
      <c r="H98" s="146">
        <f t="shared" si="7"/>
        <v>0.12362000000000001</v>
      </c>
      <c r="I98" s="16">
        <v>0</v>
      </c>
    </row>
    <row r="99" spans="1:9" ht="15.75" hidden="1" customHeight="1">
      <c r="A99" s="38"/>
      <c r="B99" s="81" t="s">
        <v>196</v>
      </c>
      <c r="C99" s="106" t="s">
        <v>127</v>
      </c>
      <c r="D99" s="67"/>
      <c r="E99" s="16"/>
      <c r="F99" s="16">
        <v>4</v>
      </c>
      <c r="G99" s="16">
        <v>78.89</v>
      </c>
      <c r="H99" s="146">
        <f t="shared" si="7"/>
        <v>0.31556000000000001</v>
      </c>
      <c r="I99" s="16">
        <v>0</v>
      </c>
    </row>
    <row r="100" spans="1:9" ht="31.5" hidden="1" customHeight="1">
      <c r="A100" s="38"/>
      <c r="B100" s="81" t="s">
        <v>197</v>
      </c>
      <c r="C100" s="106" t="s">
        <v>182</v>
      </c>
      <c r="D100" s="67"/>
      <c r="E100" s="16"/>
      <c r="F100" s="16">
        <v>4</v>
      </c>
      <c r="G100" s="16">
        <v>1272</v>
      </c>
      <c r="H100" s="146">
        <f t="shared" si="7"/>
        <v>5.0880000000000001</v>
      </c>
      <c r="I100" s="16">
        <v>0</v>
      </c>
    </row>
    <row r="101" spans="1:9" ht="31.5" hidden="1" customHeight="1">
      <c r="A101" s="38"/>
      <c r="B101" s="81" t="s">
        <v>198</v>
      </c>
      <c r="C101" s="106" t="s">
        <v>182</v>
      </c>
      <c r="D101" s="67"/>
      <c r="E101" s="16"/>
      <c r="F101" s="16">
        <v>4</v>
      </c>
      <c r="G101" s="16">
        <v>1206</v>
      </c>
      <c r="H101" s="146">
        <f>G101*F101/1000</f>
        <v>4.8239999999999998</v>
      </c>
      <c r="I101" s="16">
        <v>0</v>
      </c>
    </row>
    <row r="102" spans="1:9" ht="31.5" hidden="1" customHeight="1">
      <c r="A102" s="38"/>
      <c r="B102" s="81" t="s">
        <v>199</v>
      </c>
      <c r="C102" s="106" t="s">
        <v>182</v>
      </c>
      <c r="D102" s="67"/>
      <c r="E102" s="16"/>
      <c r="F102" s="16">
        <v>2</v>
      </c>
      <c r="G102" s="16">
        <v>1187</v>
      </c>
      <c r="H102" s="146">
        <f t="shared" si="7"/>
        <v>2.3740000000000001</v>
      </c>
      <c r="I102" s="16">
        <v>0</v>
      </c>
    </row>
    <row r="103" spans="1:9" ht="15.75" hidden="1" customHeight="1">
      <c r="A103" s="38"/>
      <c r="B103" s="81" t="s">
        <v>200</v>
      </c>
      <c r="C103" s="106" t="s">
        <v>201</v>
      </c>
      <c r="D103" s="18"/>
      <c r="E103" s="23"/>
      <c r="F103" s="16">
        <f>1/100</f>
        <v>0.01</v>
      </c>
      <c r="G103" s="16">
        <v>7033.13</v>
      </c>
      <c r="H103" s="146">
        <f t="shared" si="7"/>
        <v>7.0331299999999999E-2</v>
      </c>
      <c r="I103" s="16">
        <v>0</v>
      </c>
    </row>
    <row r="104" spans="1:9" ht="31.5" hidden="1" customHeight="1">
      <c r="A104" s="38"/>
      <c r="B104" s="81" t="s">
        <v>202</v>
      </c>
      <c r="C104" s="106" t="s">
        <v>127</v>
      </c>
      <c r="D104" s="18"/>
      <c r="E104" s="23"/>
      <c r="F104" s="16">
        <v>1</v>
      </c>
      <c r="G104" s="16">
        <v>2179.33</v>
      </c>
      <c r="H104" s="146">
        <f t="shared" si="7"/>
        <v>2.1793299999999998</v>
      </c>
      <c r="I104" s="16">
        <v>0</v>
      </c>
    </row>
    <row r="105" spans="1:9" ht="15.75" hidden="1" customHeight="1">
      <c r="A105" s="38"/>
      <c r="B105" s="81" t="s">
        <v>203</v>
      </c>
      <c r="C105" s="106" t="s">
        <v>188</v>
      </c>
      <c r="D105" s="18"/>
      <c r="E105" s="23"/>
      <c r="F105" s="16">
        <v>1</v>
      </c>
      <c r="G105" s="16">
        <v>302</v>
      </c>
      <c r="H105" s="146">
        <f t="shared" si="7"/>
        <v>0.30199999999999999</v>
      </c>
      <c r="I105" s="16">
        <v>0</v>
      </c>
    </row>
    <row r="106" spans="1:9" ht="15.75" hidden="1" customHeight="1">
      <c r="A106" s="38"/>
      <c r="B106" s="81" t="s">
        <v>204</v>
      </c>
      <c r="C106" s="168" t="s">
        <v>205</v>
      </c>
      <c r="D106" s="67"/>
      <c r="E106" s="16"/>
      <c r="F106" s="16">
        <v>1</v>
      </c>
      <c r="G106" s="16">
        <v>286.55</v>
      </c>
      <c r="H106" s="146">
        <f>G106*F106/1000</f>
        <v>0.28655000000000003</v>
      </c>
      <c r="I106" s="16">
        <v>0</v>
      </c>
    </row>
    <row r="107" spans="1:9" ht="15.75" hidden="1" customHeight="1">
      <c r="A107" s="38"/>
      <c r="B107" s="81" t="s">
        <v>206</v>
      </c>
      <c r="C107" s="106" t="s">
        <v>182</v>
      </c>
      <c r="D107" s="18"/>
      <c r="E107" s="23"/>
      <c r="F107" s="16">
        <v>10</v>
      </c>
      <c r="G107" s="16">
        <v>83.63</v>
      </c>
      <c r="H107" s="146">
        <f t="shared" si="7"/>
        <v>0.83629999999999993</v>
      </c>
      <c r="I107" s="16">
        <v>0</v>
      </c>
    </row>
    <row r="108" spans="1:9" ht="15.75" hidden="1" customHeight="1">
      <c r="A108" s="38"/>
      <c r="B108" s="81" t="s">
        <v>207</v>
      </c>
      <c r="C108" s="106" t="s">
        <v>127</v>
      </c>
      <c r="D108" s="18"/>
      <c r="E108" s="23"/>
      <c r="F108" s="16">
        <v>1</v>
      </c>
      <c r="G108" s="16">
        <v>149.63999999999999</v>
      </c>
      <c r="H108" s="146">
        <f t="shared" si="7"/>
        <v>0.14964</v>
      </c>
      <c r="I108" s="16">
        <v>0</v>
      </c>
    </row>
    <row r="109" spans="1:9" ht="15.75" hidden="1" customHeight="1">
      <c r="A109" s="38"/>
      <c r="B109" s="148" t="s">
        <v>97</v>
      </c>
      <c r="C109" s="106" t="s">
        <v>127</v>
      </c>
      <c r="D109" s="18"/>
      <c r="E109" s="23"/>
      <c r="F109" s="16">
        <v>1</v>
      </c>
      <c r="G109" s="16">
        <v>179.96</v>
      </c>
      <c r="H109" s="146">
        <f t="shared" si="7"/>
        <v>0.17996000000000001</v>
      </c>
      <c r="I109" s="16">
        <v>0</v>
      </c>
    </row>
    <row r="110" spans="1:9" ht="15.75" hidden="1" customHeight="1">
      <c r="A110" s="38"/>
      <c r="B110" s="148" t="s">
        <v>208</v>
      </c>
      <c r="C110" s="106" t="s">
        <v>188</v>
      </c>
      <c r="D110" s="18"/>
      <c r="E110" s="23"/>
      <c r="F110" s="16">
        <v>1</v>
      </c>
      <c r="G110" s="16">
        <v>60121</v>
      </c>
      <c r="H110" s="146">
        <f t="shared" si="7"/>
        <v>60.121000000000002</v>
      </c>
      <c r="I110" s="16">
        <v>0</v>
      </c>
    </row>
    <row r="111" spans="1:9" ht="15.75" customHeight="1">
      <c r="A111" s="38"/>
      <c r="B111" s="61" t="s">
        <v>50</v>
      </c>
      <c r="C111" s="57"/>
      <c r="D111" s="71"/>
      <c r="E111" s="57">
        <v>1</v>
      </c>
      <c r="F111" s="57"/>
      <c r="G111" s="57"/>
      <c r="H111" s="57"/>
      <c r="I111" s="40">
        <f>SUM(I86:I110)</f>
        <v>0</v>
      </c>
    </row>
    <row r="112" spans="1:9" ht="15.75" customHeight="1">
      <c r="A112" s="38"/>
      <c r="B112" s="67" t="s">
        <v>83</v>
      </c>
      <c r="C112" s="19"/>
      <c r="D112" s="19"/>
      <c r="E112" s="58"/>
      <c r="F112" s="58"/>
      <c r="G112" s="59"/>
      <c r="H112" s="59"/>
      <c r="I112" s="22">
        <v>0</v>
      </c>
    </row>
    <row r="113" spans="1:9" ht="15.75" customHeight="1">
      <c r="A113" s="72"/>
      <c r="B113" s="62" t="s">
        <v>51</v>
      </c>
      <c r="C113" s="46"/>
      <c r="D113" s="46"/>
      <c r="E113" s="46"/>
      <c r="F113" s="46"/>
      <c r="G113" s="46"/>
      <c r="H113" s="46"/>
      <c r="I113" s="60">
        <f>I84+I111</f>
        <v>37109.378226666668</v>
      </c>
    </row>
    <row r="114" spans="1:9" ht="15.75" customHeight="1">
      <c r="A114" s="124" t="s">
        <v>239</v>
      </c>
      <c r="B114" s="124"/>
      <c r="C114" s="124"/>
      <c r="D114" s="124"/>
      <c r="E114" s="124"/>
      <c r="F114" s="124"/>
      <c r="G114" s="124"/>
      <c r="H114" s="124"/>
      <c r="I114" s="124"/>
    </row>
    <row r="115" spans="1:9" ht="15.75" customHeight="1">
      <c r="A115" s="113"/>
      <c r="B115" s="125" t="s">
        <v>228</v>
      </c>
      <c r="C115" s="125"/>
      <c r="D115" s="125"/>
      <c r="E115" s="125"/>
      <c r="F115" s="125"/>
      <c r="G115" s="125"/>
      <c r="H115" s="145"/>
      <c r="I115" s="3"/>
    </row>
    <row r="116" spans="1:9" ht="15.75" customHeight="1">
      <c r="A116" s="109"/>
      <c r="B116" s="126" t="s">
        <v>6</v>
      </c>
      <c r="C116" s="126"/>
      <c r="D116" s="126"/>
      <c r="E116" s="126"/>
      <c r="F116" s="126"/>
      <c r="G116" s="126"/>
      <c r="H116" s="33"/>
      <c r="I116" s="5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 customHeight="1">
      <c r="A118" s="127" t="s">
        <v>7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15.75" customHeight="1">
      <c r="A119" s="127" t="s">
        <v>8</v>
      </c>
      <c r="B119" s="127"/>
      <c r="C119" s="127"/>
      <c r="D119" s="127"/>
      <c r="E119" s="127"/>
      <c r="F119" s="127"/>
      <c r="G119" s="127"/>
      <c r="H119" s="127"/>
      <c r="I119" s="127"/>
    </row>
    <row r="120" spans="1:9" ht="15.75">
      <c r="A120" s="120" t="s">
        <v>62</v>
      </c>
      <c r="B120" s="120"/>
      <c r="C120" s="120"/>
      <c r="D120" s="120"/>
      <c r="E120" s="120"/>
      <c r="F120" s="120"/>
      <c r="G120" s="120"/>
      <c r="H120" s="120"/>
      <c r="I120" s="120"/>
    </row>
    <row r="121" spans="1:9" ht="15.75" customHeight="1">
      <c r="A121" s="11"/>
    </row>
    <row r="122" spans="1:9" ht="15.75" customHeight="1">
      <c r="A122" s="129" t="s">
        <v>9</v>
      </c>
      <c r="B122" s="129"/>
      <c r="C122" s="129"/>
      <c r="D122" s="129"/>
      <c r="E122" s="129"/>
      <c r="F122" s="129"/>
      <c r="G122" s="129"/>
      <c r="H122" s="129"/>
      <c r="I122" s="129"/>
    </row>
    <row r="123" spans="1:9" ht="15.75" customHeight="1">
      <c r="A123" s="4"/>
    </row>
    <row r="124" spans="1:9" ht="15.75" customHeight="1">
      <c r="B124" s="110" t="s">
        <v>10</v>
      </c>
      <c r="C124" s="140" t="s">
        <v>174</v>
      </c>
      <c r="D124" s="140"/>
      <c r="E124" s="140"/>
      <c r="F124" s="143"/>
      <c r="I124" s="108"/>
    </row>
    <row r="125" spans="1:9" ht="15.75" customHeight="1">
      <c r="A125" s="109"/>
      <c r="C125" s="126" t="s">
        <v>11</v>
      </c>
      <c r="D125" s="126"/>
      <c r="E125" s="126"/>
      <c r="F125" s="33"/>
      <c r="I125" s="107" t="s">
        <v>12</v>
      </c>
    </row>
    <row r="126" spans="1:9" ht="15.75" customHeight="1">
      <c r="A126" s="34"/>
      <c r="C126" s="12"/>
      <c r="D126" s="12"/>
      <c r="G126" s="12"/>
      <c r="H126" s="12"/>
    </row>
    <row r="127" spans="1:9" ht="15.75" customHeight="1">
      <c r="B127" s="110" t="s">
        <v>13</v>
      </c>
      <c r="C127" s="130"/>
      <c r="D127" s="130"/>
      <c r="E127" s="130"/>
      <c r="F127" s="144"/>
      <c r="I127" s="108"/>
    </row>
    <row r="128" spans="1:9">
      <c r="A128" s="109"/>
      <c r="C128" s="131" t="s">
        <v>11</v>
      </c>
      <c r="D128" s="131"/>
      <c r="E128" s="131"/>
      <c r="F128" s="109"/>
      <c r="I128" s="107" t="s">
        <v>12</v>
      </c>
    </row>
    <row r="129" spans="1:9" ht="15.75" customHeight="1">
      <c r="A129" s="4" t="s">
        <v>14</v>
      </c>
    </row>
    <row r="130" spans="1:9" ht="15.75" customHeight="1">
      <c r="A130" s="132" t="s">
        <v>15</v>
      </c>
      <c r="B130" s="132"/>
      <c r="C130" s="132"/>
      <c r="D130" s="132"/>
      <c r="E130" s="132"/>
      <c r="F130" s="132"/>
      <c r="G130" s="132"/>
      <c r="H130" s="132"/>
      <c r="I130" s="132"/>
    </row>
    <row r="131" spans="1:9" ht="45" customHeight="1">
      <c r="A131" s="128" t="s">
        <v>16</v>
      </c>
      <c r="B131" s="128"/>
      <c r="C131" s="128"/>
      <c r="D131" s="128"/>
      <c r="E131" s="128"/>
      <c r="F131" s="128"/>
      <c r="G131" s="128"/>
      <c r="H131" s="128"/>
      <c r="I131" s="128"/>
    </row>
    <row r="132" spans="1:9" ht="30" customHeight="1">
      <c r="A132" s="128" t="s">
        <v>17</v>
      </c>
      <c r="B132" s="128"/>
      <c r="C132" s="128"/>
      <c r="D132" s="128"/>
      <c r="E132" s="128"/>
      <c r="F132" s="128"/>
      <c r="G132" s="128"/>
      <c r="H132" s="128"/>
      <c r="I132" s="128"/>
    </row>
    <row r="133" spans="1:9" ht="30" customHeight="1">
      <c r="A133" s="128" t="s">
        <v>21</v>
      </c>
      <c r="B133" s="128"/>
      <c r="C133" s="128"/>
      <c r="D133" s="128"/>
      <c r="E133" s="128"/>
      <c r="F133" s="128"/>
      <c r="G133" s="128"/>
      <c r="H133" s="128"/>
      <c r="I133" s="128"/>
    </row>
    <row r="134" spans="1:9" ht="15" customHeight="1">
      <c r="A134" s="128" t="s">
        <v>20</v>
      </c>
      <c r="B134" s="128"/>
      <c r="C134" s="128"/>
      <c r="D134" s="128"/>
      <c r="E134" s="128"/>
      <c r="F134" s="128"/>
      <c r="G134" s="128"/>
      <c r="H134" s="128"/>
      <c r="I134" s="128"/>
    </row>
  </sheetData>
  <autoFilter ref="I12:I61"/>
  <mergeCells count="28">
    <mergeCell ref="A131:I131"/>
    <mergeCell ref="A132:I132"/>
    <mergeCell ref="A133:I133"/>
    <mergeCell ref="A134:I134"/>
    <mergeCell ref="A122:I122"/>
    <mergeCell ref="C124:E124"/>
    <mergeCell ref="C125:E125"/>
    <mergeCell ref="C127:E127"/>
    <mergeCell ref="C128:E128"/>
    <mergeCell ref="A130:I130"/>
    <mergeCell ref="A114:I114"/>
    <mergeCell ref="B115:G115"/>
    <mergeCell ref="B116:G116"/>
    <mergeCell ref="A118:I118"/>
    <mergeCell ref="A119:I119"/>
    <mergeCell ref="A120:I120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5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7" ht="15.75">
      <c r="A1" s="36" t="s">
        <v>99</v>
      </c>
      <c r="G1" s="35"/>
    </row>
    <row r="2" spans="1:7" ht="15.75">
      <c r="A2" s="37" t="s">
        <v>66</v>
      </c>
    </row>
    <row r="3" spans="1:7" ht="15.75">
      <c r="A3" s="115" t="s">
        <v>100</v>
      </c>
      <c r="B3" s="115"/>
      <c r="C3" s="115"/>
      <c r="D3" s="115"/>
      <c r="E3" s="115"/>
      <c r="F3" s="115"/>
      <c r="G3" s="115"/>
    </row>
    <row r="4" spans="1:7" ht="31.5" customHeight="1">
      <c r="A4" s="116" t="s">
        <v>165</v>
      </c>
      <c r="B4" s="116"/>
      <c r="C4" s="116"/>
      <c r="D4" s="116"/>
      <c r="E4" s="116"/>
      <c r="F4" s="116"/>
      <c r="G4" s="116"/>
    </row>
    <row r="5" spans="1:7" ht="15.75">
      <c r="A5" s="115" t="s">
        <v>101</v>
      </c>
      <c r="B5" s="117"/>
      <c r="C5" s="117"/>
      <c r="D5" s="117"/>
      <c r="E5" s="117"/>
      <c r="F5" s="117"/>
      <c r="G5" s="117"/>
    </row>
    <row r="6" spans="1:7" ht="15.75">
      <c r="A6" s="2"/>
      <c r="B6" s="77"/>
      <c r="C6" s="77"/>
      <c r="D6" s="77"/>
      <c r="E6" s="77"/>
      <c r="F6" s="77"/>
      <c r="G6" s="39">
        <v>42704</v>
      </c>
    </row>
    <row r="7" spans="1:7" ht="15.75">
      <c r="B7" s="73"/>
      <c r="C7" s="73"/>
      <c r="D7" s="73"/>
      <c r="E7" s="3"/>
      <c r="F7" s="3"/>
    </row>
    <row r="8" spans="1:7" ht="78.75" customHeight="1">
      <c r="A8" s="118" t="s">
        <v>169</v>
      </c>
      <c r="B8" s="118"/>
      <c r="C8" s="118"/>
      <c r="D8" s="118"/>
      <c r="E8" s="118"/>
      <c r="F8" s="118"/>
      <c r="G8" s="118"/>
    </row>
    <row r="9" spans="1:7" ht="15.75">
      <c r="A9" s="4"/>
    </row>
    <row r="10" spans="1:7" ht="47.25" customHeight="1">
      <c r="A10" s="119" t="s">
        <v>170</v>
      </c>
      <c r="B10" s="119"/>
      <c r="C10" s="119"/>
      <c r="D10" s="119"/>
      <c r="E10" s="119"/>
      <c r="F10" s="119"/>
      <c r="G10" s="119"/>
    </row>
    <row r="11" spans="1:7" ht="15.75">
      <c r="A11" s="4"/>
    </row>
    <row r="12" spans="1:7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7">
      <c r="A14" s="114" t="s">
        <v>60</v>
      </c>
      <c r="B14" s="114"/>
      <c r="C14" s="114"/>
      <c r="D14" s="114"/>
      <c r="E14" s="114"/>
      <c r="F14" s="114"/>
      <c r="G14" s="114"/>
    </row>
    <row r="15" spans="1:7">
      <c r="A15" s="133" t="s">
        <v>4</v>
      </c>
      <c r="B15" s="133"/>
      <c r="C15" s="133"/>
      <c r="D15" s="133"/>
      <c r="E15" s="133"/>
      <c r="F15" s="133"/>
      <c r="G15" s="133"/>
    </row>
    <row r="16" spans="1:7" ht="31.5" customHeight="1">
      <c r="A16" s="38">
        <v>1</v>
      </c>
      <c r="B16" s="42" t="s">
        <v>102</v>
      </c>
      <c r="C16" s="55" t="s">
        <v>103</v>
      </c>
      <c r="D16" s="42" t="s">
        <v>104</v>
      </c>
      <c r="E16" s="38"/>
      <c r="F16" s="41">
        <v>187.48</v>
      </c>
      <c r="G16" s="85">
        <v>1654.89</v>
      </c>
    </row>
    <row r="17" spans="1:7" ht="31.5" customHeight="1">
      <c r="A17" s="38">
        <v>2</v>
      </c>
      <c r="B17" s="42" t="s">
        <v>138</v>
      </c>
      <c r="C17" s="55" t="s">
        <v>103</v>
      </c>
      <c r="D17" s="42" t="s">
        <v>105</v>
      </c>
      <c r="E17" s="38"/>
      <c r="F17" s="41">
        <v>187.48</v>
      </c>
      <c r="G17" s="85">
        <v>4413.03</v>
      </c>
    </row>
    <row r="18" spans="1:7" ht="31.5" customHeight="1">
      <c r="A18" s="38">
        <v>3</v>
      </c>
      <c r="B18" s="42" t="s">
        <v>139</v>
      </c>
      <c r="C18" s="55" t="s">
        <v>103</v>
      </c>
      <c r="D18" s="42" t="s">
        <v>147</v>
      </c>
      <c r="E18" s="38"/>
      <c r="F18" s="41">
        <v>539.30999999999995</v>
      </c>
      <c r="G18" s="85">
        <v>3661.91</v>
      </c>
    </row>
    <row r="19" spans="1:7" ht="15.75" hidden="1" customHeight="1">
      <c r="A19" s="38"/>
      <c r="B19" s="42" t="s">
        <v>112</v>
      </c>
      <c r="C19" s="55" t="s">
        <v>113</v>
      </c>
      <c r="D19" s="42" t="s">
        <v>114</v>
      </c>
      <c r="E19" s="38"/>
      <c r="F19" s="41">
        <v>181.91</v>
      </c>
      <c r="G19" s="85">
        <v>0</v>
      </c>
    </row>
    <row r="20" spans="1:7" ht="15.75" customHeight="1">
      <c r="A20" s="38">
        <v>4</v>
      </c>
      <c r="B20" s="42" t="s">
        <v>115</v>
      </c>
      <c r="C20" s="55" t="s">
        <v>103</v>
      </c>
      <c r="D20" s="42" t="s">
        <v>140</v>
      </c>
      <c r="E20" s="38"/>
      <c r="F20" s="41">
        <v>232.92</v>
      </c>
      <c r="G20" s="85">
        <v>16.3</v>
      </c>
    </row>
    <row r="21" spans="1:7" ht="15.75" customHeight="1">
      <c r="A21" s="38">
        <v>5</v>
      </c>
      <c r="B21" s="42" t="s">
        <v>116</v>
      </c>
      <c r="C21" s="55" t="s">
        <v>103</v>
      </c>
      <c r="D21" s="42" t="s">
        <v>149</v>
      </c>
      <c r="E21" s="38"/>
      <c r="F21" s="41">
        <v>231.03</v>
      </c>
      <c r="G21" s="85">
        <v>5.54</v>
      </c>
    </row>
    <row r="22" spans="1:7" ht="15.75" hidden="1" customHeight="1">
      <c r="A22" s="38"/>
      <c r="B22" s="42" t="s">
        <v>117</v>
      </c>
      <c r="C22" s="55" t="s">
        <v>52</v>
      </c>
      <c r="D22" s="42" t="s">
        <v>114</v>
      </c>
      <c r="E22" s="38"/>
      <c r="F22" s="41">
        <v>287.83999999999997</v>
      </c>
      <c r="G22" s="85">
        <v>0</v>
      </c>
    </row>
    <row r="23" spans="1:7" ht="15.75" hidden="1" customHeight="1">
      <c r="A23" s="38"/>
      <c r="B23" s="42" t="s">
        <v>118</v>
      </c>
      <c r="C23" s="55" t="s">
        <v>52</v>
      </c>
      <c r="D23" s="42" t="s">
        <v>114</v>
      </c>
      <c r="E23" s="38"/>
      <c r="F23" s="41">
        <v>47.34</v>
      </c>
      <c r="G23" s="85">
        <v>0</v>
      </c>
    </row>
    <row r="24" spans="1:7" ht="15.75" hidden="1" customHeight="1">
      <c r="A24" s="38">
        <v>6</v>
      </c>
      <c r="B24" s="42" t="s">
        <v>119</v>
      </c>
      <c r="C24" s="55" t="s">
        <v>52</v>
      </c>
      <c r="D24" s="42" t="s">
        <v>53</v>
      </c>
      <c r="E24" s="38"/>
      <c r="F24" s="41">
        <v>416.62</v>
      </c>
      <c r="G24" s="85">
        <v>0</v>
      </c>
    </row>
    <row r="25" spans="1:7" ht="15.75" hidden="1" customHeight="1">
      <c r="A25" s="38"/>
      <c r="B25" s="42" t="s">
        <v>120</v>
      </c>
      <c r="C25" s="55" t="s">
        <v>52</v>
      </c>
      <c r="D25" s="42" t="s">
        <v>53</v>
      </c>
      <c r="E25" s="38"/>
      <c r="F25" s="41">
        <v>556.74</v>
      </c>
      <c r="G25" s="85">
        <v>0</v>
      </c>
    </row>
    <row r="26" spans="1:7" ht="15.75" hidden="1" customHeight="1">
      <c r="A26" s="38"/>
      <c r="B26" s="42" t="s">
        <v>145</v>
      </c>
      <c r="C26" s="55" t="s">
        <v>52</v>
      </c>
      <c r="D26" s="42" t="s">
        <v>53</v>
      </c>
      <c r="E26" s="38"/>
      <c r="F26" s="41">
        <v>231.03</v>
      </c>
      <c r="G26" s="85">
        <v>0</v>
      </c>
    </row>
    <row r="27" spans="1:7" ht="15.75" customHeight="1">
      <c r="A27" s="56">
        <v>7</v>
      </c>
      <c r="B27" s="42" t="s">
        <v>68</v>
      </c>
      <c r="C27" s="55" t="s">
        <v>33</v>
      </c>
      <c r="D27" s="42" t="s">
        <v>141</v>
      </c>
      <c r="E27" s="22">
        <v>506.1</v>
      </c>
      <c r="F27" s="41">
        <v>157.18</v>
      </c>
      <c r="G27" s="85">
        <v>478.09</v>
      </c>
    </row>
    <row r="28" spans="1:7" ht="15.75" customHeight="1">
      <c r="A28" s="56">
        <v>8</v>
      </c>
      <c r="B28" s="13" t="s">
        <v>23</v>
      </c>
      <c r="C28" s="14" t="s">
        <v>24</v>
      </c>
      <c r="D28" s="38"/>
      <c r="E28" s="22">
        <v>506.1</v>
      </c>
      <c r="F28" s="41">
        <v>4.72</v>
      </c>
      <c r="G28" s="85">
        <v>11370.48</v>
      </c>
    </row>
    <row r="29" spans="1:7" ht="15.75" customHeight="1">
      <c r="A29" s="133" t="s">
        <v>98</v>
      </c>
      <c r="B29" s="133"/>
      <c r="C29" s="133"/>
      <c r="D29" s="133"/>
      <c r="E29" s="133"/>
      <c r="F29" s="133"/>
      <c r="G29" s="133"/>
    </row>
    <row r="30" spans="1:7" ht="15.75" hidden="1" customHeight="1">
      <c r="A30" s="56"/>
      <c r="B30" s="66" t="s">
        <v>28</v>
      </c>
      <c r="C30" s="66"/>
      <c r="D30" s="66"/>
      <c r="E30" s="66"/>
      <c r="F30" s="66"/>
      <c r="G30" s="23"/>
    </row>
    <row r="31" spans="1:7" ht="31.5" hidden="1" customHeight="1">
      <c r="A31" s="56">
        <v>2</v>
      </c>
      <c r="B31" s="42" t="s">
        <v>124</v>
      </c>
      <c r="C31" s="55" t="s">
        <v>107</v>
      </c>
      <c r="D31" s="42" t="s">
        <v>121</v>
      </c>
      <c r="E31" s="17">
        <v>2.31</v>
      </c>
      <c r="F31" s="41">
        <v>166.65</v>
      </c>
      <c r="G31" s="16">
        <v>0</v>
      </c>
    </row>
    <row r="32" spans="1:7" ht="31.5" hidden="1" customHeight="1">
      <c r="A32" s="56">
        <v>3</v>
      </c>
      <c r="B32" s="42" t="s">
        <v>142</v>
      </c>
      <c r="C32" s="55" t="s">
        <v>107</v>
      </c>
      <c r="D32" s="42" t="s">
        <v>122</v>
      </c>
      <c r="E32" s="16">
        <f>0.0024*3*4.5</f>
        <v>3.2399999999999998E-2</v>
      </c>
      <c r="F32" s="41">
        <v>276.48</v>
      </c>
      <c r="G32" s="23">
        <v>0</v>
      </c>
    </row>
    <row r="33" spans="1:7" ht="15.75" hidden="1" customHeight="1">
      <c r="A33" s="56">
        <v>4</v>
      </c>
      <c r="B33" s="42" t="s">
        <v>27</v>
      </c>
      <c r="C33" s="55" t="s">
        <v>107</v>
      </c>
      <c r="D33" s="42" t="s">
        <v>53</v>
      </c>
      <c r="E33" s="21">
        <v>0</v>
      </c>
      <c r="F33" s="41">
        <v>3228.73</v>
      </c>
      <c r="G33" s="23">
        <v>0</v>
      </c>
    </row>
    <row r="34" spans="1:7" ht="15.75" hidden="1" customHeight="1">
      <c r="A34" s="56">
        <v>4</v>
      </c>
      <c r="B34" s="42" t="s">
        <v>123</v>
      </c>
      <c r="C34" s="55" t="s">
        <v>31</v>
      </c>
      <c r="D34" s="42" t="s">
        <v>67</v>
      </c>
      <c r="E34" s="16">
        <v>3.75</v>
      </c>
      <c r="F34" s="41">
        <v>60.6</v>
      </c>
      <c r="G34" s="16">
        <v>0</v>
      </c>
    </row>
    <row r="35" spans="1:7" ht="15.75" hidden="1" customHeight="1">
      <c r="A35" s="56"/>
      <c r="B35" s="42" t="s">
        <v>69</v>
      </c>
      <c r="C35" s="55" t="s">
        <v>33</v>
      </c>
      <c r="D35" s="42" t="s">
        <v>71</v>
      </c>
      <c r="E35" s="16"/>
      <c r="F35" s="41">
        <v>204.52</v>
      </c>
      <c r="G35" s="16">
        <v>0</v>
      </c>
    </row>
    <row r="36" spans="1:7" ht="15.75" hidden="1" customHeight="1">
      <c r="A36" s="38">
        <v>8</v>
      </c>
      <c r="B36" s="42" t="s">
        <v>70</v>
      </c>
      <c r="C36" s="55" t="s">
        <v>32</v>
      </c>
      <c r="D36" s="42" t="s">
        <v>71</v>
      </c>
      <c r="E36" s="16"/>
      <c r="F36" s="41">
        <v>1214.73</v>
      </c>
      <c r="G36" s="16">
        <v>0</v>
      </c>
    </row>
    <row r="37" spans="1:7" ht="15.75" customHeight="1">
      <c r="A37" s="56"/>
      <c r="B37" s="64" t="s">
        <v>5</v>
      </c>
      <c r="C37" s="64"/>
      <c r="D37" s="64"/>
      <c r="E37" s="16"/>
      <c r="F37" s="17"/>
      <c r="G37" s="23"/>
    </row>
    <row r="38" spans="1:7" ht="15.75" customHeight="1">
      <c r="A38" s="43">
        <v>9</v>
      </c>
      <c r="B38" s="44" t="s">
        <v>26</v>
      </c>
      <c r="C38" s="55" t="s">
        <v>32</v>
      </c>
      <c r="D38" s="42"/>
      <c r="E38" s="16">
        <v>0</v>
      </c>
      <c r="F38" s="41">
        <v>1632.6</v>
      </c>
      <c r="G38" s="16">
        <v>1360.5</v>
      </c>
    </row>
    <row r="39" spans="1:7" ht="15.75" hidden="1" customHeight="1">
      <c r="A39" s="43">
        <v>10</v>
      </c>
      <c r="B39" s="42" t="s">
        <v>150</v>
      </c>
      <c r="C39" s="55" t="s">
        <v>151</v>
      </c>
      <c r="D39" s="42" t="s">
        <v>152</v>
      </c>
      <c r="E39" s="16">
        <v>0</v>
      </c>
      <c r="F39" s="41">
        <v>213.2</v>
      </c>
      <c r="G39" s="16">
        <v>0</v>
      </c>
    </row>
    <row r="40" spans="1:7" ht="15.75" customHeight="1">
      <c r="A40" s="43">
        <v>11</v>
      </c>
      <c r="B40" s="44" t="s">
        <v>125</v>
      </c>
      <c r="C40" s="79" t="s">
        <v>29</v>
      </c>
      <c r="D40" s="42" t="s">
        <v>153</v>
      </c>
      <c r="E40" s="16">
        <v>0</v>
      </c>
      <c r="F40" s="41">
        <v>2247.8000000000002</v>
      </c>
      <c r="G40" s="16">
        <v>857.16</v>
      </c>
    </row>
    <row r="41" spans="1:7" ht="15.75" customHeight="1">
      <c r="A41" s="43">
        <v>12</v>
      </c>
      <c r="B41" s="42" t="s">
        <v>72</v>
      </c>
      <c r="C41" s="55" t="s">
        <v>29</v>
      </c>
      <c r="D41" s="42" t="s">
        <v>106</v>
      </c>
      <c r="E41" s="16">
        <v>0</v>
      </c>
      <c r="F41" s="41">
        <v>374.95</v>
      </c>
      <c r="G41" s="16">
        <v>903.72</v>
      </c>
    </row>
    <row r="42" spans="1:7" ht="47.25" customHeight="1">
      <c r="A42" s="43">
        <v>13</v>
      </c>
      <c r="B42" s="42" t="s">
        <v>95</v>
      </c>
      <c r="C42" s="55" t="s">
        <v>107</v>
      </c>
      <c r="D42" s="42" t="s">
        <v>154</v>
      </c>
      <c r="E42" s="16"/>
      <c r="F42" s="41">
        <v>6203.7</v>
      </c>
      <c r="G42" s="16">
        <v>1235.0999999999999</v>
      </c>
    </row>
    <row r="43" spans="1:7" ht="16.5" customHeight="1">
      <c r="A43" s="43">
        <v>14</v>
      </c>
      <c r="B43" s="42" t="s">
        <v>108</v>
      </c>
      <c r="C43" s="55" t="s">
        <v>107</v>
      </c>
      <c r="D43" s="42" t="s">
        <v>73</v>
      </c>
      <c r="E43" s="16"/>
      <c r="F43" s="41">
        <v>458.28</v>
      </c>
      <c r="G43" s="16">
        <v>247.47</v>
      </c>
    </row>
    <row r="44" spans="1:7" ht="15.75" customHeight="1">
      <c r="A44" s="43">
        <v>15</v>
      </c>
      <c r="B44" s="44" t="s">
        <v>74</v>
      </c>
      <c r="C44" s="79" t="s">
        <v>33</v>
      </c>
      <c r="D44" s="44"/>
      <c r="E44" s="16"/>
      <c r="F44" s="45">
        <v>853.06</v>
      </c>
      <c r="G44" s="16">
        <v>127.96</v>
      </c>
    </row>
    <row r="45" spans="1:7" ht="15.75" hidden="1" customHeight="1">
      <c r="A45" s="121" t="s">
        <v>64</v>
      </c>
      <c r="B45" s="122"/>
      <c r="C45" s="122"/>
      <c r="D45" s="122"/>
      <c r="E45" s="122"/>
      <c r="F45" s="122"/>
      <c r="G45" s="123"/>
    </row>
    <row r="46" spans="1:7" ht="15.75" hidden="1" customHeight="1">
      <c r="A46" s="56">
        <v>15</v>
      </c>
      <c r="B46" s="42" t="s">
        <v>155</v>
      </c>
      <c r="C46" s="55" t="s">
        <v>107</v>
      </c>
      <c r="D46" s="42" t="s">
        <v>41</v>
      </c>
      <c r="E46" s="23">
        <v>0.42</v>
      </c>
      <c r="F46" s="47">
        <v>908.11</v>
      </c>
      <c r="G46" s="24">
        <v>0</v>
      </c>
    </row>
    <row r="47" spans="1:7" ht="15.75" hidden="1" customHeight="1">
      <c r="A47" s="56">
        <v>16</v>
      </c>
      <c r="B47" s="42" t="s">
        <v>34</v>
      </c>
      <c r="C47" s="55" t="s">
        <v>107</v>
      </c>
      <c r="D47" s="42" t="s">
        <v>41</v>
      </c>
      <c r="E47" s="23">
        <v>1.35</v>
      </c>
      <c r="F47" s="47">
        <v>619.46</v>
      </c>
      <c r="G47" s="24">
        <v>0</v>
      </c>
    </row>
    <row r="48" spans="1:7" ht="15.75" hidden="1" customHeight="1">
      <c r="A48" s="56">
        <v>17</v>
      </c>
      <c r="B48" s="42" t="s">
        <v>35</v>
      </c>
      <c r="C48" s="55" t="s">
        <v>107</v>
      </c>
      <c r="D48" s="42" t="s">
        <v>41</v>
      </c>
      <c r="E48" s="23">
        <v>0.03</v>
      </c>
      <c r="F48" s="47">
        <v>619.46</v>
      </c>
      <c r="G48" s="24">
        <v>0</v>
      </c>
    </row>
    <row r="49" spans="1:7" ht="15.75" hidden="1" customHeight="1">
      <c r="A49" s="56">
        <v>18</v>
      </c>
      <c r="B49" s="42" t="s">
        <v>36</v>
      </c>
      <c r="C49" s="55" t="s">
        <v>107</v>
      </c>
      <c r="D49" s="42" t="s">
        <v>41</v>
      </c>
      <c r="E49" s="23">
        <v>0.33</v>
      </c>
      <c r="F49" s="47">
        <v>648.64</v>
      </c>
      <c r="G49" s="24">
        <v>0</v>
      </c>
    </row>
    <row r="50" spans="1:7" ht="31.5" hidden="1" customHeight="1">
      <c r="A50" s="56">
        <v>12</v>
      </c>
      <c r="B50" s="42" t="s">
        <v>57</v>
      </c>
      <c r="C50" s="55" t="s">
        <v>107</v>
      </c>
      <c r="D50" s="42" t="s">
        <v>126</v>
      </c>
      <c r="E50" s="23">
        <v>0.22</v>
      </c>
      <c r="F50" s="47">
        <v>1297.28</v>
      </c>
      <c r="G50" s="24">
        <v>0</v>
      </c>
    </row>
    <row r="51" spans="1:7" ht="31.5" hidden="1" customHeight="1">
      <c r="A51" s="56">
        <v>14</v>
      </c>
      <c r="B51" s="42" t="s">
        <v>109</v>
      </c>
      <c r="C51" s="55" t="s">
        <v>107</v>
      </c>
      <c r="D51" s="42" t="s">
        <v>41</v>
      </c>
      <c r="E51" s="23">
        <v>0.02</v>
      </c>
      <c r="F51" s="47">
        <v>1297.28</v>
      </c>
      <c r="G51" s="24">
        <v>0</v>
      </c>
    </row>
    <row r="52" spans="1:7" ht="31.5" hidden="1" customHeight="1">
      <c r="A52" s="56">
        <v>15</v>
      </c>
      <c r="B52" s="42" t="s">
        <v>110</v>
      </c>
      <c r="C52" s="55" t="s">
        <v>37</v>
      </c>
      <c r="D52" s="42" t="s">
        <v>41</v>
      </c>
      <c r="E52" s="23">
        <v>0.01</v>
      </c>
      <c r="F52" s="47">
        <v>2918.89</v>
      </c>
      <c r="G52" s="24">
        <v>0</v>
      </c>
    </row>
    <row r="53" spans="1:7" ht="15.75" hidden="1" customHeight="1">
      <c r="A53" s="56">
        <v>23</v>
      </c>
      <c r="B53" s="42" t="s">
        <v>38</v>
      </c>
      <c r="C53" s="55" t="s">
        <v>39</v>
      </c>
      <c r="D53" s="42" t="s">
        <v>41</v>
      </c>
      <c r="E53" s="23">
        <v>8</v>
      </c>
      <c r="F53" s="47">
        <v>6042.12</v>
      </c>
      <c r="G53" s="16">
        <v>0</v>
      </c>
    </row>
    <row r="54" spans="1:7" ht="15.75" hidden="1" customHeight="1">
      <c r="A54" s="56">
        <v>24</v>
      </c>
      <c r="B54" s="42" t="s">
        <v>40</v>
      </c>
      <c r="C54" s="55" t="s">
        <v>127</v>
      </c>
      <c r="D54" s="42" t="s">
        <v>75</v>
      </c>
      <c r="E54" s="23">
        <v>16</v>
      </c>
      <c r="F54" s="48">
        <v>70.209999999999994</v>
      </c>
      <c r="G54" s="16">
        <v>0</v>
      </c>
    </row>
    <row r="55" spans="1:7" ht="15.75" customHeight="1">
      <c r="A55" s="134" t="s">
        <v>175</v>
      </c>
      <c r="B55" s="135"/>
      <c r="C55" s="135"/>
      <c r="D55" s="135"/>
      <c r="E55" s="135"/>
      <c r="F55" s="135"/>
      <c r="G55" s="136"/>
    </row>
    <row r="56" spans="1:7" ht="15.75" customHeight="1">
      <c r="A56" s="69"/>
      <c r="B56" s="63" t="s">
        <v>42</v>
      </c>
      <c r="C56" s="20"/>
      <c r="D56" s="19"/>
      <c r="E56" s="19"/>
      <c r="F56" s="38"/>
      <c r="G56" s="23"/>
    </row>
    <row r="57" spans="1:7" ht="31.5" customHeight="1">
      <c r="A57" s="90">
        <v>16</v>
      </c>
      <c r="B57" s="42" t="s">
        <v>156</v>
      </c>
      <c r="C57" s="55" t="s">
        <v>103</v>
      </c>
      <c r="D57" s="42" t="s">
        <v>128</v>
      </c>
      <c r="E57" s="91">
        <v>0</v>
      </c>
      <c r="F57" s="47">
        <v>1654.04</v>
      </c>
      <c r="G57" s="92">
        <v>1307.3499999999999</v>
      </c>
    </row>
    <row r="58" spans="1:7" ht="15.75" hidden="1" customHeight="1">
      <c r="A58" s="90"/>
      <c r="B58" s="88" t="s">
        <v>143</v>
      </c>
      <c r="C58" s="68" t="s">
        <v>52</v>
      </c>
      <c r="D58" s="88" t="s">
        <v>53</v>
      </c>
      <c r="E58" s="91"/>
      <c r="F58" s="47">
        <v>505.2</v>
      </c>
      <c r="G58" s="92">
        <v>0</v>
      </c>
    </row>
    <row r="59" spans="1:7" ht="15.75" customHeight="1">
      <c r="A59" s="90">
        <v>17</v>
      </c>
      <c r="B59" s="42" t="s">
        <v>157</v>
      </c>
      <c r="C59" s="55" t="s">
        <v>103</v>
      </c>
      <c r="D59" s="42" t="s">
        <v>128</v>
      </c>
      <c r="E59" s="91"/>
      <c r="F59" s="47">
        <v>1654.04</v>
      </c>
      <c r="G59" s="92">
        <v>62.85</v>
      </c>
    </row>
    <row r="60" spans="1:7" ht="15.75" hidden="1" customHeight="1">
      <c r="A60" s="90"/>
      <c r="B60" s="88" t="s">
        <v>158</v>
      </c>
      <c r="C60" s="68" t="s">
        <v>159</v>
      </c>
      <c r="D60" s="88" t="s">
        <v>41</v>
      </c>
      <c r="E60" s="91"/>
      <c r="F60" s="47">
        <v>193.25</v>
      </c>
      <c r="G60" s="92">
        <v>0</v>
      </c>
    </row>
    <row r="61" spans="1:7" ht="15.75" customHeight="1">
      <c r="A61" s="46"/>
      <c r="B61" s="100" t="s">
        <v>43</v>
      </c>
      <c r="C61" s="98"/>
      <c r="D61" s="98"/>
      <c r="E61" s="98"/>
      <c r="F61" s="98"/>
      <c r="G61" s="98"/>
    </row>
    <row r="62" spans="1:7" ht="15.75" hidden="1" customHeight="1">
      <c r="A62" s="93">
        <v>27</v>
      </c>
      <c r="B62" s="94" t="s">
        <v>143</v>
      </c>
      <c r="C62" s="95" t="s">
        <v>52</v>
      </c>
      <c r="D62" s="94" t="s">
        <v>53</v>
      </c>
      <c r="E62" s="96">
        <v>0</v>
      </c>
      <c r="F62" s="47">
        <v>848.37</v>
      </c>
      <c r="G62" s="97">
        <f>E62/2</f>
        <v>0</v>
      </c>
    </row>
    <row r="63" spans="1:7" ht="15.75" customHeight="1">
      <c r="A63" s="56">
        <v>18</v>
      </c>
      <c r="B63" s="88" t="s">
        <v>144</v>
      </c>
      <c r="C63" s="68" t="s">
        <v>25</v>
      </c>
      <c r="D63" s="88" t="s">
        <v>30</v>
      </c>
      <c r="E63" s="23"/>
      <c r="F63" s="89">
        <v>2.6</v>
      </c>
      <c r="G63" s="24">
        <v>286</v>
      </c>
    </row>
    <row r="64" spans="1:7" ht="15.75" customHeight="1">
      <c r="A64" s="56"/>
      <c r="B64" s="100" t="s">
        <v>44</v>
      </c>
      <c r="C64" s="20"/>
      <c r="D64" s="19"/>
      <c r="E64" s="19"/>
      <c r="F64" s="38"/>
      <c r="G64" s="23"/>
    </row>
    <row r="65" spans="1:7" ht="15.75" customHeight="1">
      <c r="A65" s="56">
        <v>19</v>
      </c>
      <c r="B65" s="82" t="s">
        <v>45</v>
      </c>
      <c r="C65" s="51" t="s">
        <v>127</v>
      </c>
      <c r="D65" s="50" t="s">
        <v>71</v>
      </c>
      <c r="E65" s="23">
        <v>0</v>
      </c>
      <c r="F65" s="47">
        <v>237.74</v>
      </c>
      <c r="G65" s="24">
        <v>237.74</v>
      </c>
    </row>
    <row r="66" spans="1:7" ht="15.75" hidden="1" customHeight="1">
      <c r="A66" s="38">
        <v>29</v>
      </c>
      <c r="B66" s="82" t="s">
        <v>46</v>
      </c>
      <c r="C66" s="51" t="s">
        <v>127</v>
      </c>
      <c r="D66" s="50" t="s">
        <v>71</v>
      </c>
      <c r="E66" s="23">
        <v>0</v>
      </c>
      <c r="F66" s="47">
        <v>81.510000000000005</v>
      </c>
      <c r="G66" s="24">
        <v>0</v>
      </c>
    </row>
    <row r="67" spans="1:7" ht="15.75" hidden="1" customHeight="1">
      <c r="A67" s="38">
        <v>8</v>
      </c>
      <c r="B67" s="82" t="s">
        <v>47</v>
      </c>
      <c r="C67" s="53" t="s">
        <v>129</v>
      </c>
      <c r="D67" s="50" t="s">
        <v>53</v>
      </c>
      <c r="E67" s="23">
        <v>13.47</v>
      </c>
      <c r="F67" s="47">
        <v>226.79</v>
      </c>
      <c r="G67" s="23">
        <v>0</v>
      </c>
    </row>
    <row r="68" spans="1:7" ht="15.75" hidden="1" customHeight="1">
      <c r="A68" s="38">
        <v>9</v>
      </c>
      <c r="B68" s="82" t="s">
        <v>48</v>
      </c>
      <c r="C68" s="51" t="s">
        <v>130</v>
      </c>
      <c r="D68" s="50"/>
      <c r="E68" s="23">
        <v>1.35</v>
      </c>
      <c r="F68" s="47">
        <v>176.61</v>
      </c>
      <c r="G68" s="23">
        <v>0</v>
      </c>
    </row>
    <row r="69" spans="1:7" ht="15.75" hidden="1" customHeight="1">
      <c r="A69" s="38">
        <v>10</v>
      </c>
      <c r="B69" s="82" t="s">
        <v>49</v>
      </c>
      <c r="C69" s="51" t="s">
        <v>81</v>
      </c>
      <c r="D69" s="50" t="s">
        <v>53</v>
      </c>
      <c r="E69" s="23">
        <v>0</v>
      </c>
      <c r="F69" s="47">
        <v>2217.7800000000002</v>
      </c>
      <c r="G69" s="23">
        <v>0</v>
      </c>
    </row>
    <row r="70" spans="1:7" ht="15.75" hidden="1" customHeight="1">
      <c r="A70" s="38">
        <v>11</v>
      </c>
      <c r="B70" s="70" t="s">
        <v>131</v>
      </c>
      <c r="C70" s="51" t="s">
        <v>33</v>
      </c>
      <c r="D70" s="50"/>
      <c r="E70" s="15">
        <v>0</v>
      </c>
      <c r="F70" s="47">
        <v>42.67</v>
      </c>
      <c r="G70" s="23">
        <v>0</v>
      </c>
    </row>
    <row r="71" spans="1:7" ht="15.75" hidden="1" customHeight="1">
      <c r="A71" s="38">
        <v>12</v>
      </c>
      <c r="B71" s="70" t="s">
        <v>132</v>
      </c>
      <c r="C71" s="51" t="s">
        <v>33</v>
      </c>
      <c r="D71" s="50"/>
      <c r="E71" s="15"/>
      <c r="F71" s="47">
        <v>39.81</v>
      </c>
      <c r="G71" s="23">
        <v>0</v>
      </c>
    </row>
    <row r="72" spans="1:7" ht="15.75" hidden="1" customHeight="1">
      <c r="A72" s="38">
        <v>13</v>
      </c>
      <c r="B72" s="50" t="s">
        <v>58</v>
      </c>
      <c r="C72" s="51" t="s">
        <v>59</v>
      </c>
      <c r="D72" s="50" t="s">
        <v>53</v>
      </c>
      <c r="E72" s="15"/>
      <c r="F72" s="47">
        <v>53.32</v>
      </c>
      <c r="G72" s="23">
        <v>0</v>
      </c>
    </row>
    <row r="73" spans="1:7" ht="15.75" hidden="1" customHeight="1">
      <c r="A73" s="69"/>
      <c r="B73" s="121" t="s">
        <v>111</v>
      </c>
      <c r="C73" s="122"/>
      <c r="D73" s="122"/>
      <c r="E73" s="122"/>
      <c r="F73" s="123"/>
      <c r="G73" s="23"/>
    </row>
    <row r="74" spans="1:7" ht="15.75" hidden="1" customHeight="1">
      <c r="A74" s="38">
        <v>36</v>
      </c>
      <c r="B74" s="42" t="s">
        <v>133</v>
      </c>
      <c r="C74" s="83"/>
      <c r="D74" s="50" t="s">
        <v>53</v>
      </c>
      <c r="E74" s="23">
        <v>0</v>
      </c>
      <c r="F74" s="49">
        <v>7140.7</v>
      </c>
      <c r="G74" s="23">
        <v>0</v>
      </c>
    </row>
    <row r="75" spans="1:7" ht="15.75" hidden="1" customHeight="1">
      <c r="A75" s="38"/>
      <c r="B75" s="64" t="s">
        <v>76</v>
      </c>
      <c r="C75" s="64"/>
      <c r="D75" s="64"/>
      <c r="E75" s="23"/>
      <c r="F75" s="38"/>
      <c r="G75" s="23"/>
    </row>
    <row r="76" spans="1:7" ht="15.75" hidden="1" customHeight="1">
      <c r="A76" s="38">
        <v>18</v>
      </c>
      <c r="B76" s="50" t="s">
        <v>77</v>
      </c>
      <c r="C76" s="51" t="s">
        <v>79</v>
      </c>
      <c r="D76" s="50" t="s">
        <v>71</v>
      </c>
      <c r="E76" s="23"/>
      <c r="F76" s="47">
        <v>536.23</v>
      </c>
      <c r="G76" s="23">
        <v>50.16</v>
      </c>
    </row>
    <row r="77" spans="1:7" ht="15.75" hidden="1" customHeight="1">
      <c r="A77" s="38"/>
      <c r="B77" s="50" t="s">
        <v>78</v>
      </c>
      <c r="C77" s="51" t="s">
        <v>31</v>
      </c>
      <c r="D77" s="50" t="s">
        <v>71</v>
      </c>
      <c r="E77" s="23"/>
      <c r="F77" s="47">
        <v>911.85</v>
      </c>
      <c r="G77" s="23">
        <v>0</v>
      </c>
    </row>
    <row r="78" spans="1:7" ht="15.75" hidden="1" customHeight="1">
      <c r="A78" s="38">
        <v>38</v>
      </c>
      <c r="B78" s="50" t="s">
        <v>134</v>
      </c>
      <c r="C78" s="51" t="s">
        <v>31</v>
      </c>
      <c r="D78" s="50" t="s">
        <v>71</v>
      </c>
      <c r="E78" s="23"/>
      <c r="F78" s="47">
        <v>383.25</v>
      </c>
      <c r="G78" s="23">
        <v>0</v>
      </c>
    </row>
    <row r="79" spans="1:7" ht="15.75" hidden="1" customHeight="1">
      <c r="A79" s="38"/>
      <c r="B79" s="65" t="s">
        <v>80</v>
      </c>
      <c r="C79" s="51"/>
      <c r="D79" s="38"/>
      <c r="E79" s="23"/>
      <c r="F79" s="47" t="s">
        <v>160</v>
      </c>
      <c r="G79" s="23"/>
    </row>
    <row r="80" spans="1:7" ht="15.75" hidden="1" customHeight="1">
      <c r="A80" s="38">
        <v>39</v>
      </c>
      <c r="B80" s="52" t="s">
        <v>146</v>
      </c>
      <c r="C80" s="53" t="s">
        <v>81</v>
      </c>
      <c r="D80" s="82"/>
      <c r="E80" s="23"/>
      <c r="F80" s="48">
        <v>2949.85</v>
      </c>
      <c r="G80" s="23">
        <v>0</v>
      </c>
    </row>
    <row r="81" spans="1:7" ht="15.75" customHeight="1">
      <c r="A81" s="137" t="s">
        <v>176</v>
      </c>
      <c r="B81" s="138"/>
      <c r="C81" s="138"/>
      <c r="D81" s="138"/>
      <c r="E81" s="138"/>
      <c r="F81" s="138"/>
      <c r="G81" s="139"/>
    </row>
    <row r="82" spans="1:7" ht="15.75" customHeight="1">
      <c r="A82" s="38">
        <v>20</v>
      </c>
      <c r="B82" s="42" t="s">
        <v>135</v>
      </c>
      <c r="C82" s="51" t="s">
        <v>54</v>
      </c>
      <c r="D82" s="84" t="s">
        <v>55</v>
      </c>
      <c r="E82" s="19">
        <v>327.9</v>
      </c>
      <c r="F82" s="47">
        <v>2.54</v>
      </c>
      <c r="G82" s="16">
        <v>6118.86</v>
      </c>
    </row>
    <row r="83" spans="1:7" ht="31.5" customHeight="1">
      <c r="A83" s="38">
        <v>21</v>
      </c>
      <c r="B83" s="50" t="s">
        <v>82</v>
      </c>
      <c r="C83" s="51"/>
      <c r="D83" s="84" t="s">
        <v>55</v>
      </c>
      <c r="E83" s="19"/>
      <c r="F83" s="47">
        <v>3.05</v>
      </c>
      <c r="G83" s="16">
        <v>7347.45</v>
      </c>
    </row>
    <row r="84" spans="1:7" ht="15.75" customHeight="1">
      <c r="A84" s="69"/>
      <c r="B84" s="54" t="s">
        <v>86</v>
      </c>
      <c r="C84" s="56"/>
      <c r="D84" s="19"/>
      <c r="E84" s="19"/>
      <c r="F84" s="23"/>
      <c r="G84" s="40">
        <f>SUM(G16+G17+G18+G20+G21+G27+G28+G38+G40+G41+G42+G43+G44+G57+G59+G63+G65+G82+G83)</f>
        <v>41692.399999999994</v>
      </c>
    </row>
    <row r="85" spans="1:7" ht="15.75" customHeight="1">
      <c r="A85" s="69"/>
      <c r="B85" s="80" t="s">
        <v>61</v>
      </c>
      <c r="C85" s="80"/>
      <c r="D85" s="80"/>
      <c r="E85" s="80"/>
      <c r="F85" s="80"/>
      <c r="G85" s="80"/>
    </row>
    <row r="86" spans="1:7" ht="31.5" customHeight="1">
      <c r="A86" s="38">
        <v>22</v>
      </c>
      <c r="B86" s="81" t="s">
        <v>161</v>
      </c>
      <c r="C86" s="106" t="s">
        <v>88</v>
      </c>
      <c r="D86" s="80"/>
      <c r="E86" s="19"/>
      <c r="F86" s="47">
        <v>994.03</v>
      </c>
      <c r="G86" s="16">
        <v>1491.05</v>
      </c>
    </row>
    <row r="87" spans="1:7" ht="15.75" customHeight="1">
      <c r="A87" s="38">
        <v>23</v>
      </c>
      <c r="B87" s="86" t="s">
        <v>166</v>
      </c>
      <c r="C87" s="87" t="s">
        <v>96</v>
      </c>
      <c r="D87" s="80"/>
      <c r="E87" s="19"/>
      <c r="F87" s="47">
        <v>185.81</v>
      </c>
      <c r="G87" s="16">
        <v>185.81</v>
      </c>
    </row>
    <row r="88" spans="1:7" ht="31.5" customHeight="1">
      <c r="A88" s="38">
        <v>24</v>
      </c>
      <c r="B88" s="173" t="s">
        <v>240</v>
      </c>
      <c r="C88" s="38" t="s">
        <v>241</v>
      </c>
      <c r="D88" s="80"/>
      <c r="E88" s="19"/>
      <c r="F88" s="47">
        <v>1835.8</v>
      </c>
      <c r="G88" s="16">
        <f>F88</f>
        <v>1835.8</v>
      </c>
    </row>
    <row r="89" spans="1:7" ht="31.5" customHeight="1">
      <c r="A89" s="38">
        <v>25</v>
      </c>
      <c r="B89" s="86" t="s">
        <v>162</v>
      </c>
      <c r="C89" s="87" t="s">
        <v>148</v>
      </c>
      <c r="D89" s="80"/>
      <c r="E89" s="19"/>
      <c r="F89" s="47">
        <v>559.62</v>
      </c>
      <c r="G89" s="16">
        <v>1119.24</v>
      </c>
    </row>
    <row r="90" spans="1:7" ht="15.75" customHeight="1">
      <c r="A90" s="38">
        <v>26</v>
      </c>
      <c r="B90" s="81" t="s">
        <v>167</v>
      </c>
      <c r="C90" s="106" t="s">
        <v>168</v>
      </c>
      <c r="D90" s="80"/>
      <c r="E90" s="19"/>
      <c r="F90" s="47">
        <v>3210.77</v>
      </c>
      <c r="G90" s="16">
        <f>F90*0.2</f>
        <v>642.154</v>
      </c>
    </row>
    <row r="91" spans="1:7" ht="15.75" customHeight="1">
      <c r="A91" s="38">
        <v>27</v>
      </c>
      <c r="B91" s="81" t="s">
        <v>91</v>
      </c>
      <c r="C91" s="99" t="s">
        <v>127</v>
      </c>
      <c r="D91" s="80"/>
      <c r="E91" s="19"/>
      <c r="F91" s="47">
        <v>180.15</v>
      </c>
      <c r="G91" s="16">
        <v>180.15</v>
      </c>
    </row>
    <row r="92" spans="1:7" ht="15.75" customHeight="1">
      <c r="A92" s="38"/>
      <c r="B92" s="61" t="s">
        <v>50</v>
      </c>
      <c r="C92" s="57"/>
      <c r="D92" s="71"/>
      <c r="E92" s="57">
        <v>1</v>
      </c>
      <c r="F92" s="57"/>
      <c r="G92" s="40">
        <f>SUM(G86:G91)</f>
        <v>5454.2039999999997</v>
      </c>
    </row>
    <row r="93" spans="1:7" ht="15.75" customHeight="1">
      <c r="A93" s="38"/>
      <c r="B93" s="67" t="s">
        <v>83</v>
      </c>
      <c r="C93" s="19"/>
      <c r="D93" s="19"/>
      <c r="E93" s="58"/>
      <c r="F93" s="59"/>
      <c r="G93" s="22">
        <v>0</v>
      </c>
    </row>
    <row r="94" spans="1:7" ht="15.75" customHeight="1">
      <c r="A94" s="72"/>
      <c r="B94" s="62" t="s">
        <v>51</v>
      </c>
      <c r="C94" s="46"/>
      <c r="D94" s="46"/>
      <c r="E94" s="46"/>
      <c r="F94" s="46"/>
      <c r="G94" s="60">
        <f>G84+G92</f>
        <v>47146.603999999992</v>
      </c>
    </row>
    <row r="95" spans="1:7" ht="15.75">
      <c r="A95" s="124" t="s">
        <v>242</v>
      </c>
      <c r="B95" s="124"/>
      <c r="C95" s="124"/>
      <c r="D95" s="124"/>
      <c r="E95" s="124"/>
      <c r="F95" s="124"/>
      <c r="G95" s="124"/>
    </row>
    <row r="96" spans="1:7" ht="15.75">
      <c r="A96" s="78"/>
      <c r="B96" s="125" t="s">
        <v>243</v>
      </c>
      <c r="C96" s="125"/>
      <c r="D96" s="125"/>
      <c r="E96" s="125"/>
      <c r="F96" s="125"/>
      <c r="G96" s="3"/>
    </row>
    <row r="97" spans="1:7">
      <c r="A97" s="75"/>
      <c r="B97" s="126" t="s">
        <v>6</v>
      </c>
      <c r="C97" s="126"/>
      <c r="D97" s="126"/>
      <c r="E97" s="126"/>
      <c r="F97" s="126"/>
      <c r="G97" s="5"/>
    </row>
    <row r="98" spans="1:7">
      <c r="A98" s="10"/>
      <c r="B98" s="10"/>
      <c r="C98" s="10"/>
      <c r="D98" s="10"/>
      <c r="E98" s="10"/>
      <c r="F98" s="10"/>
      <c r="G98" s="10"/>
    </row>
    <row r="99" spans="1:7" ht="15.75">
      <c r="A99" s="127" t="s">
        <v>7</v>
      </c>
      <c r="B99" s="127"/>
      <c r="C99" s="127"/>
      <c r="D99" s="127"/>
      <c r="E99" s="127"/>
      <c r="F99" s="127"/>
      <c r="G99" s="127"/>
    </row>
    <row r="100" spans="1:7" ht="15.75">
      <c r="A100" s="127" t="s">
        <v>8</v>
      </c>
      <c r="B100" s="127"/>
      <c r="C100" s="127"/>
      <c r="D100" s="127"/>
      <c r="E100" s="127"/>
      <c r="F100" s="127"/>
      <c r="G100" s="127"/>
    </row>
    <row r="101" spans="1:7" ht="15.75">
      <c r="A101" s="120" t="s">
        <v>62</v>
      </c>
      <c r="B101" s="120"/>
      <c r="C101" s="120"/>
      <c r="D101" s="120"/>
      <c r="E101" s="120"/>
      <c r="F101" s="120"/>
      <c r="G101" s="120"/>
    </row>
    <row r="102" spans="1:7" ht="15.75">
      <c r="A102" s="11"/>
    </row>
    <row r="103" spans="1:7" ht="15.75">
      <c r="A103" s="129" t="s">
        <v>9</v>
      </c>
      <c r="B103" s="129"/>
      <c r="C103" s="129"/>
      <c r="D103" s="129"/>
      <c r="E103" s="129"/>
      <c r="F103" s="129"/>
      <c r="G103" s="129"/>
    </row>
    <row r="104" spans="1:7" ht="15.75">
      <c r="A104" s="4"/>
    </row>
    <row r="105" spans="1:7" ht="15.75">
      <c r="B105" s="73" t="s">
        <v>10</v>
      </c>
      <c r="C105" s="140" t="s">
        <v>174</v>
      </c>
      <c r="D105" s="140"/>
      <c r="E105" s="140"/>
      <c r="G105" s="76"/>
    </row>
    <row r="106" spans="1:7">
      <c r="A106" s="75"/>
      <c r="C106" s="126" t="s">
        <v>11</v>
      </c>
      <c r="D106" s="126"/>
      <c r="E106" s="126"/>
      <c r="G106" s="74" t="s">
        <v>12</v>
      </c>
    </row>
    <row r="107" spans="1:7" ht="15.75">
      <c r="A107" s="34"/>
      <c r="C107" s="12"/>
      <c r="D107" s="12"/>
      <c r="F107" s="12"/>
    </row>
    <row r="108" spans="1:7" ht="15.75">
      <c r="B108" s="73" t="s">
        <v>13</v>
      </c>
      <c r="C108" s="130"/>
      <c r="D108" s="130"/>
      <c r="E108" s="130"/>
      <c r="G108" s="76"/>
    </row>
    <row r="109" spans="1:7">
      <c r="A109" s="75"/>
      <c r="C109" s="131" t="s">
        <v>11</v>
      </c>
      <c r="D109" s="131"/>
      <c r="E109" s="131"/>
      <c r="G109" s="74" t="s">
        <v>12</v>
      </c>
    </row>
    <row r="110" spans="1:7" ht="15.75">
      <c r="A110" s="4" t="s">
        <v>14</v>
      </c>
    </row>
    <row r="111" spans="1:7">
      <c r="A111" s="132" t="s">
        <v>15</v>
      </c>
      <c r="B111" s="132"/>
      <c r="C111" s="132"/>
      <c r="D111" s="132"/>
      <c r="E111" s="132"/>
      <c r="F111" s="132"/>
      <c r="G111" s="132"/>
    </row>
    <row r="112" spans="1:7" ht="45" customHeight="1">
      <c r="A112" s="128" t="s">
        <v>16</v>
      </c>
      <c r="B112" s="128"/>
      <c r="C112" s="128"/>
      <c r="D112" s="128"/>
      <c r="E112" s="128"/>
      <c r="F112" s="128"/>
      <c r="G112" s="128"/>
    </row>
    <row r="113" spans="1:7" ht="30" customHeight="1">
      <c r="A113" s="128" t="s">
        <v>17</v>
      </c>
      <c r="B113" s="128"/>
      <c r="C113" s="128"/>
      <c r="D113" s="128"/>
      <c r="E113" s="128"/>
      <c r="F113" s="128"/>
      <c r="G113" s="128"/>
    </row>
    <row r="114" spans="1:7" ht="30" customHeight="1">
      <c r="A114" s="128" t="s">
        <v>21</v>
      </c>
      <c r="B114" s="128"/>
      <c r="C114" s="128"/>
      <c r="D114" s="128"/>
      <c r="E114" s="128"/>
      <c r="F114" s="128"/>
      <c r="G114" s="128"/>
    </row>
    <row r="115" spans="1:7" ht="15" customHeight="1">
      <c r="A115" s="128" t="s">
        <v>20</v>
      </c>
      <c r="B115" s="128"/>
      <c r="C115" s="128"/>
      <c r="D115" s="128"/>
      <c r="E115" s="128"/>
      <c r="F115" s="128"/>
      <c r="G115" s="128"/>
    </row>
  </sheetData>
  <mergeCells count="28">
    <mergeCell ref="A112:G112"/>
    <mergeCell ref="A113:G113"/>
    <mergeCell ref="A114:G114"/>
    <mergeCell ref="A115:G115"/>
    <mergeCell ref="A103:G103"/>
    <mergeCell ref="C105:E105"/>
    <mergeCell ref="C106:E106"/>
    <mergeCell ref="C108:E108"/>
    <mergeCell ref="C109:E109"/>
    <mergeCell ref="A111:G111"/>
    <mergeCell ref="A101:G101"/>
    <mergeCell ref="A15:G15"/>
    <mergeCell ref="A29:G29"/>
    <mergeCell ref="A45:G45"/>
    <mergeCell ref="A55:G55"/>
    <mergeCell ref="B73:F73"/>
    <mergeCell ref="A95:G95"/>
    <mergeCell ref="B96:F96"/>
    <mergeCell ref="B97:F97"/>
    <mergeCell ref="A99:G99"/>
    <mergeCell ref="A100:G100"/>
    <mergeCell ref="A81:G81"/>
    <mergeCell ref="A14:G14"/>
    <mergeCell ref="A3:G3"/>
    <mergeCell ref="A4:G4"/>
    <mergeCell ref="A5:G5"/>
    <mergeCell ref="A8:G8"/>
    <mergeCell ref="A10:G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6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6" t="s">
        <v>99</v>
      </c>
      <c r="G1" s="35"/>
      <c r="H1" s="1"/>
      <c r="I1" s="1"/>
      <c r="J1" s="1"/>
      <c r="K1" s="1"/>
    </row>
    <row r="2" spans="1:11" ht="15.75">
      <c r="A2" s="37" t="s">
        <v>66</v>
      </c>
      <c r="H2" s="2"/>
      <c r="I2" s="2"/>
      <c r="J2" s="2"/>
      <c r="K2" s="2"/>
    </row>
    <row r="3" spans="1:11" ht="15.75" customHeight="1">
      <c r="A3" s="115" t="s">
        <v>136</v>
      </c>
      <c r="B3" s="115"/>
      <c r="C3" s="115"/>
      <c r="D3" s="115"/>
      <c r="E3" s="115"/>
      <c r="F3" s="115"/>
      <c r="G3" s="115"/>
      <c r="H3" s="3"/>
      <c r="I3" s="3"/>
      <c r="J3" s="3"/>
    </row>
    <row r="4" spans="1:11" ht="31.5" customHeight="1">
      <c r="A4" s="116" t="s">
        <v>165</v>
      </c>
      <c r="B4" s="116"/>
      <c r="C4" s="116"/>
      <c r="D4" s="116"/>
      <c r="E4" s="116"/>
      <c r="F4" s="116"/>
      <c r="G4" s="116"/>
    </row>
    <row r="5" spans="1:11" ht="15.75">
      <c r="A5" s="115" t="s">
        <v>137</v>
      </c>
      <c r="B5" s="117"/>
      <c r="C5" s="117"/>
      <c r="D5" s="117"/>
      <c r="E5" s="117"/>
      <c r="F5" s="117"/>
      <c r="G5" s="117"/>
      <c r="H5" s="2"/>
      <c r="I5" s="2"/>
      <c r="J5" s="2"/>
      <c r="K5" s="2"/>
    </row>
    <row r="6" spans="1:11" ht="15.75">
      <c r="A6" s="2"/>
      <c r="B6" s="77"/>
      <c r="C6" s="77"/>
      <c r="D6" s="77"/>
      <c r="E6" s="77"/>
      <c r="F6" s="77"/>
      <c r="G6" s="39">
        <v>42735</v>
      </c>
      <c r="H6" s="2"/>
      <c r="I6" s="2"/>
      <c r="J6" s="2"/>
      <c r="K6" s="2"/>
    </row>
    <row r="7" spans="1:11" ht="15.75">
      <c r="B7" s="73"/>
      <c r="C7" s="73"/>
      <c r="D7" s="73"/>
      <c r="E7" s="3"/>
      <c r="F7" s="3"/>
      <c r="H7" s="3"/>
      <c r="I7" s="3"/>
      <c r="J7" s="3"/>
      <c r="K7" s="3"/>
    </row>
    <row r="8" spans="1:11" ht="87" customHeight="1">
      <c r="A8" s="118" t="s">
        <v>169</v>
      </c>
      <c r="B8" s="118"/>
      <c r="C8" s="118"/>
      <c r="D8" s="118"/>
      <c r="E8" s="118"/>
      <c r="F8" s="118"/>
      <c r="G8" s="118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119" t="s">
        <v>170</v>
      </c>
      <c r="B10" s="119"/>
      <c r="C10" s="119"/>
      <c r="D10" s="119"/>
      <c r="E10" s="119"/>
      <c r="F10" s="119"/>
      <c r="G10" s="119"/>
      <c r="H10" s="2"/>
      <c r="I10" s="2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14" t="s">
        <v>60</v>
      </c>
      <c r="B14" s="114"/>
      <c r="C14" s="114"/>
      <c r="D14" s="114"/>
      <c r="E14" s="114"/>
      <c r="F14" s="114"/>
      <c r="G14" s="114"/>
      <c r="H14" s="8"/>
      <c r="I14" s="8"/>
      <c r="J14" s="8"/>
      <c r="K14" s="8"/>
    </row>
    <row r="15" spans="1:11" ht="15" customHeight="1">
      <c r="A15" s="133" t="s">
        <v>4</v>
      </c>
      <c r="B15" s="133"/>
      <c r="C15" s="133"/>
      <c r="D15" s="133"/>
      <c r="E15" s="133"/>
      <c r="F15" s="133"/>
      <c r="G15" s="133"/>
      <c r="H15" s="8"/>
      <c r="I15" s="8"/>
      <c r="J15" s="8"/>
      <c r="K15" s="8"/>
    </row>
    <row r="16" spans="1:11" ht="30">
      <c r="A16" s="38">
        <v>1</v>
      </c>
      <c r="B16" s="42" t="s">
        <v>102</v>
      </c>
      <c r="C16" s="55" t="s">
        <v>103</v>
      </c>
      <c r="D16" s="42" t="s">
        <v>104</v>
      </c>
      <c r="E16" s="38"/>
      <c r="F16" s="41">
        <v>187.48</v>
      </c>
      <c r="G16" s="85">
        <v>1654.89</v>
      </c>
      <c r="H16" s="30"/>
      <c r="I16" s="8"/>
      <c r="J16" s="8"/>
      <c r="K16" s="8"/>
    </row>
    <row r="17" spans="1:11" ht="31.5" customHeight="1">
      <c r="A17" s="38">
        <v>2</v>
      </c>
      <c r="B17" s="42" t="s">
        <v>138</v>
      </c>
      <c r="C17" s="55" t="s">
        <v>103</v>
      </c>
      <c r="D17" s="42" t="s">
        <v>105</v>
      </c>
      <c r="E17" s="38"/>
      <c r="F17" s="41">
        <v>187.48</v>
      </c>
      <c r="G17" s="85">
        <v>4413.03</v>
      </c>
      <c r="H17" s="31"/>
      <c r="I17" s="8"/>
      <c r="J17" s="8"/>
      <c r="K17" s="8"/>
    </row>
    <row r="18" spans="1:11" ht="31.5" customHeight="1">
      <c r="A18" s="38">
        <v>3</v>
      </c>
      <c r="B18" s="42" t="s">
        <v>139</v>
      </c>
      <c r="C18" s="55" t="s">
        <v>103</v>
      </c>
      <c r="D18" s="42" t="s">
        <v>147</v>
      </c>
      <c r="E18" s="38"/>
      <c r="F18" s="41">
        <v>539.30999999999995</v>
      </c>
      <c r="G18" s="85">
        <v>3661.91</v>
      </c>
      <c r="H18" s="31"/>
      <c r="I18" s="8"/>
      <c r="J18" s="8"/>
      <c r="K18" s="8"/>
    </row>
    <row r="19" spans="1:11" ht="15.75" hidden="1" customHeight="1">
      <c r="A19" s="38"/>
      <c r="B19" s="42" t="s">
        <v>112</v>
      </c>
      <c r="C19" s="55" t="s">
        <v>113</v>
      </c>
      <c r="D19" s="42" t="s">
        <v>114</v>
      </c>
      <c r="E19" s="38"/>
      <c r="F19" s="41">
        <v>181.91</v>
      </c>
      <c r="G19" s="85">
        <v>0</v>
      </c>
      <c r="H19" s="31"/>
      <c r="I19" s="8"/>
      <c r="J19" s="8"/>
      <c r="K19" s="8"/>
    </row>
    <row r="20" spans="1:11" ht="15.75" customHeight="1">
      <c r="A20" s="38">
        <v>4</v>
      </c>
      <c r="B20" s="42" t="s">
        <v>115</v>
      </c>
      <c r="C20" s="55" t="s">
        <v>103</v>
      </c>
      <c r="D20" s="42" t="s">
        <v>140</v>
      </c>
      <c r="E20" s="38"/>
      <c r="F20" s="41">
        <v>232.92</v>
      </c>
      <c r="G20" s="85">
        <v>16.3</v>
      </c>
      <c r="H20" s="31"/>
      <c r="I20" s="8"/>
      <c r="J20" s="8"/>
      <c r="K20" s="8"/>
    </row>
    <row r="21" spans="1:11" ht="15.75" hidden="1" customHeight="1">
      <c r="A21" s="38">
        <v>5</v>
      </c>
      <c r="B21" s="42" t="s">
        <v>116</v>
      </c>
      <c r="C21" s="55" t="s">
        <v>103</v>
      </c>
      <c r="D21" s="42" t="s">
        <v>149</v>
      </c>
      <c r="E21" s="38"/>
      <c r="F21" s="41">
        <v>231.03</v>
      </c>
      <c r="G21" s="85">
        <v>5.54</v>
      </c>
      <c r="H21" s="31"/>
      <c r="I21" s="8"/>
      <c r="J21" s="8"/>
      <c r="K21" s="8"/>
    </row>
    <row r="22" spans="1:11" ht="15.75" hidden="1" customHeight="1">
      <c r="A22" s="38"/>
      <c r="B22" s="42" t="s">
        <v>117</v>
      </c>
      <c r="C22" s="55" t="s">
        <v>52</v>
      </c>
      <c r="D22" s="42" t="s">
        <v>114</v>
      </c>
      <c r="E22" s="38"/>
      <c r="F22" s="41">
        <v>287.83999999999997</v>
      </c>
      <c r="G22" s="85">
        <v>0</v>
      </c>
      <c r="H22" s="31"/>
      <c r="I22" s="8"/>
      <c r="J22" s="8"/>
      <c r="K22" s="8"/>
    </row>
    <row r="23" spans="1:11" ht="15.75" hidden="1" customHeight="1">
      <c r="A23" s="38"/>
      <c r="B23" s="42" t="s">
        <v>118</v>
      </c>
      <c r="C23" s="55" t="s">
        <v>52</v>
      </c>
      <c r="D23" s="42" t="s">
        <v>114</v>
      </c>
      <c r="E23" s="38"/>
      <c r="F23" s="41">
        <v>47.34</v>
      </c>
      <c r="G23" s="85">
        <v>0</v>
      </c>
      <c r="H23" s="31"/>
      <c r="I23" s="8"/>
      <c r="J23" s="8"/>
      <c r="K23" s="8"/>
    </row>
    <row r="24" spans="1:11" ht="15.75" hidden="1" customHeight="1">
      <c r="A24" s="38">
        <v>6</v>
      </c>
      <c r="B24" s="42" t="s">
        <v>119</v>
      </c>
      <c r="C24" s="55" t="s">
        <v>52</v>
      </c>
      <c r="D24" s="42" t="s">
        <v>53</v>
      </c>
      <c r="E24" s="38"/>
      <c r="F24" s="41">
        <v>416.62</v>
      </c>
      <c r="G24" s="85">
        <v>0</v>
      </c>
      <c r="H24" s="31"/>
      <c r="I24" s="8"/>
      <c r="J24" s="8"/>
      <c r="K24" s="8"/>
    </row>
    <row r="25" spans="1:11" ht="15.75" hidden="1" customHeight="1">
      <c r="A25" s="38"/>
      <c r="B25" s="42" t="s">
        <v>120</v>
      </c>
      <c r="C25" s="55" t="s">
        <v>52</v>
      </c>
      <c r="D25" s="42" t="s">
        <v>53</v>
      </c>
      <c r="E25" s="38"/>
      <c r="F25" s="41">
        <v>556.74</v>
      </c>
      <c r="G25" s="85">
        <v>0</v>
      </c>
      <c r="H25" s="31"/>
      <c r="I25" s="8"/>
      <c r="J25" s="8"/>
      <c r="K25" s="8"/>
    </row>
    <row r="26" spans="1:11" ht="15.75" hidden="1" customHeight="1">
      <c r="A26" s="38"/>
      <c r="B26" s="42" t="s">
        <v>145</v>
      </c>
      <c r="C26" s="55" t="s">
        <v>52</v>
      </c>
      <c r="D26" s="42" t="s">
        <v>53</v>
      </c>
      <c r="E26" s="38"/>
      <c r="F26" s="41">
        <v>231.03</v>
      </c>
      <c r="G26" s="85">
        <v>0</v>
      </c>
      <c r="H26" s="31"/>
      <c r="I26" s="8"/>
      <c r="J26" s="8"/>
      <c r="K26" s="8"/>
    </row>
    <row r="27" spans="1:11" ht="16.5" customHeight="1">
      <c r="A27" s="56">
        <v>5</v>
      </c>
      <c r="B27" s="42" t="s">
        <v>68</v>
      </c>
      <c r="C27" s="55" t="s">
        <v>33</v>
      </c>
      <c r="D27" s="42" t="s">
        <v>141</v>
      </c>
      <c r="E27" s="22">
        <v>506.1</v>
      </c>
      <c r="F27" s="41">
        <v>157.18</v>
      </c>
      <c r="G27" s="85">
        <v>478.09</v>
      </c>
      <c r="H27" s="31"/>
      <c r="I27" s="8"/>
      <c r="J27" s="8"/>
      <c r="K27" s="8"/>
    </row>
    <row r="28" spans="1:11" ht="15" customHeight="1">
      <c r="A28" s="56">
        <v>6</v>
      </c>
      <c r="B28" s="13" t="s">
        <v>23</v>
      </c>
      <c r="C28" s="14" t="s">
        <v>24</v>
      </c>
      <c r="D28" s="38"/>
      <c r="E28" s="22">
        <v>506.1</v>
      </c>
      <c r="F28" s="41">
        <v>4.72</v>
      </c>
      <c r="G28" s="85">
        <v>11370.48</v>
      </c>
      <c r="H28" s="31"/>
      <c r="I28" s="8"/>
      <c r="J28" s="8"/>
      <c r="K28" s="8"/>
    </row>
    <row r="29" spans="1:11" ht="15" customHeight="1">
      <c r="A29" s="133" t="s">
        <v>98</v>
      </c>
      <c r="B29" s="133"/>
      <c r="C29" s="133"/>
      <c r="D29" s="133"/>
      <c r="E29" s="133"/>
      <c r="F29" s="133"/>
      <c r="G29" s="133"/>
      <c r="H29" s="31"/>
      <c r="I29" s="8"/>
      <c r="J29" s="8"/>
      <c r="K29" s="8"/>
    </row>
    <row r="30" spans="1:11" ht="13.5" hidden="1" customHeight="1">
      <c r="A30" s="56"/>
      <c r="B30" s="66" t="s">
        <v>28</v>
      </c>
      <c r="C30" s="66"/>
      <c r="D30" s="66"/>
      <c r="E30" s="66"/>
      <c r="F30" s="66"/>
      <c r="G30" s="23"/>
      <c r="H30" s="31"/>
      <c r="I30" s="8"/>
      <c r="J30" s="8"/>
      <c r="K30" s="8"/>
    </row>
    <row r="31" spans="1:11" ht="31.5" hidden="1" customHeight="1">
      <c r="A31" s="56">
        <v>2</v>
      </c>
      <c r="B31" s="42" t="s">
        <v>124</v>
      </c>
      <c r="C31" s="55" t="s">
        <v>107</v>
      </c>
      <c r="D31" s="42" t="s">
        <v>121</v>
      </c>
      <c r="E31" s="17">
        <v>2.31</v>
      </c>
      <c r="F31" s="41">
        <v>166.65</v>
      </c>
      <c r="G31" s="16">
        <v>0</v>
      </c>
      <c r="H31" s="31"/>
      <c r="I31" s="8"/>
      <c r="J31" s="8"/>
      <c r="K31" s="8"/>
    </row>
    <row r="32" spans="1:11" ht="31.5" hidden="1" customHeight="1">
      <c r="A32" s="56">
        <v>3</v>
      </c>
      <c r="B32" s="42" t="s">
        <v>142</v>
      </c>
      <c r="C32" s="55" t="s">
        <v>107</v>
      </c>
      <c r="D32" s="42" t="s">
        <v>122</v>
      </c>
      <c r="E32" s="16">
        <f>0.0024*3*4.5</f>
        <v>3.2399999999999998E-2</v>
      </c>
      <c r="F32" s="41">
        <v>276.48</v>
      </c>
      <c r="G32" s="23">
        <v>0</v>
      </c>
      <c r="H32" s="31"/>
      <c r="I32" s="8"/>
      <c r="J32" s="8"/>
      <c r="K32" s="8"/>
    </row>
    <row r="33" spans="1:12" ht="15" hidden="1" customHeight="1">
      <c r="A33" s="56">
        <v>4</v>
      </c>
      <c r="B33" s="42" t="s">
        <v>27</v>
      </c>
      <c r="C33" s="55" t="s">
        <v>107</v>
      </c>
      <c r="D33" s="42" t="s">
        <v>53</v>
      </c>
      <c r="E33" s="21">
        <v>0</v>
      </c>
      <c r="F33" s="41">
        <v>3228.73</v>
      </c>
      <c r="G33" s="23">
        <v>0</v>
      </c>
      <c r="H33" s="31"/>
      <c r="I33" s="8"/>
    </row>
    <row r="34" spans="1:12" ht="15.75" hidden="1" customHeight="1">
      <c r="A34" s="56">
        <v>4</v>
      </c>
      <c r="B34" s="42" t="s">
        <v>123</v>
      </c>
      <c r="C34" s="55" t="s">
        <v>31</v>
      </c>
      <c r="D34" s="42" t="s">
        <v>67</v>
      </c>
      <c r="E34" s="16">
        <v>3.75</v>
      </c>
      <c r="F34" s="41">
        <v>60.6</v>
      </c>
      <c r="G34" s="16">
        <v>0</v>
      </c>
      <c r="H34" s="32"/>
    </row>
    <row r="35" spans="1:12" ht="15.75" hidden="1" customHeight="1">
      <c r="A35" s="56"/>
      <c r="B35" s="42" t="s">
        <v>69</v>
      </c>
      <c r="C35" s="55" t="s">
        <v>33</v>
      </c>
      <c r="D35" s="42" t="s">
        <v>71</v>
      </c>
      <c r="E35" s="16"/>
      <c r="F35" s="41">
        <v>204.52</v>
      </c>
      <c r="G35" s="16">
        <v>0</v>
      </c>
      <c r="H35" s="32"/>
    </row>
    <row r="36" spans="1:12" ht="15.75" hidden="1" customHeight="1">
      <c r="A36" s="38">
        <v>8</v>
      </c>
      <c r="B36" s="42" t="s">
        <v>70</v>
      </c>
      <c r="C36" s="55" t="s">
        <v>32</v>
      </c>
      <c r="D36" s="42" t="s">
        <v>71</v>
      </c>
      <c r="E36" s="16"/>
      <c r="F36" s="41">
        <v>1214.73</v>
      </c>
      <c r="G36" s="16">
        <v>0</v>
      </c>
      <c r="H36" s="32"/>
    </row>
    <row r="37" spans="1:12" ht="15.75" customHeight="1">
      <c r="A37" s="56"/>
      <c r="B37" s="64" t="s">
        <v>5</v>
      </c>
      <c r="C37" s="64"/>
      <c r="D37" s="64"/>
      <c r="E37" s="16"/>
      <c r="F37" s="17"/>
      <c r="G37" s="23"/>
      <c r="H37" s="32"/>
    </row>
    <row r="38" spans="1:12" ht="15.75" customHeight="1">
      <c r="A38" s="43">
        <v>7</v>
      </c>
      <c r="B38" s="44" t="s">
        <v>26</v>
      </c>
      <c r="C38" s="55" t="s">
        <v>32</v>
      </c>
      <c r="D38" s="42"/>
      <c r="E38" s="16">
        <v>0</v>
      </c>
      <c r="F38" s="41">
        <v>1632.6</v>
      </c>
      <c r="G38" s="16">
        <v>1360.5</v>
      </c>
      <c r="H38" s="32"/>
    </row>
    <row r="39" spans="1:12" ht="15.75" hidden="1" customHeight="1">
      <c r="A39" s="43">
        <v>10</v>
      </c>
      <c r="B39" s="42" t="s">
        <v>150</v>
      </c>
      <c r="C39" s="55" t="s">
        <v>151</v>
      </c>
      <c r="D39" s="42" t="s">
        <v>71</v>
      </c>
      <c r="E39" s="16">
        <v>0</v>
      </c>
      <c r="F39" s="41">
        <v>213.2</v>
      </c>
      <c r="G39" s="16">
        <v>0</v>
      </c>
      <c r="H39" s="32"/>
    </row>
    <row r="40" spans="1:12" ht="15.75" customHeight="1">
      <c r="A40" s="43">
        <v>8</v>
      </c>
      <c r="B40" s="44" t="s">
        <v>125</v>
      </c>
      <c r="C40" s="79" t="s">
        <v>29</v>
      </c>
      <c r="D40" s="42" t="s">
        <v>153</v>
      </c>
      <c r="E40" s="16">
        <v>0</v>
      </c>
      <c r="F40" s="41">
        <v>2247.8000000000002</v>
      </c>
      <c r="G40" s="16">
        <v>857.16</v>
      </c>
      <c r="H40" s="32"/>
    </row>
    <row r="41" spans="1:12" ht="15.75" customHeight="1">
      <c r="A41" s="43">
        <v>9</v>
      </c>
      <c r="B41" s="42" t="s">
        <v>72</v>
      </c>
      <c r="C41" s="55" t="s">
        <v>29</v>
      </c>
      <c r="D41" s="42" t="s">
        <v>106</v>
      </c>
      <c r="E41" s="16">
        <v>0</v>
      </c>
      <c r="F41" s="41">
        <v>374.95</v>
      </c>
      <c r="G41" s="16">
        <v>903.72</v>
      </c>
      <c r="H41" s="32"/>
      <c r="J41" s="25"/>
      <c r="K41" s="26"/>
      <c r="L41" s="27"/>
    </row>
    <row r="42" spans="1:12" ht="47.25" customHeight="1">
      <c r="A42" s="43">
        <v>10</v>
      </c>
      <c r="B42" s="42" t="s">
        <v>95</v>
      </c>
      <c r="C42" s="55" t="s">
        <v>107</v>
      </c>
      <c r="D42" s="42" t="s">
        <v>154</v>
      </c>
      <c r="E42" s="16"/>
      <c r="F42" s="41">
        <v>6203.7</v>
      </c>
      <c r="G42" s="16">
        <v>1235.0999999999999</v>
      </c>
      <c r="H42" s="32"/>
      <c r="J42" s="25"/>
      <c r="K42" s="26"/>
      <c r="L42" s="27"/>
    </row>
    <row r="43" spans="1:12" ht="15.75" customHeight="1">
      <c r="A43" s="43">
        <v>11</v>
      </c>
      <c r="B43" s="42" t="s">
        <v>108</v>
      </c>
      <c r="C43" s="55" t="s">
        <v>107</v>
      </c>
      <c r="D43" s="42" t="s">
        <v>73</v>
      </c>
      <c r="E43" s="16"/>
      <c r="F43" s="41">
        <v>458.28</v>
      </c>
      <c r="G43" s="16">
        <v>247.47</v>
      </c>
      <c r="H43" s="32"/>
      <c r="J43" s="25"/>
      <c r="K43" s="26"/>
      <c r="L43" s="27"/>
    </row>
    <row r="44" spans="1:12" ht="15.75" customHeight="1">
      <c r="A44" s="43">
        <v>12</v>
      </c>
      <c r="B44" s="44" t="s">
        <v>74</v>
      </c>
      <c r="C44" s="79" t="s">
        <v>33</v>
      </c>
      <c r="D44" s="44"/>
      <c r="E44" s="16"/>
      <c r="F44" s="45">
        <v>853.06</v>
      </c>
      <c r="G44" s="16">
        <v>127.96</v>
      </c>
      <c r="H44" s="32"/>
      <c r="J44" s="25"/>
      <c r="K44" s="26"/>
      <c r="L44" s="27"/>
    </row>
    <row r="45" spans="1:12" ht="15.75" customHeight="1">
      <c r="A45" s="134" t="s">
        <v>171</v>
      </c>
      <c r="B45" s="135"/>
      <c r="C45" s="135"/>
      <c r="D45" s="135"/>
      <c r="E45" s="135"/>
      <c r="F45" s="135"/>
      <c r="G45" s="136"/>
      <c r="H45" s="32"/>
      <c r="J45" s="25"/>
      <c r="K45" s="26"/>
      <c r="L45" s="27"/>
    </row>
    <row r="46" spans="1:12" ht="15" hidden="1" customHeight="1">
      <c r="A46" s="56">
        <v>15</v>
      </c>
      <c r="B46" s="42" t="s">
        <v>155</v>
      </c>
      <c r="C46" s="55" t="s">
        <v>107</v>
      </c>
      <c r="D46" s="42" t="s">
        <v>41</v>
      </c>
      <c r="E46" s="23">
        <v>0.42</v>
      </c>
      <c r="F46" s="47">
        <v>908.11</v>
      </c>
      <c r="G46" s="24">
        <v>0</v>
      </c>
      <c r="H46" s="32"/>
      <c r="J46" s="25"/>
      <c r="K46" s="26"/>
      <c r="L46" s="27"/>
    </row>
    <row r="47" spans="1:12" ht="15.75" hidden="1" customHeight="1">
      <c r="A47" s="56">
        <v>16</v>
      </c>
      <c r="B47" s="42" t="s">
        <v>34</v>
      </c>
      <c r="C47" s="55" t="s">
        <v>107</v>
      </c>
      <c r="D47" s="42" t="s">
        <v>41</v>
      </c>
      <c r="E47" s="23">
        <v>1.35</v>
      </c>
      <c r="F47" s="47">
        <v>619.46</v>
      </c>
      <c r="G47" s="24">
        <v>0</v>
      </c>
      <c r="H47" s="32"/>
      <c r="J47" s="25"/>
      <c r="K47" s="26"/>
      <c r="L47" s="27"/>
    </row>
    <row r="48" spans="1:12" ht="15.75" hidden="1" customHeight="1">
      <c r="A48" s="56">
        <v>17</v>
      </c>
      <c r="B48" s="42" t="s">
        <v>35</v>
      </c>
      <c r="C48" s="55" t="s">
        <v>107</v>
      </c>
      <c r="D48" s="42" t="s">
        <v>41</v>
      </c>
      <c r="E48" s="23">
        <v>0.03</v>
      </c>
      <c r="F48" s="47">
        <v>619.46</v>
      </c>
      <c r="G48" s="24">
        <v>0</v>
      </c>
      <c r="H48" s="32"/>
      <c r="J48" s="25"/>
      <c r="K48" s="26"/>
      <c r="L48" s="27"/>
    </row>
    <row r="49" spans="1:12" ht="15.75" hidden="1" customHeight="1">
      <c r="A49" s="56">
        <v>18</v>
      </c>
      <c r="B49" s="42" t="s">
        <v>36</v>
      </c>
      <c r="C49" s="55" t="s">
        <v>107</v>
      </c>
      <c r="D49" s="42" t="s">
        <v>41</v>
      </c>
      <c r="E49" s="23">
        <v>0.33</v>
      </c>
      <c r="F49" s="47">
        <v>648.64</v>
      </c>
      <c r="G49" s="24">
        <v>0</v>
      </c>
      <c r="H49" s="32"/>
      <c r="J49" s="25"/>
      <c r="K49" s="26"/>
      <c r="L49" s="27"/>
    </row>
    <row r="50" spans="1:12" ht="31.5" customHeight="1">
      <c r="A50" s="56">
        <v>13</v>
      </c>
      <c r="B50" s="42" t="s">
        <v>57</v>
      </c>
      <c r="C50" s="55" t="s">
        <v>107</v>
      </c>
      <c r="D50" s="42" t="s">
        <v>126</v>
      </c>
      <c r="E50" s="23">
        <v>0.22</v>
      </c>
      <c r="F50" s="47">
        <v>1297.28</v>
      </c>
      <c r="G50" s="24">
        <v>1739.39</v>
      </c>
      <c r="H50" s="32"/>
      <c r="J50" s="25"/>
      <c r="K50" s="26"/>
      <c r="L50" s="27"/>
    </row>
    <row r="51" spans="1:12" ht="31.5" hidden="1" customHeight="1">
      <c r="A51" s="56">
        <v>14</v>
      </c>
      <c r="B51" s="42" t="s">
        <v>109</v>
      </c>
      <c r="C51" s="55" t="s">
        <v>107</v>
      </c>
      <c r="D51" s="42" t="s">
        <v>41</v>
      </c>
      <c r="E51" s="23">
        <v>0.02</v>
      </c>
      <c r="F51" s="47">
        <v>1297.28</v>
      </c>
      <c r="G51" s="24">
        <v>0</v>
      </c>
      <c r="H51" s="32"/>
      <c r="J51" s="25"/>
      <c r="K51" s="26"/>
      <c r="L51" s="27"/>
    </row>
    <row r="52" spans="1:12" ht="31.5" hidden="1" customHeight="1">
      <c r="A52" s="56">
        <v>15</v>
      </c>
      <c r="B52" s="42" t="s">
        <v>110</v>
      </c>
      <c r="C52" s="55" t="s">
        <v>37</v>
      </c>
      <c r="D52" s="42" t="s">
        <v>41</v>
      </c>
      <c r="E52" s="23">
        <v>0.01</v>
      </c>
      <c r="F52" s="47">
        <v>2918.89</v>
      </c>
      <c r="G52" s="24">
        <v>0</v>
      </c>
      <c r="H52" s="32"/>
      <c r="J52" s="25"/>
      <c r="K52" s="26"/>
      <c r="L52" s="27"/>
    </row>
    <row r="53" spans="1:12" ht="15.75" hidden="1" customHeight="1">
      <c r="A53" s="56">
        <v>23</v>
      </c>
      <c r="B53" s="42" t="s">
        <v>38</v>
      </c>
      <c r="C53" s="55" t="s">
        <v>39</v>
      </c>
      <c r="D53" s="42" t="s">
        <v>41</v>
      </c>
      <c r="E53" s="23">
        <v>8</v>
      </c>
      <c r="F53" s="47">
        <v>6042.12</v>
      </c>
      <c r="G53" s="16">
        <v>0</v>
      </c>
      <c r="H53" s="32"/>
      <c r="J53" s="25"/>
      <c r="K53" s="26"/>
      <c r="L53" s="27"/>
    </row>
    <row r="54" spans="1:12" ht="15.75" hidden="1" customHeight="1">
      <c r="A54" s="56">
        <v>24</v>
      </c>
      <c r="B54" s="42" t="s">
        <v>40</v>
      </c>
      <c r="C54" s="55" t="s">
        <v>127</v>
      </c>
      <c r="D54" s="42" t="s">
        <v>75</v>
      </c>
      <c r="E54" s="23">
        <v>16</v>
      </c>
      <c r="F54" s="48">
        <v>70.209999999999994</v>
      </c>
      <c r="G54" s="16">
        <v>0</v>
      </c>
      <c r="H54" s="32"/>
      <c r="J54" s="25"/>
      <c r="K54" s="26"/>
      <c r="L54" s="27"/>
    </row>
    <row r="55" spans="1:12" ht="15.75" customHeight="1">
      <c r="A55" s="134" t="s">
        <v>172</v>
      </c>
      <c r="B55" s="135"/>
      <c r="C55" s="135"/>
      <c r="D55" s="135"/>
      <c r="E55" s="135"/>
      <c r="F55" s="135"/>
      <c r="G55" s="136"/>
      <c r="H55" s="32"/>
      <c r="J55" s="25"/>
      <c r="K55" s="26"/>
      <c r="L55" s="27"/>
    </row>
    <row r="56" spans="1:12" ht="15.75" customHeight="1">
      <c r="A56" s="69"/>
      <c r="B56" s="63" t="s">
        <v>42</v>
      </c>
      <c r="C56" s="20"/>
      <c r="D56" s="19"/>
      <c r="E56" s="19"/>
      <c r="F56" s="38"/>
      <c r="G56" s="23"/>
      <c r="H56" s="32"/>
      <c r="J56" s="25"/>
      <c r="K56" s="26"/>
      <c r="L56" s="27"/>
    </row>
    <row r="57" spans="1:12" ht="31.5" customHeight="1">
      <c r="A57" s="90">
        <v>14</v>
      </c>
      <c r="B57" s="42" t="s">
        <v>156</v>
      </c>
      <c r="C57" s="55" t="s">
        <v>103</v>
      </c>
      <c r="D57" s="42" t="s">
        <v>128</v>
      </c>
      <c r="E57" s="91">
        <v>0</v>
      </c>
      <c r="F57" s="47">
        <v>1654.04</v>
      </c>
      <c r="G57" s="92">
        <v>1307.3499999999999</v>
      </c>
      <c r="H57" s="32"/>
      <c r="J57" s="25"/>
      <c r="K57" s="26"/>
      <c r="L57" s="27"/>
    </row>
    <row r="58" spans="1:12" ht="15.75" hidden="1" customHeight="1">
      <c r="A58" s="90"/>
      <c r="B58" s="88" t="s">
        <v>143</v>
      </c>
      <c r="C58" s="68" t="s">
        <v>52</v>
      </c>
      <c r="D58" s="88" t="s">
        <v>53</v>
      </c>
      <c r="E58" s="91"/>
      <c r="F58" s="47">
        <v>505.2</v>
      </c>
      <c r="G58" s="92">
        <v>0</v>
      </c>
      <c r="H58" s="32"/>
      <c r="J58" s="25"/>
      <c r="K58" s="26"/>
      <c r="L58" s="27"/>
    </row>
    <row r="59" spans="1:12" ht="15.75" customHeight="1">
      <c r="A59" s="90">
        <v>15</v>
      </c>
      <c r="B59" s="42" t="s">
        <v>157</v>
      </c>
      <c r="C59" s="55" t="s">
        <v>103</v>
      </c>
      <c r="D59" s="42" t="s">
        <v>128</v>
      </c>
      <c r="E59" s="91"/>
      <c r="F59" s="47">
        <v>1654.04</v>
      </c>
      <c r="G59" s="92">
        <v>62.85</v>
      </c>
      <c r="H59" s="32"/>
      <c r="J59" s="25"/>
      <c r="K59" s="26"/>
      <c r="L59" s="27"/>
    </row>
    <row r="60" spans="1:12" ht="15.75" hidden="1" customHeight="1">
      <c r="A60" s="90"/>
      <c r="B60" s="88" t="s">
        <v>158</v>
      </c>
      <c r="C60" s="68" t="s">
        <v>159</v>
      </c>
      <c r="D60" s="88" t="s">
        <v>41</v>
      </c>
      <c r="E60" s="91"/>
      <c r="F60" s="47">
        <v>193.25</v>
      </c>
      <c r="G60" s="92">
        <v>0</v>
      </c>
      <c r="H60" s="32"/>
      <c r="J60" s="25"/>
      <c r="K60" s="26"/>
      <c r="L60" s="27"/>
    </row>
    <row r="61" spans="1:12" ht="15.75" customHeight="1">
      <c r="A61" s="46"/>
      <c r="B61" s="100" t="s">
        <v>43</v>
      </c>
      <c r="C61" s="98"/>
      <c r="D61" s="98"/>
      <c r="E61" s="98"/>
      <c r="F61" s="98"/>
      <c r="G61" s="98"/>
      <c r="H61" s="32"/>
      <c r="J61" s="25"/>
      <c r="K61" s="26"/>
      <c r="L61" s="27"/>
    </row>
    <row r="62" spans="1:12" ht="16.5" hidden="1" customHeight="1">
      <c r="A62" s="93">
        <v>27</v>
      </c>
      <c r="B62" s="94" t="s">
        <v>143</v>
      </c>
      <c r="C62" s="95" t="s">
        <v>52</v>
      </c>
      <c r="D62" s="94" t="s">
        <v>53</v>
      </c>
      <c r="E62" s="96">
        <v>0</v>
      </c>
      <c r="F62" s="47">
        <v>848.37</v>
      </c>
      <c r="G62" s="97">
        <f>E62/2</f>
        <v>0</v>
      </c>
      <c r="H62" s="32"/>
      <c r="J62" s="25"/>
      <c r="K62" s="26"/>
      <c r="L62" s="27"/>
    </row>
    <row r="63" spans="1:12" ht="15" customHeight="1">
      <c r="A63" s="56">
        <v>16</v>
      </c>
      <c r="B63" s="88" t="s">
        <v>144</v>
      </c>
      <c r="C63" s="68" t="s">
        <v>25</v>
      </c>
      <c r="D63" s="88" t="s">
        <v>30</v>
      </c>
      <c r="E63" s="23"/>
      <c r="F63" s="89">
        <v>2.6</v>
      </c>
      <c r="G63" s="24">
        <v>286</v>
      </c>
      <c r="H63" s="32"/>
      <c r="J63" s="25"/>
      <c r="K63" s="26"/>
      <c r="L63" s="27"/>
    </row>
    <row r="64" spans="1:12" ht="15" hidden="1" customHeight="1">
      <c r="A64" s="56"/>
      <c r="B64" s="100" t="s">
        <v>44</v>
      </c>
      <c r="C64" s="20"/>
      <c r="D64" s="19"/>
      <c r="E64" s="19"/>
      <c r="F64" s="38"/>
      <c r="G64" s="23"/>
      <c r="H64" s="32"/>
      <c r="J64" s="25"/>
    </row>
    <row r="65" spans="1:20" ht="15" hidden="1" customHeight="1">
      <c r="A65" s="56">
        <v>17</v>
      </c>
      <c r="B65" s="82" t="s">
        <v>45</v>
      </c>
      <c r="C65" s="51" t="s">
        <v>127</v>
      </c>
      <c r="D65" s="50" t="s">
        <v>71</v>
      </c>
      <c r="E65" s="23">
        <v>0</v>
      </c>
      <c r="F65" s="47">
        <v>237.74</v>
      </c>
      <c r="G65" s="24">
        <v>237.74</v>
      </c>
    </row>
    <row r="66" spans="1:20" ht="15" hidden="1" customHeight="1">
      <c r="A66" s="38">
        <v>29</v>
      </c>
      <c r="B66" s="82" t="s">
        <v>46</v>
      </c>
      <c r="C66" s="51" t="s">
        <v>127</v>
      </c>
      <c r="D66" s="50" t="s">
        <v>71</v>
      </c>
      <c r="E66" s="23">
        <v>0</v>
      </c>
      <c r="F66" s="47">
        <v>81.510000000000005</v>
      </c>
      <c r="G66" s="24">
        <v>0</v>
      </c>
    </row>
    <row r="67" spans="1:20" ht="15" hidden="1" customHeight="1">
      <c r="A67" s="38">
        <v>8</v>
      </c>
      <c r="B67" s="82" t="s">
        <v>47</v>
      </c>
      <c r="C67" s="53" t="s">
        <v>129</v>
      </c>
      <c r="D67" s="50" t="s">
        <v>53</v>
      </c>
      <c r="E67" s="23">
        <v>13.47</v>
      </c>
      <c r="F67" s="47">
        <v>226.79</v>
      </c>
      <c r="G67" s="23">
        <v>0</v>
      </c>
    </row>
    <row r="68" spans="1:20" ht="15.75" hidden="1" customHeight="1">
      <c r="A68" s="38">
        <v>9</v>
      </c>
      <c r="B68" s="82" t="s">
        <v>48</v>
      </c>
      <c r="C68" s="51" t="s">
        <v>130</v>
      </c>
      <c r="D68" s="50"/>
      <c r="E68" s="23">
        <v>1.35</v>
      </c>
      <c r="F68" s="47">
        <v>176.61</v>
      </c>
      <c r="G68" s="23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9"/>
    </row>
    <row r="69" spans="1:20" ht="15.75" hidden="1" customHeight="1">
      <c r="A69" s="38">
        <v>10</v>
      </c>
      <c r="B69" s="82" t="s">
        <v>49</v>
      </c>
      <c r="C69" s="51" t="s">
        <v>81</v>
      </c>
      <c r="D69" s="50" t="s">
        <v>53</v>
      </c>
      <c r="E69" s="23">
        <v>0</v>
      </c>
      <c r="F69" s="47">
        <v>2217.7800000000002</v>
      </c>
      <c r="G69" s="23">
        <v>0</v>
      </c>
      <c r="H69" s="34"/>
      <c r="I69" s="34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 customHeight="1">
      <c r="A70" s="38">
        <v>11</v>
      </c>
      <c r="B70" s="70" t="s">
        <v>131</v>
      </c>
      <c r="C70" s="51" t="s">
        <v>33</v>
      </c>
      <c r="D70" s="50"/>
      <c r="E70" s="15">
        <v>0</v>
      </c>
      <c r="F70" s="47">
        <v>42.67</v>
      </c>
      <c r="G70" s="23">
        <v>0</v>
      </c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hidden="1" customHeight="1">
      <c r="A71" s="38">
        <v>12</v>
      </c>
      <c r="B71" s="70" t="s">
        <v>132</v>
      </c>
      <c r="C71" s="51" t="s">
        <v>33</v>
      </c>
      <c r="D71" s="50"/>
      <c r="E71" s="15"/>
      <c r="F71" s="47">
        <v>39.81</v>
      </c>
      <c r="G71" s="23">
        <v>0</v>
      </c>
      <c r="H71" s="5"/>
      <c r="I71" s="5"/>
      <c r="J71" s="5"/>
      <c r="K71" s="5"/>
      <c r="L71" s="5"/>
      <c r="M71" s="5"/>
      <c r="N71" s="5"/>
      <c r="O71" s="5"/>
      <c r="P71" s="131"/>
      <c r="Q71" s="131"/>
      <c r="R71" s="131"/>
      <c r="S71" s="131"/>
    </row>
    <row r="72" spans="1:20" ht="15.75" hidden="1" customHeight="1">
      <c r="A72" s="38">
        <v>13</v>
      </c>
      <c r="B72" s="50" t="s">
        <v>58</v>
      </c>
      <c r="C72" s="51" t="s">
        <v>59</v>
      </c>
      <c r="D72" s="50" t="s">
        <v>53</v>
      </c>
      <c r="E72" s="15"/>
      <c r="F72" s="47">
        <v>53.32</v>
      </c>
      <c r="G72" s="23">
        <v>0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20" ht="15.75" hidden="1" customHeight="1">
      <c r="A73" s="69"/>
      <c r="B73" s="121" t="s">
        <v>111</v>
      </c>
      <c r="C73" s="122"/>
      <c r="D73" s="122"/>
      <c r="E73" s="122"/>
      <c r="F73" s="123"/>
      <c r="G73" s="23"/>
    </row>
    <row r="74" spans="1:20" ht="15" hidden="1" customHeight="1">
      <c r="A74" s="38">
        <v>36</v>
      </c>
      <c r="B74" s="42" t="s">
        <v>133</v>
      </c>
      <c r="C74" s="83"/>
      <c r="D74" s="50" t="s">
        <v>53</v>
      </c>
      <c r="E74" s="23">
        <v>0</v>
      </c>
      <c r="F74" s="49">
        <v>7140.7</v>
      </c>
      <c r="G74" s="23">
        <v>0</v>
      </c>
    </row>
    <row r="75" spans="1:20" ht="15.75" hidden="1" customHeight="1">
      <c r="A75" s="38"/>
      <c r="B75" s="64" t="s">
        <v>76</v>
      </c>
      <c r="C75" s="64"/>
      <c r="D75" s="64"/>
      <c r="E75" s="23"/>
      <c r="F75" s="38"/>
      <c r="G75" s="23"/>
    </row>
    <row r="76" spans="1:20" ht="15" hidden="1" customHeight="1">
      <c r="A76" s="38">
        <v>18</v>
      </c>
      <c r="B76" s="50" t="s">
        <v>77</v>
      </c>
      <c r="C76" s="51" t="s">
        <v>79</v>
      </c>
      <c r="D76" s="50" t="s">
        <v>71</v>
      </c>
      <c r="E76" s="23"/>
      <c r="F76" s="47">
        <v>536.23</v>
      </c>
      <c r="G76" s="23">
        <v>50.16</v>
      </c>
    </row>
    <row r="77" spans="1:20" ht="15" hidden="1" customHeight="1">
      <c r="A77" s="38"/>
      <c r="B77" s="50" t="s">
        <v>78</v>
      </c>
      <c r="C77" s="51" t="s">
        <v>31</v>
      </c>
      <c r="D77" s="50" t="s">
        <v>71</v>
      </c>
      <c r="E77" s="23"/>
      <c r="F77" s="47">
        <v>911.85</v>
      </c>
      <c r="G77" s="23">
        <v>0</v>
      </c>
    </row>
    <row r="78" spans="1:20" ht="15" hidden="1" customHeight="1">
      <c r="A78" s="38">
        <v>38</v>
      </c>
      <c r="B78" s="50" t="s">
        <v>134</v>
      </c>
      <c r="C78" s="51" t="s">
        <v>31</v>
      </c>
      <c r="D78" s="50" t="s">
        <v>71</v>
      </c>
      <c r="E78" s="23"/>
      <c r="F78" s="47">
        <v>383.25</v>
      </c>
      <c r="G78" s="23">
        <v>0</v>
      </c>
    </row>
    <row r="79" spans="1:20" ht="15.75" hidden="1" customHeight="1">
      <c r="A79" s="38"/>
      <c r="B79" s="65" t="s">
        <v>80</v>
      </c>
      <c r="C79" s="51"/>
      <c r="D79" s="38"/>
      <c r="E79" s="23"/>
      <c r="F79" s="47" t="s">
        <v>160</v>
      </c>
      <c r="G79" s="23"/>
    </row>
    <row r="80" spans="1:20" ht="15" hidden="1" customHeight="1">
      <c r="A80" s="38">
        <v>39</v>
      </c>
      <c r="B80" s="52" t="s">
        <v>146</v>
      </c>
      <c r="C80" s="53" t="s">
        <v>81</v>
      </c>
      <c r="D80" s="82"/>
      <c r="E80" s="23"/>
      <c r="F80" s="48">
        <v>2949.85</v>
      </c>
      <c r="G80" s="23">
        <v>0</v>
      </c>
    </row>
    <row r="81" spans="1:7" ht="15" customHeight="1">
      <c r="A81" s="137" t="s">
        <v>173</v>
      </c>
      <c r="B81" s="138"/>
      <c r="C81" s="138"/>
      <c r="D81" s="138"/>
      <c r="E81" s="138"/>
      <c r="F81" s="138"/>
      <c r="G81" s="139"/>
    </row>
    <row r="82" spans="1:7" ht="15.75" customHeight="1">
      <c r="A82" s="38">
        <v>17</v>
      </c>
      <c r="B82" s="42" t="s">
        <v>135</v>
      </c>
      <c r="C82" s="51" t="s">
        <v>54</v>
      </c>
      <c r="D82" s="84" t="s">
        <v>55</v>
      </c>
      <c r="E82" s="19">
        <v>327.9</v>
      </c>
      <c r="F82" s="47">
        <v>2.54</v>
      </c>
      <c r="G82" s="16">
        <v>6118.86</v>
      </c>
    </row>
    <row r="83" spans="1:7" ht="30">
      <c r="A83" s="38">
        <v>18</v>
      </c>
      <c r="B83" s="50" t="s">
        <v>82</v>
      </c>
      <c r="C83" s="51"/>
      <c r="D83" s="84" t="s">
        <v>55</v>
      </c>
      <c r="E83" s="19"/>
      <c r="F83" s="47">
        <v>3.05</v>
      </c>
      <c r="G83" s="16">
        <v>7347.45</v>
      </c>
    </row>
    <row r="84" spans="1:7">
      <c r="A84" s="69"/>
      <c r="B84" s="54" t="s">
        <v>86</v>
      </c>
      <c r="C84" s="56"/>
      <c r="D84" s="19"/>
      <c r="E84" s="19"/>
      <c r="F84" s="23"/>
      <c r="G84" s="40">
        <f>SUM(G16+G17+G18+G20+G27+G28+G38+G40+G41+G42+G43+G44+G50+G57+G59+G63+G82+G83)</f>
        <v>43188.509999999987</v>
      </c>
    </row>
    <row r="85" spans="1:7">
      <c r="A85" s="69"/>
      <c r="B85" s="80" t="s">
        <v>61</v>
      </c>
      <c r="C85" s="80"/>
      <c r="D85" s="80"/>
      <c r="E85" s="80"/>
      <c r="F85" s="80"/>
      <c r="G85" s="80"/>
    </row>
    <row r="86" spans="1:7" ht="15.75" customHeight="1">
      <c r="A86" s="38">
        <v>19</v>
      </c>
      <c r="B86" s="81" t="s">
        <v>91</v>
      </c>
      <c r="C86" s="99" t="s">
        <v>127</v>
      </c>
      <c r="D86" s="80"/>
      <c r="E86" s="19"/>
      <c r="F86" s="47">
        <v>180.15</v>
      </c>
      <c r="G86" s="16">
        <v>180.15</v>
      </c>
    </row>
    <row r="87" spans="1:7" ht="31.5" customHeight="1">
      <c r="A87" s="38">
        <v>20</v>
      </c>
      <c r="B87" s="86" t="s">
        <v>163</v>
      </c>
      <c r="C87" s="87" t="s">
        <v>37</v>
      </c>
      <c r="D87" s="80"/>
      <c r="E87" s="19"/>
      <c r="F87" s="47">
        <v>3397.65</v>
      </c>
      <c r="G87" s="16">
        <v>33.979999999999997</v>
      </c>
    </row>
    <row r="88" spans="1:7" ht="31.5" customHeight="1">
      <c r="A88" s="38">
        <v>21</v>
      </c>
      <c r="B88" s="86" t="s">
        <v>191</v>
      </c>
      <c r="C88" s="87" t="s">
        <v>88</v>
      </c>
      <c r="D88" s="80"/>
      <c r="E88" s="19"/>
      <c r="F88" s="47">
        <v>771.29</v>
      </c>
      <c r="G88" s="16">
        <f>F88*2</f>
        <v>1542.58</v>
      </c>
    </row>
    <row r="89" spans="1:7" ht="15.75" customHeight="1">
      <c r="A89" s="38">
        <v>22</v>
      </c>
      <c r="B89" s="86" t="s">
        <v>194</v>
      </c>
      <c r="C89" s="87" t="s">
        <v>127</v>
      </c>
      <c r="D89" s="80"/>
      <c r="E89" s="19"/>
      <c r="F89" s="47">
        <v>109.73</v>
      </c>
      <c r="G89" s="16">
        <f>F89</f>
        <v>109.73</v>
      </c>
    </row>
    <row r="90" spans="1:7" ht="15.75" customHeight="1">
      <c r="A90" s="38">
        <v>23</v>
      </c>
      <c r="B90" s="86" t="s">
        <v>196</v>
      </c>
      <c r="C90" s="87" t="s">
        <v>127</v>
      </c>
      <c r="D90" s="80"/>
      <c r="E90" s="19"/>
      <c r="F90" s="47">
        <v>78.89</v>
      </c>
      <c r="G90" s="16">
        <f>F90</f>
        <v>78.89</v>
      </c>
    </row>
    <row r="91" spans="1:7" ht="15.75" customHeight="1">
      <c r="A91" s="38">
        <v>24</v>
      </c>
      <c r="B91" s="81" t="s">
        <v>164</v>
      </c>
      <c r="C91" s="106" t="s">
        <v>127</v>
      </c>
      <c r="D91" s="80"/>
      <c r="E91" s="19"/>
      <c r="F91" s="47">
        <v>81.73</v>
      </c>
      <c r="G91" s="16">
        <v>81.73</v>
      </c>
    </row>
    <row r="92" spans="1:7" ht="15.75" customHeight="1">
      <c r="A92" s="38">
        <v>25</v>
      </c>
      <c r="B92" s="86" t="s">
        <v>204</v>
      </c>
      <c r="C92" s="147" t="s">
        <v>205</v>
      </c>
      <c r="D92" s="80"/>
      <c r="E92" s="19"/>
      <c r="F92" s="47">
        <v>286.55</v>
      </c>
      <c r="G92" s="16">
        <f>F92*0.5</f>
        <v>143.27500000000001</v>
      </c>
    </row>
    <row r="93" spans="1:7" ht="15.75" customHeight="1">
      <c r="A93" s="38"/>
      <c r="B93" s="61" t="s">
        <v>50</v>
      </c>
      <c r="C93" s="57"/>
      <c r="D93" s="71"/>
      <c r="E93" s="57">
        <v>1</v>
      </c>
      <c r="F93" s="57"/>
      <c r="G93" s="40">
        <f>SUM(G86:G92)</f>
        <v>2170.335</v>
      </c>
    </row>
    <row r="94" spans="1:7" ht="15.75" customHeight="1">
      <c r="A94" s="38"/>
      <c r="B94" s="67" t="s">
        <v>83</v>
      </c>
      <c r="C94" s="19"/>
      <c r="D94" s="19"/>
      <c r="E94" s="58"/>
      <c r="F94" s="59"/>
      <c r="G94" s="22">
        <v>0</v>
      </c>
    </row>
    <row r="95" spans="1:7" ht="15.75" customHeight="1">
      <c r="A95" s="72"/>
      <c r="B95" s="62" t="s">
        <v>51</v>
      </c>
      <c r="C95" s="46"/>
      <c r="D95" s="46"/>
      <c r="E95" s="46"/>
      <c r="F95" s="46"/>
      <c r="G95" s="60">
        <f>G84+G93</f>
        <v>45358.844999999987</v>
      </c>
    </row>
    <row r="96" spans="1:7" ht="15.75" customHeight="1">
      <c r="A96" s="124" t="s">
        <v>244</v>
      </c>
      <c r="B96" s="124"/>
      <c r="C96" s="124"/>
      <c r="D96" s="124"/>
      <c r="E96" s="124"/>
      <c r="F96" s="124"/>
      <c r="G96" s="124"/>
    </row>
    <row r="97" spans="1:7" ht="15.75" customHeight="1">
      <c r="A97" s="105"/>
      <c r="B97" s="125" t="s">
        <v>245</v>
      </c>
      <c r="C97" s="125"/>
      <c r="D97" s="125"/>
      <c r="E97" s="125"/>
      <c r="F97" s="125"/>
      <c r="G97" s="3"/>
    </row>
    <row r="98" spans="1:7" ht="15.75" customHeight="1">
      <c r="A98" s="104"/>
      <c r="B98" s="126" t="s">
        <v>6</v>
      </c>
      <c r="C98" s="126"/>
      <c r="D98" s="126"/>
      <c r="E98" s="126"/>
      <c r="F98" s="126"/>
      <c r="G98" s="5"/>
    </row>
    <row r="99" spans="1:7">
      <c r="A99" s="10"/>
      <c r="B99" s="10"/>
      <c r="C99" s="10"/>
      <c r="D99" s="10"/>
      <c r="E99" s="10"/>
      <c r="F99" s="10"/>
      <c r="G99" s="10"/>
    </row>
    <row r="100" spans="1:7" ht="15.75" customHeight="1">
      <c r="A100" s="127" t="s">
        <v>7</v>
      </c>
      <c r="B100" s="127"/>
      <c r="C100" s="127"/>
      <c r="D100" s="127"/>
      <c r="E100" s="127"/>
      <c r="F100" s="127"/>
      <c r="G100" s="127"/>
    </row>
    <row r="101" spans="1:7" ht="15.75" customHeight="1">
      <c r="A101" s="127" t="s">
        <v>8</v>
      </c>
      <c r="B101" s="127"/>
      <c r="C101" s="127"/>
      <c r="D101" s="127"/>
      <c r="E101" s="127"/>
      <c r="F101" s="127"/>
      <c r="G101" s="127"/>
    </row>
    <row r="102" spans="1:7" ht="15.75">
      <c r="A102" s="120" t="s">
        <v>62</v>
      </c>
      <c r="B102" s="120"/>
      <c r="C102" s="120"/>
      <c r="D102" s="120"/>
      <c r="E102" s="120"/>
      <c r="F102" s="120"/>
      <c r="G102" s="120"/>
    </row>
    <row r="103" spans="1:7" ht="15.75" customHeight="1">
      <c r="A103" s="11"/>
    </row>
    <row r="104" spans="1:7" ht="15.75" customHeight="1">
      <c r="A104" s="129" t="s">
        <v>9</v>
      </c>
      <c r="B104" s="129"/>
      <c r="C104" s="129"/>
      <c r="D104" s="129"/>
      <c r="E104" s="129"/>
      <c r="F104" s="129"/>
      <c r="G104" s="129"/>
    </row>
    <row r="105" spans="1:7" ht="15.75" customHeight="1">
      <c r="A105" s="4"/>
    </row>
    <row r="106" spans="1:7" ht="15.75" customHeight="1">
      <c r="B106" s="101" t="s">
        <v>10</v>
      </c>
      <c r="C106" s="140" t="s">
        <v>174</v>
      </c>
      <c r="D106" s="140"/>
      <c r="E106" s="140"/>
      <c r="G106" s="103"/>
    </row>
    <row r="107" spans="1:7" ht="15.75" customHeight="1">
      <c r="A107" s="104"/>
      <c r="C107" s="126" t="s">
        <v>11</v>
      </c>
      <c r="D107" s="126"/>
      <c r="E107" s="126"/>
      <c r="G107" s="102" t="s">
        <v>12</v>
      </c>
    </row>
    <row r="108" spans="1:7" ht="15.75" customHeight="1">
      <c r="A108" s="34"/>
      <c r="C108" s="12"/>
      <c r="D108" s="12"/>
      <c r="F108" s="12"/>
    </row>
    <row r="109" spans="1:7" ht="15.75" customHeight="1">
      <c r="B109" s="101" t="s">
        <v>13</v>
      </c>
      <c r="C109" s="130"/>
      <c r="D109" s="130"/>
      <c r="E109" s="130"/>
      <c r="G109" s="103"/>
    </row>
    <row r="110" spans="1:7">
      <c r="A110" s="104"/>
      <c r="C110" s="131" t="s">
        <v>11</v>
      </c>
      <c r="D110" s="131"/>
      <c r="E110" s="131"/>
      <c r="G110" s="102" t="s">
        <v>12</v>
      </c>
    </row>
    <row r="111" spans="1:7" ht="15.75" customHeight="1">
      <c r="A111" s="4" t="s">
        <v>14</v>
      </c>
    </row>
    <row r="112" spans="1:7" ht="15.75" customHeight="1">
      <c r="A112" s="132" t="s">
        <v>15</v>
      </c>
      <c r="B112" s="132"/>
      <c r="C112" s="132"/>
      <c r="D112" s="132"/>
      <c r="E112" s="132"/>
      <c r="F112" s="132"/>
      <c r="G112" s="132"/>
    </row>
    <row r="113" spans="1:7" ht="45" customHeight="1">
      <c r="A113" s="128" t="s">
        <v>16</v>
      </c>
      <c r="B113" s="128"/>
      <c r="C113" s="128"/>
      <c r="D113" s="128"/>
      <c r="E113" s="128"/>
      <c r="F113" s="128"/>
      <c r="G113" s="128"/>
    </row>
    <row r="114" spans="1:7" ht="30" customHeight="1">
      <c r="A114" s="128" t="s">
        <v>17</v>
      </c>
      <c r="B114" s="128"/>
      <c r="C114" s="128"/>
      <c r="D114" s="128"/>
      <c r="E114" s="128"/>
      <c r="F114" s="128"/>
      <c r="G114" s="128"/>
    </row>
    <row r="115" spans="1:7" ht="30" customHeight="1">
      <c r="A115" s="128" t="s">
        <v>21</v>
      </c>
      <c r="B115" s="128"/>
      <c r="C115" s="128"/>
      <c r="D115" s="128"/>
      <c r="E115" s="128"/>
      <c r="F115" s="128"/>
      <c r="G115" s="128"/>
    </row>
    <row r="116" spans="1:7" ht="15" customHeight="1">
      <c r="A116" s="128" t="s">
        <v>20</v>
      </c>
      <c r="B116" s="128"/>
      <c r="C116" s="128"/>
      <c r="D116" s="128"/>
      <c r="E116" s="128"/>
      <c r="F116" s="128"/>
      <c r="G116" s="128"/>
    </row>
  </sheetData>
  <autoFilter ref="G12:G66"/>
  <mergeCells count="29">
    <mergeCell ref="A14:G14"/>
    <mergeCell ref="A15:G15"/>
    <mergeCell ref="A3:G3"/>
    <mergeCell ref="A4:G4"/>
    <mergeCell ref="A8:G8"/>
    <mergeCell ref="A10:G10"/>
    <mergeCell ref="A5:G5"/>
    <mergeCell ref="A29:G29"/>
    <mergeCell ref="A45:G45"/>
    <mergeCell ref="A55:G55"/>
    <mergeCell ref="A116:G116"/>
    <mergeCell ref="B73:F73"/>
    <mergeCell ref="A96:G96"/>
    <mergeCell ref="B98:F98"/>
    <mergeCell ref="A102:G102"/>
    <mergeCell ref="A104:G104"/>
    <mergeCell ref="C106:E106"/>
    <mergeCell ref="C109:E109"/>
    <mergeCell ref="A115:G115"/>
    <mergeCell ref="A113:G113"/>
    <mergeCell ref="A114:G114"/>
    <mergeCell ref="A112:G112"/>
    <mergeCell ref="A101:G101"/>
    <mergeCell ref="C107:E107"/>
    <mergeCell ref="C110:E110"/>
    <mergeCell ref="A100:G100"/>
    <mergeCell ref="B97:F97"/>
    <mergeCell ref="P71:S71"/>
    <mergeCell ref="A81:G81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214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87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42429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hidden="1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6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hidden="1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hidden="1" customHeight="1">
      <c r="A32" s="38">
        <v>9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hidden="1" customHeight="1">
      <c r="A34" s="38">
        <v>10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customHeight="1">
      <c r="A38" s="38">
        <v>7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customHeight="1">
      <c r="A40" s="38">
        <v>8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customHeight="1">
      <c r="A41" s="38">
        <v>9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customHeight="1">
      <c r="A42" s="38">
        <v>10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customHeight="1">
      <c r="A43" s="38">
        <v>11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customHeight="1">
      <c r="A44" s="38">
        <v>12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customHeight="1">
      <c r="A50" s="38">
        <v>13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customHeight="1">
      <c r="A53" s="38">
        <v>14</v>
      </c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f>F53/2*G53</f>
        <v>60.421199999999999</v>
      </c>
      <c r="J53" s="32"/>
      <c r="L53" s="25"/>
      <c r="M53" s="26"/>
      <c r="N53" s="27"/>
    </row>
    <row r="54" spans="1:22" ht="15.75" hidden="1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172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customHeight="1">
      <c r="A57" s="38">
        <v>15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customHeight="1">
      <c r="A59" s="38">
        <v>16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17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18</v>
      </c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f>G65*3</f>
        <v>713.22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customHeight="1">
      <c r="A74" s="38">
        <v>19</v>
      </c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f>G74*0.5</f>
        <v>268.11500000000001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173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20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21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I16+I17+I18+I20+I27+I28+I38+I40+I41+I42+I43+I44+I50+I53+I57+I59+I63+I65+I74+I82+I83</f>
        <v>44230.289089999998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15.75" customHeight="1">
      <c r="A86" s="38">
        <v>22</v>
      </c>
      <c r="B86" s="81" t="s">
        <v>166</v>
      </c>
      <c r="C86" s="106" t="s">
        <v>96</v>
      </c>
      <c r="D86" s="18"/>
      <c r="E86" s="23"/>
      <c r="F86" s="16">
        <v>5</v>
      </c>
      <c r="G86" s="16">
        <v>185.81</v>
      </c>
      <c r="H86" s="146">
        <f>G86*F86/1000</f>
        <v>0.92904999999999993</v>
      </c>
      <c r="I86" s="16">
        <f>G86</f>
        <v>185.81</v>
      </c>
    </row>
    <row r="87" spans="1:9" ht="31.5" customHeight="1">
      <c r="A87" s="38">
        <v>23</v>
      </c>
      <c r="B87" s="81" t="s">
        <v>181</v>
      </c>
      <c r="C87" s="106" t="s">
        <v>182</v>
      </c>
      <c r="D87" s="67"/>
      <c r="E87" s="16"/>
      <c r="F87" s="16">
        <v>11</v>
      </c>
      <c r="G87" s="16">
        <v>2057</v>
      </c>
      <c r="H87" s="146">
        <f t="shared" ref="H87:H93" si="7">G87*F87/1000</f>
        <v>22.626999999999999</v>
      </c>
      <c r="I87" s="16">
        <f>G87*1.5</f>
        <v>3085.5</v>
      </c>
    </row>
    <row r="88" spans="1:9" ht="15.75" customHeight="1">
      <c r="A88" s="38">
        <v>24</v>
      </c>
      <c r="B88" s="81" t="s">
        <v>91</v>
      </c>
      <c r="C88" s="106" t="s">
        <v>127</v>
      </c>
      <c r="D88" s="67"/>
      <c r="E88" s="16"/>
      <c r="F88" s="16">
        <v>8</v>
      </c>
      <c r="G88" s="16">
        <v>180.15</v>
      </c>
      <c r="H88" s="146">
        <f t="shared" si="7"/>
        <v>1.4412</v>
      </c>
      <c r="I88" s="16">
        <f>G88*3</f>
        <v>540.45000000000005</v>
      </c>
    </row>
    <row r="89" spans="1:9" ht="31.5" customHeight="1">
      <c r="A89" s="38">
        <v>25</v>
      </c>
      <c r="B89" s="81" t="s">
        <v>85</v>
      </c>
      <c r="C89" s="106" t="s">
        <v>127</v>
      </c>
      <c r="D89" s="67"/>
      <c r="E89" s="16"/>
      <c r="F89" s="16">
        <v>4</v>
      </c>
      <c r="G89" s="16">
        <v>79.09</v>
      </c>
      <c r="H89" s="146">
        <f t="shared" si="7"/>
        <v>0.31636000000000003</v>
      </c>
      <c r="I89" s="16">
        <f>G89</f>
        <v>79.09</v>
      </c>
    </row>
    <row r="90" spans="1:9" ht="15.75" customHeight="1">
      <c r="A90" s="38">
        <v>26</v>
      </c>
      <c r="B90" s="81" t="s">
        <v>184</v>
      </c>
      <c r="C90" s="106" t="s">
        <v>182</v>
      </c>
      <c r="D90" s="67"/>
      <c r="E90" s="16"/>
      <c r="F90" s="16">
        <v>5</v>
      </c>
      <c r="G90" s="16">
        <v>129.04</v>
      </c>
      <c r="H90" s="146">
        <f t="shared" si="7"/>
        <v>0.64519999999999988</v>
      </c>
      <c r="I90" s="16">
        <f>G90*5</f>
        <v>645.19999999999993</v>
      </c>
    </row>
    <row r="91" spans="1:9" ht="15.75" customHeight="1">
      <c r="A91" s="38">
        <v>27</v>
      </c>
      <c r="B91" s="81" t="s">
        <v>185</v>
      </c>
      <c r="C91" s="106" t="s">
        <v>127</v>
      </c>
      <c r="D91" s="67"/>
      <c r="E91" s="16"/>
      <c r="F91" s="16">
        <v>1</v>
      </c>
      <c r="G91" s="16">
        <v>124.25</v>
      </c>
      <c r="H91" s="146">
        <f t="shared" si="7"/>
        <v>0.12425</v>
      </c>
      <c r="I91" s="16">
        <f>G91</f>
        <v>124.25</v>
      </c>
    </row>
    <row r="92" spans="1:9" ht="15.75" customHeight="1">
      <c r="A92" s="38">
        <v>28</v>
      </c>
      <c r="B92" s="148" t="s">
        <v>186</v>
      </c>
      <c r="C92" s="106" t="s">
        <v>148</v>
      </c>
      <c r="D92" s="67"/>
      <c r="E92" s="16"/>
      <c r="F92" s="16">
        <v>1</v>
      </c>
      <c r="G92" s="16">
        <v>2292.96</v>
      </c>
      <c r="H92" s="146">
        <f t="shared" si="7"/>
        <v>2.2929599999999999</v>
      </c>
      <c r="I92" s="16">
        <f t="shared" ref="I92:I93" si="8">G92</f>
        <v>2292.96</v>
      </c>
    </row>
    <row r="93" spans="1:9" ht="15.75" customHeight="1">
      <c r="A93" s="38">
        <v>29</v>
      </c>
      <c r="B93" s="81" t="s">
        <v>187</v>
      </c>
      <c r="C93" s="106" t="s">
        <v>188</v>
      </c>
      <c r="D93" s="67"/>
      <c r="E93" s="16"/>
      <c r="F93" s="16">
        <v>1</v>
      </c>
      <c r="G93" s="16">
        <v>8279</v>
      </c>
      <c r="H93" s="146">
        <f t="shared" si="7"/>
        <v>8.2789999999999999</v>
      </c>
      <c r="I93" s="16">
        <f t="shared" si="8"/>
        <v>8279</v>
      </c>
    </row>
    <row r="94" spans="1:9" ht="15.75" customHeight="1">
      <c r="A94" s="38"/>
      <c r="B94" s="61" t="s">
        <v>50</v>
      </c>
      <c r="C94" s="57"/>
      <c r="D94" s="71"/>
      <c r="E94" s="57">
        <v>1</v>
      </c>
      <c r="F94" s="57"/>
      <c r="G94" s="57"/>
      <c r="H94" s="57"/>
      <c r="I94" s="40">
        <f>SUM(I86:I93)</f>
        <v>15232.26</v>
      </c>
    </row>
    <row r="95" spans="1:9" ht="15.75" customHeight="1">
      <c r="A95" s="38"/>
      <c r="B95" s="67" t="s">
        <v>83</v>
      </c>
      <c r="C95" s="19"/>
      <c r="D95" s="19"/>
      <c r="E95" s="58"/>
      <c r="F95" s="58"/>
      <c r="G95" s="59"/>
      <c r="H95" s="59"/>
      <c r="I95" s="22">
        <v>0</v>
      </c>
    </row>
    <row r="96" spans="1:9" ht="15.75" customHeight="1">
      <c r="A96" s="72"/>
      <c r="B96" s="62" t="s">
        <v>51</v>
      </c>
      <c r="C96" s="46"/>
      <c r="D96" s="46"/>
      <c r="E96" s="46"/>
      <c r="F96" s="46"/>
      <c r="G96" s="46"/>
      <c r="H96" s="46"/>
      <c r="I96" s="60">
        <f>I84+I94</f>
        <v>59462.54909</v>
      </c>
    </row>
    <row r="97" spans="1:9" ht="15.75" customHeight="1">
      <c r="A97" s="124" t="s">
        <v>215</v>
      </c>
      <c r="B97" s="124"/>
      <c r="C97" s="124"/>
      <c r="D97" s="124"/>
      <c r="E97" s="124"/>
      <c r="F97" s="124"/>
      <c r="G97" s="124"/>
      <c r="H97" s="124"/>
      <c r="I97" s="124"/>
    </row>
    <row r="98" spans="1:9" ht="15.75" customHeight="1">
      <c r="A98" s="113"/>
      <c r="B98" s="125" t="s">
        <v>216</v>
      </c>
      <c r="C98" s="125"/>
      <c r="D98" s="125"/>
      <c r="E98" s="125"/>
      <c r="F98" s="125"/>
      <c r="G98" s="125"/>
      <c r="H98" s="145"/>
      <c r="I98" s="3"/>
    </row>
    <row r="99" spans="1:9" ht="15.75" customHeight="1">
      <c r="A99" s="109"/>
      <c r="B99" s="126" t="s">
        <v>6</v>
      </c>
      <c r="C99" s="126"/>
      <c r="D99" s="126"/>
      <c r="E99" s="126"/>
      <c r="F99" s="126"/>
      <c r="G99" s="126"/>
      <c r="H99" s="33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27" t="s">
        <v>7</v>
      </c>
      <c r="B101" s="127"/>
      <c r="C101" s="127"/>
      <c r="D101" s="127"/>
      <c r="E101" s="127"/>
      <c r="F101" s="127"/>
      <c r="G101" s="127"/>
      <c r="H101" s="127"/>
      <c r="I101" s="127"/>
    </row>
    <row r="102" spans="1:9" ht="15.75" customHeight="1">
      <c r="A102" s="127" t="s">
        <v>8</v>
      </c>
      <c r="B102" s="127"/>
      <c r="C102" s="127"/>
      <c r="D102" s="127"/>
      <c r="E102" s="127"/>
      <c r="F102" s="127"/>
      <c r="G102" s="127"/>
      <c r="H102" s="127"/>
      <c r="I102" s="127"/>
    </row>
    <row r="103" spans="1:9" ht="15.75">
      <c r="A103" s="120" t="s">
        <v>62</v>
      </c>
      <c r="B103" s="120"/>
      <c r="C103" s="120"/>
      <c r="D103" s="120"/>
      <c r="E103" s="120"/>
      <c r="F103" s="120"/>
      <c r="G103" s="120"/>
      <c r="H103" s="120"/>
      <c r="I103" s="120"/>
    </row>
    <row r="104" spans="1:9" ht="23.25" customHeight="1">
      <c r="A104" s="11"/>
    </row>
    <row r="105" spans="1:9" ht="15.75" customHeight="1">
      <c r="A105" s="129" t="s">
        <v>9</v>
      </c>
      <c r="B105" s="129"/>
      <c r="C105" s="129"/>
      <c r="D105" s="129"/>
      <c r="E105" s="129"/>
      <c r="F105" s="129"/>
      <c r="G105" s="129"/>
      <c r="H105" s="129"/>
      <c r="I105" s="129"/>
    </row>
    <row r="106" spans="1:9" ht="15.75" customHeight="1">
      <c r="A106" s="4"/>
    </row>
    <row r="107" spans="1:9" ht="15.75" customHeight="1">
      <c r="B107" s="110" t="s">
        <v>10</v>
      </c>
      <c r="C107" s="140" t="s">
        <v>174</v>
      </c>
      <c r="D107" s="140"/>
      <c r="E107" s="140"/>
      <c r="F107" s="143"/>
      <c r="I107" s="108"/>
    </row>
    <row r="108" spans="1:9" ht="15.75" customHeight="1">
      <c r="A108" s="109"/>
      <c r="C108" s="126" t="s">
        <v>11</v>
      </c>
      <c r="D108" s="126"/>
      <c r="E108" s="126"/>
      <c r="F108" s="33"/>
      <c r="I108" s="107" t="s">
        <v>12</v>
      </c>
    </row>
    <row r="109" spans="1:9" ht="15.75" customHeight="1">
      <c r="A109" s="34"/>
      <c r="C109" s="12"/>
      <c r="D109" s="12"/>
      <c r="G109" s="12"/>
      <c r="H109" s="12"/>
    </row>
    <row r="110" spans="1:9" ht="15.75" customHeight="1">
      <c r="B110" s="110" t="s">
        <v>13</v>
      </c>
      <c r="C110" s="130"/>
      <c r="D110" s="130"/>
      <c r="E110" s="130"/>
      <c r="F110" s="144"/>
      <c r="I110" s="108"/>
    </row>
    <row r="111" spans="1:9">
      <c r="A111" s="109"/>
      <c r="C111" s="131" t="s">
        <v>11</v>
      </c>
      <c r="D111" s="131"/>
      <c r="E111" s="131"/>
      <c r="F111" s="109"/>
      <c r="I111" s="107" t="s">
        <v>12</v>
      </c>
    </row>
    <row r="112" spans="1:9" ht="15.75" customHeight="1">
      <c r="A112" s="4" t="s">
        <v>14</v>
      </c>
    </row>
    <row r="113" spans="1:9" ht="15.75" customHeight="1">
      <c r="A113" s="132" t="s">
        <v>15</v>
      </c>
      <c r="B113" s="132"/>
      <c r="C113" s="132"/>
      <c r="D113" s="132"/>
      <c r="E113" s="132"/>
      <c r="F113" s="132"/>
      <c r="G113" s="132"/>
      <c r="H113" s="132"/>
      <c r="I113" s="132"/>
    </row>
    <row r="114" spans="1:9" ht="45" customHeight="1">
      <c r="A114" s="128" t="s">
        <v>16</v>
      </c>
      <c r="B114" s="128"/>
      <c r="C114" s="128"/>
      <c r="D114" s="128"/>
      <c r="E114" s="128"/>
      <c r="F114" s="128"/>
      <c r="G114" s="128"/>
      <c r="H114" s="128"/>
      <c r="I114" s="128"/>
    </row>
    <row r="115" spans="1:9" ht="30" customHeight="1">
      <c r="A115" s="128" t="s">
        <v>17</v>
      </c>
      <c r="B115" s="128"/>
      <c r="C115" s="128"/>
      <c r="D115" s="128"/>
      <c r="E115" s="128"/>
      <c r="F115" s="128"/>
      <c r="G115" s="128"/>
      <c r="H115" s="128"/>
      <c r="I115" s="128"/>
    </row>
    <row r="116" spans="1:9" ht="30" customHeight="1">
      <c r="A116" s="128" t="s">
        <v>21</v>
      </c>
      <c r="B116" s="128"/>
      <c r="C116" s="128"/>
      <c r="D116" s="128"/>
      <c r="E116" s="128"/>
      <c r="F116" s="128"/>
      <c r="G116" s="128"/>
      <c r="H116" s="128"/>
      <c r="I116" s="128"/>
    </row>
    <row r="117" spans="1:9" ht="15" customHeight="1">
      <c r="A117" s="128" t="s">
        <v>20</v>
      </c>
      <c r="B117" s="128"/>
      <c r="C117" s="128"/>
      <c r="D117" s="128"/>
      <c r="E117" s="128"/>
      <c r="F117" s="128"/>
      <c r="G117" s="128"/>
      <c r="H117" s="128"/>
      <c r="I117" s="128"/>
    </row>
  </sheetData>
  <autoFilter ref="I12:I61"/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97:I97"/>
    <mergeCell ref="B98:G98"/>
    <mergeCell ref="B99:G99"/>
    <mergeCell ref="A101:I101"/>
    <mergeCell ref="A102:I102"/>
    <mergeCell ref="A103:I103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3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217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89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42460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7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hidden="1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hidden="1" customHeight="1">
      <c r="A32" s="38">
        <v>9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hidden="1" customHeight="1">
      <c r="A34" s="38">
        <v>10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hidden="1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175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customHeight="1">
      <c r="A57" s="38">
        <v>14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customHeight="1">
      <c r="A59" s="38">
        <v>15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16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17</v>
      </c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hidden="1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hidden="1" customHeight="1">
      <c r="A74" s="38"/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v>0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176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18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19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I16+I17+I18+I20+I21+I27+I28+I38+I40+I41+I42+I43+I44+I57+I59+I63+I65+I82+I83</f>
        <v>41692.424586000001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15.75" hidden="1" customHeight="1">
      <c r="A86" s="38"/>
      <c r="B86" s="81" t="s">
        <v>184</v>
      </c>
      <c r="C86" s="106" t="s">
        <v>182</v>
      </c>
      <c r="D86" s="67"/>
      <c r="E86" s="16"/>
      <c r="F86" s="16">
        <v>5</v>
      </c>
      <c r="G86" s="16">
        <v>129.04</v>
      </c>
      <c r="H86" s="146">
        <f t="shared" ref="H86:H110" si="7">G86*F86/1000</f>
        <v>0.64519999999999988</v>
      </c>
      <c r="I86" s="16">
        <v>0</v>
      </c>
    </row>
    <row r="87" spans="1:9" ht="15.75" hidden="1" customHeight="1">
      <c r="A87" s="38"/>
      <c r="B87" s="81" t="s">
        <v>185</v>
      </c>
      <c r="C87" s="106" t="s">
        <v>127</v>
      </c>
      <c r="D87" s="67"/>
      <c r="E87" s="16"/>
      <c r="F87" s="16">
        <v>1</v>
      </c>
      <c r="G87" s="16">
        <v>124.25</v>
      </c>
      <c r="H87" s="146">
        <f t="shared" si="7"/>
        <v>0.12425</v>
      </c>
      <c r="I87" s="16">
        <v>0</v>
      </c>
    </row>
    <row r="88" spans="1:9" ht="15.75" hidden="1" customHeight="1">
      <c r="A88" s="38"/>
      <c r="B88" s="148" t="s">
        <v>186</v>
      </c>
      <c r="C88" s="106" t="s">
        <v>148</v>
      </c>
      <c r="D88" s="67"/>
      <c r="E88" s="16"/>
      <c r="F88" s="16">
        <v>1</v>
      </c>
      <c r="G88" s="16">
        <v>2292.96</v>
      </c>
      <c r="H88" s="146">
        <f t="shared" si="7"/>
        <v>2.2929599999999999</v>
      </c>
      <c r="I88" s="16">
        <v>0</v>
      </c>
    </row>
    <row r="89" spans="1:9" ht="15.75" hidden="1" customHeight="1">
      <c r="A89" s="38"/>
      <c r="B89" s="81" t="s">
        <v>187</v>
      </c>
      <c r="C89" s="106" t="s">
        <v>188</v>
      </c>
      <c r="D89" s="67"/>
      <c r="E89" s="16"/>
      <c r="F89" s="16">
        <v>1</v>
      </c>
      <c r="G89" s="16">
        <v>8279</v>
      </c>
      <c r="H89" s="146">
        <f t="shared" si="7"/>
        <v>8.2789999999999999</v>
      </c>
      <c r="I89" s="16">
        <v>0</v>
      </c>
    </row>
    <row r="90" spans="1:9" ht="15.75" hidden="1" customHeight="1">
      <c r="A90" s="38"/>
      <c r="B90" s="81" t="s">
        <v>189</v>
      </c>
      <c r="C90" s="106" t="s">
        <v>188</v>
      </c>
      <c r="D90" s="67"/>
      <c r="E90" s="16"/>
      <c r="F90" s="16">
        <v>1</v>
      </c>
      <c r="G90" s="16">
        <v>7522</v>
      </c>
      <c r="H90" s="146">
        <f t="shared" si="7"/>
        <v>7.5220000000000002</v>
      </c>
      <c r="I90" s="16"/>
    </row>
    <row r="91" spans="1:9" ht="15.75" hidden="1" customHeight="1">
      <c r="A91" s="38"/>
      <c r="B91" s="81" t="s">
        <v>190</v>
      </c>
      <c r="C91" s="106" t="s">
        <v>148</v>
      </c>
      <c r="D91" s="67"/>
      <c r="E91" s="16"/>
      <c r="F91" s="16">
        <v>1</v>
      </c>
      <c r="G91" s="16">
        <v>625.07000000000005</v>
      </c>
      <c r="H91" s="146">
        <f t="shared" si="7"/>
        <v>0.62507000000000001</v>
      </c>
      <c r="I91" s="16">
        <v>0</v>
      </c>
    </row>
    <row r="92" spans="1:9" ht="31.5" hidden="1" customHeight="1">
      <c r="A92" s="38"/>
      <c r="B92" s="81" t="s">
        <v>191</v>
      </c>
      <c r="C92" s="106" t="s">
        <v>88</v>
      </c>
      <c r="D92" s="67"/>
      <c r="E92" s="16"/>
      <c r="F92" s="16">
        <v>3</v>
      </c>
      <c r="G92" s="16">
        <v>771.29</v>
      </c>
      <c r="H92" s="146">
        <f t="shared" si="7"/>
        <v>2.3138700000000001</v>
      </c>
      <c r="I92" s="16">
        <v>0</v>
      </c>
    </row>
    <row r="93" spans="1:9" ht="31.5" hidden="1" customHeight="1">
      <c r="A93" s="38"/>
      <c r="B93" s="81" t="s">
        <v>192</v>
      </c>
      <c r="C93" s="106" t="s">
        <v>88</v>
      </c>
      <c r="D93" s="67"/>
      <c r="E93" s="16"/>
      <c r="F93" s="16">
        <v>2</v>
      </c>
      <c r="G93" s="16">
        <v>960.74</v>
      </c>
      <c r="H93" s="146">
        <f t="shared" si="7"/>
        <v>1.9214800000000001</v>
      </c>
      <c r="I93" s="16">
        <v>0</v>
      </c>
    </row>
    <row r="94" spans="1:9" ht="15.75" hidden="1" customHeight="1">
      <c r="A94" s="38"/>
      <c r="B94" s="81" t="s">
        <v>193</v>
      </c>
      <c r="C94" s="106" t="s">
        <v>127</v>
      </c>
      <c r="D94" s="67"/>
      <c r="E94" s="16"/>
      <c r="F94" s="16">
        <v>2</v>
      </c>
      <c r="G94" s="16">
        <v>27.36</v>
      </c>
      <c r="H94" s="146">
        <f t="shared" si="7"/>
        <v>5.4719999999999998E-2</v>
      </c>
      <c r="I94" s="16">
        <v>0</v>
      </c>
    </row>
    <row r="95" spans="1:9" ht="15.75" hidden="1" customHeight="1">
      <c r="A95" s="38"/>
      <c r="B95" s="81" t="s">
        <v>209</v>
      </c>
      <c r="C95" s="106" t="s">
        <v>127</v>
      </c>
      <c r="D95" s="67"/>
      <c r="E95" s="16"/>
      <c r="F95" s="16">
        <v>2</v>
      </c>
      <c r="G95" s="16">
        <v>50.01</v>
      </c>
      <c r="H95" s="146">
        <f t="shared" si="7"/>
        <v>0.10002</v>
      </c>
      <c r="I95" s="16">
        <v>0</v>
      </c>
    </row>
    <row r="96" spans="1:9" ht="15.75" hidden="1" customHeight="1">
      <c r="A96" s="38"/>
      <c r="B96" s="81" t="s">
        <v>210</v>
      </c>
      <c r="C96" s="106" t="s">
        <v>127</v>
      </c>
      <c r="D96" s="67"/>
      <c r="E96" s="16"/>
      <c r="F96" s="16">
        <v>1</v>
      </c>
      <c r="G96" s="16">
        <v>47.59</v>
      </c>
      <c r="H96" s="146">
        <f t="shared" si="7"/>
        <v>4.759E-2</v>
      </c>
      <c r="I96" s="16">
        <v>0</v>
      </c>
    </row>
    <row r="97" spans="1:9" ht="15.75" hidden="1" customHeight="1">
      <c r="A97" s="38"/>
      <c r="B97" s="81" t="s">
        <v>194</v>
      </c>
      <c r="C97" s="106" t="s">
        <v>127</v>
      </c>
      <c r="D97" s="67"/>
      <c r="E97" s="16"/>
      <c r="F97" s="16">
        <v>5</v>
      </c>
      <c r="G97" s="16">
        <v>109.73</v>
      </c>
      <c r="H97" s="146">
        <f t="shared" si="7"/>
        <v>0.54864999999999997</v>
      </c>
      <c r="I97" s="16">
        <v>0</v>
      </c>
    </row>
    <row r="98" spans="1:9" ht="15.75" hidden="1" customHeight="1">
      <c r="A98" s="38"/>
      <c r="B98" s="81" t="s">
        <v>195</v>
      </c>
      <c r="C98" s="106" t="s">
        <v>127</v>
      </c>
      <c r="D98" s="67"/>
      <c r="E98" s="16"/>
      <c r="F98" s="16">
        <v>2</v>
      </c>
      <c r="G98" s="16">
        <v>61.81</v>
      </c>
      <c r="H98" s="146">
        <f t="shared" si="7"/>
        <v>0.12362000000000001</v>
      </c>
      <c r="I98" s="16">
        <v>0</v>
      </c>
    </row>
    <row r="99" spans="1:9" ht="15.75" hidden="1" customHeight="1">
      <c r="A99" s="38"/>
      <c r="B99" s="81" t="s">
        <v>196</v>
      </c>
      <c r="C99" s="106" t="s">
        <v>127</v>
      </c>
      <c r="D99" s="67"/>
      <c r="E99" s="16"/>
      <c r="F99" s="16">
        <v>4</v>
      </c>
      <c r="G99" s="16">
        <v>78.89</v>
      </c>
      <c r="H99" s="146">
        <f t="shared" si="7"/>
        <v>0.31556000000000001</v>
      </c>
      <c r="I99" s="16">
        <v>0</v>
      </c>
    </row>
    <row r="100" spans="1:9" ht="31.5" hidden="1" customHeight="1">
      <c r="A100" s="38"/>
      <c r="B100" s="81" t="s">
        <v>197</v>
      </c>
      <c r="C100" s="106" t="s">
        <v>182</v>
      </c>
      <c r="D100" s="67"/>
      <c r="E100" s="16"/>
      <c r="F100" s="16">
        <v>4</v>
      </c>
      <c r="G100" s="16">
        <v>1272</v>
      </c>
      <c r="H100" s="146">
        <f t="shared" si="7"/>
        <v>5.0880000000000001</v>
      </c>
      <c r="I100" s="16">
        <v>0</v>
      </c>
    </row>
    <row r="101" spans="1:9" ht="31.5" hidden="1" customHeight="1">
      <c r="A101" s="38"/>
      <c r="B101" s="81" t="s">
        <v>198</v>
      </c>
      <c r="C101" s="106" t="s">
        <v>182</v>
      </c>
      <c r="D101" s="67"/>
      <c r="E101" s="16"/>
      <c r="F101" s="16">
        <v>4</v>
      </c>
      <c r="G101" s="16">
        <v>1206</v>
      </c>
      <c r="H101" s="146">
        <f>G101*F101/1000</f>
        <v>4.8239999999999998</v>
      </c>
      <c r="I101" s="16">
        <v>0</v>
      </c>
    </row>
    <row r="102" spans="1:9" ht="31.5" hidden="1" customHeight="1">
      <c r="A102" s="38"/>
      <c r="B102" s="81" t="s">
        <v>199</v>
      </c>
      <c r="C102" s="106" t="s">
        <v>182</v>
      </c>
      <c r="D102" s="67"/>
      <c r="E102" s="16"/>
      <c r="F102" s="16">
        <v>2</v>
      </c>
      <c r="G102" s="16">
        <v>1187</v>
      </c>
      <c r="H102" s="146">
        <f t="shared" si="7"/>
        <v>2.3740000000000001</v>
      </c>
      <c r="I102" s="16">
        <v>0</v>
      </c>
    </row>
    <row r="103" spans="1:9" ht="15.75" hidden="1" customHeight="1">
      <c r="A103" s="38"/>
      <c r="B103" s="81" t="s">
        <v>200</v>
      </c>
      <c r="C103" s="106" t="s">
        <v>201</v>
      </c>
      <c r="D103" s="18"/>
      <c r="E103" s="23"/>
      <c r="F103" s="16">
        <f>1/100</f>
        <v>0.01</v>
      </c>
      <c r="G103" s="16">
        <v>7033.13</v>
      </c>
      <c r="H103" s="146">
        <f t="shared" si="7"/>
        <v>7.0331299999999999E-2</v>
      </c>
      <c r="I103" s="16">
        <v>0</v>
      </c>
    </row>
    <row r="104" spans="1:9" ht="31.5" hidden="1" customHeight="1">
      <c r="A104" s="38"/>
      <c r="B104" s="81" t="s">
        <v>202</v>
      </c>
      <c r="C104" s="106" t="s">
        <v>127</v>
      </c>
      <c r="D104" s="18"/>
      <c r="E104" s="23"/>
      <c r="F104" s="16">
        <v>1</v>
      </c>
      <c r="G104" s="16">
        <v>2179.33</v>
      </c>
      <c r="H104" s="146">
        <f t="shared" si="7"/>
        <v>2.1793299999999998</v>
      </c>
      <c r="I104" s="16">
        <v>0</v>
      </c>
    </row>
    <row r="105" spans="1:9" ht="15.75" hidden="1" customHeight="1">
      <c r="A105" s="38"/>
      <c r="B105" s="81" t="s">
        <v>203</v>
      </c>
      <c r="C105" s="106" t="s">
        <v>188</v>
      </c>
      <c r="D105" s="18"/>
      <c r="E105" s="23"/>
      <c r="F105" s="16">
        <v>1</v>
      </c>
      <c r="G105" s="16">
        <v>302</v>
      </c>
      <c r="H105" s="146">
        <f t="shared" si="7"/>
        <v>0.30199999999999999</v>
      </c>
      <c r="I105" s="16">
        <v>0</v>
      </c>
    </row>
    <row r="106" spans="1:9" ht="15.75" hidden="1" customHeight="1">
      <c r="A106" s="38"/>
      <c r="B106" s="81" t="s">
        <v>204</v>
      </c>
      <c r="C106" s="168" t="s">
        <v>205</v>
      </c>
      <c r="D106" s="67"/>
      <c r="E106" s="16"/>
      <c r="F106" s="16">
        <v>1</v>
      </c>
      <c r="G106" s="16">
        <v>286.55</v>
      </c>
      <c r="H106" s="146">
        <f>G106*F106/1000</f>
        <v>0.28655000000000003</v>
      </c>
      <c r="I106" s="16">
        <v>0</v>
      </c>
    </row>
    <row r="107" spans="1:9" ht="15.75" hidden="1" customHeight="1">
      <c r="A107" s="38"/>
      <c r="B107" s="81" t="s">
        <v>206</v>
      </c>
      <c r="C107" s="106" t="s">
        <v>182</v>
      </c>
      <c r="D107" s="18"/>
      <c r="E107" s="23"/>
      <c r="F107" s="16">
        <v>10</v>
      </c>
      <c r="G107" s="16">
        <v>83.63</v>
      </c>
      <c r="H107" s="146">
        <f t="shared" si="7"/>
        <v>0.83629999999999993</v>
      </c>
      <c r="I107" s="16">
        <v>0</v>
      </c>
    </row>
    <row r="108" spans="1:9" ht="15.75" hidden="1" customHeight="1">
      <c r="A108" s="38"/>
      <c r="B108" s="81" t="s">
        <v>207</v>
      </c>
      <c r="C108" s="106" t="s">
        <v>127</v>
      </c>
      <c r="D108" s="18"/>
      <c r="E108" s="23"/>
      <c r="F108" s="16">
        <v>1</v>
      </c>
      <c r="G108" s="16">
        <v>149.63999999999999</v>
      </c>
      <c r="H108" s="146">
        <f t="shared" si="7"/>
        <v>0.14964</v>
      </c>
      <c r="I108" s="16">
        <v>0</v>
      </c>
    </row>
    <row r="109" spans="1:9" ht="15.75" hidden="1" customHeight="1">
      <c r="A109" s="38"/>
      <c r="B109" s="148" t="s">
        <v>97</v>
      </c>
      <c r="C109" s="106" t="s">
        <v>127</v>
      </c>
      <c r="D109" s="18"/>
      <c r="E109" s="23"/>
      <c r="F109" s="16">
        <v>1</v>
      </c>
      <c r="G109" s="16">
        <v>179.96</v>
      </c>
      <c r="H109" s="146">
        <f t="shared" si="7"/>
        <v>0.17996000000000001</v>
      </c>
      <c r="I109" s="16">
        <v>0</v>
      </c>
    </row>
    <row r="110" spans="1:9" ht="15.75" hidden="1" customHeight="1">
      <c r="A110" s="38"/>
      <c r="B110" s="148" t="s">
        <v>208</v>
      </c>
      <c r="C110" s="106" t="s">
        <v>188</v>
      </c>
      <c r="D110" s="18"/>
      <c r="E110" s="23"/>
      <c r="F110" s="16">
        <v>1</v>
      </c>
      <c r="G110" s="16">
        <v>60121</v>
      </c>
      <c r="H110" s="146">
        <f t="shared" si="7"/>
        <v>60.121000000000002</v>
      </c>
      <c r="I110" s="16">
        <v>0</v>
      </c>
    </row>
    <row r="111" spans="1:9" ht="15.75" customHeight="1">
      <c r="A111" s="38"/>
      <c r="B111" s="61" t="s">
        <v>50</v>
      </c>
      <c r="C111" s="57"/>
      <c r="D111" s="71"/>
      <c r="E111" s="57">
        <v>1</v>
      </c>
      <c r="F111" s="57"/>
      <c r="G111" s="57"/>
      <c r="H111" s="57"/>
      <c r="I111" s="40">
        <f>SUM(I86:I110)</f>
        <v>0</v>
      </c>
    </row>
    <row r="112" spans="1:9" ht="15.75" customHeight="1">
      <c r="A112" s="38"/>
      <c r="B112" s="67" t="s">
        <v>83</v>
      </c>
      <c r="C112" s="19"/>
      <c r="D112" s="19"/>
      <c r="E112" s="58"/>
      <c r="F112" s="58"/>
      <c r="G112" s="59"/>
      <c r="H112" s="59"/>
      <c r="I112" s="22">
        <v>0</v>
      </c>
    </row>
    <row r="113" spans="1:9" ht="15.75" customHeight="1">
      <c r="A113" s="72"/>
      <c r="B113" s="62" t="s">
        <v>51</v>
      </c>
      <c r="C113" s="46"/>
      <c r="D113" s="46"/>
      <c r="E113" s="46"/>
      <c r="F113" s="46"/>
      <c r="G113" s="46"/>
      <c r="H113" s="46"/>
      <c r="I113" s="60">
        <f>I84+I111</f>
        <v>41692.424586000001</v>
      </c>
    </row>
    <row r="114" spans="1:9" ht="15.75" customHeight="1">
      <c r="A114" s="124" t="s">
        <v>218</v>
      </c>
      <c r="B114" s="124"/>
      <c r="C114" s="124"/>
      <c r="D114" s="124"/>
      <c r="E114" s="124"/>
      <c r="F114" s="124"/>
      <c r="G114" s="124"/>
      <c r="H114" s="124"/>
      <c r="I114" s="124"/>
    </row>
    <row r="115" spans="1:9" ht="15.75" customHeight="1">
      <c r="A115" s="113"/>
      <c r="B115" s="125" t="s">
        <v>219</v>
      </c>
      <c r="C115" s="125"/>
      <c r="D115" s="125"/>
      <c r="E115" s="125"/>
      <c r="F115" s="125"/>
      <c r="G115" s="125"/>
      <c r="H115" s="145"/>
      <c r="I115" s="3"/>
    </row>
    <row r="116" spans="1:9" ht="15.75" customHeight="1">
      <c r="A116" s="109"/>
      <c r="B116" s="126" t="s">
        <v>6</v>
      </c>
      <c r="C116" s="126"/>
      <c r="D116" s="126"/>
      <c r="E116" s="126"/>
      <c r="F116" s="126"/>
      <c r="G116" s="126"/>
      <c r="H116" s="33"/>
      <c r="I116" s="5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 customHeight="1">
      <c r="A118" s="127" t="s">
        <v>7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15.75" customHeight="1">
      <c r="A119" s="127" t="s">
        <v>8</v>
      </c>
      <c r="B119" s="127"/>
      <c r="C119" s="127"/>
      <c r="D119" s="127"/>
      <c r="E119" s="127"/>
      <c r="F119" s="127"/>
      <c r="G119" s="127"/>
      <c r="H119" s="127"/>
      <c r="I119" s="127"/>
    </row>
    <row r="120" spans="1:9" ht="15.75">
      <c r="A120" s="120" t="s">
        <v>62</v>
      </c>
      <c r="B120" s="120"/>
      <c r="C120" s="120"/>
      <c r="D120" s="120"/>
      <c r="E120" s="120"/>
      <c r="F120" s="120"/>
      <c r="G120" s="120"/>
      <c r="H120" s="120"/>
      <c r="I120" s="120"/>
    </row>
    <row r="121" spans="1:9" ht="15.75" customHeight="1">
      <c r="A121" s="11"/>
    </row>
    <row r="122" spans="1:9" ht="15.75" customHeight="1">
      <c r="A122" s="129" t="s">
        <v>9</v>
      </c>
      <c r="B122" s="129"/>
      <c r="C122" s="129"/>
      <c r="D122" s="129"/>
      <c r="E122" s="129"/>
      <c r="F122" s="129"/>
      <c r="G122" s="129"/>
      <c r="H122" s="129"/>
      <c r="I122" s="129"/>
    </row>
    <row r="123" spans="1:9" ht="15.75" customHeight="1">
      <c r="A123" s="4"/>
    </row>
    <row r="124" spans="1:9" ht="15.75" customHeight="1">
      <c r="B124" s="110" t="s">
        <v>10</v>
      </c>
      <c r="C124" s="140" t="s">
        <v>174</v>
      </c>
      <c r="D124" s="140"/>
      <c r="E124" s="140"/>
      <c r="F124" s="143"/>
      <c r="I124" s="108"/>
    </row>
    <row r="125" spans="1:9" ht="15.75" customHeight="1">
      <c r="A125" s="109"/>
      <c r="C125" s="126" t="s">
        <v>11</v>
      </c>
      <c r="D125" s="126"/>
      <c r="E125" s="126"/>
      <c r="F125" s="33"/>
      <c r="I125" s="107" t="s">
        <v>12</v>
      </c>
    </row>
    <row r="126" spans="1:9" ht="15.75" customHeight="1">
      <c r="A126" s="34"/>
      <c r="C126" s="12"/>
      <c r="D126" s="12"/>
      <c r="G126" s="12"/>
      <c r="H126" s="12"/>
    </row>
    <row r="127" spans="1:9" ht="15.75" customHeight="1">
      <c r="B127" s="110" t="s">
        <v>13</v>
      </c>
      <c r="C127" s="130"/>
      <c r="D127" s="130"/>
      <c r="E127" s="130"/>
      <c r="F127" s="144"/>
      <c r="I127" s="108"/>
    </row>
    <row r="128" spans="1:9">
      <c r="A128" s="109"/>
      <c r="C128" s="131" t="s">
        <v>11</v>
      </c>
      <c r="D128" s="131"/>
      <c r="E128" s="131"/>
      <c r="F128" s="109"/>
      <c r="I128" s="107" t="s">
        <v>12</v>
      </c>
    </row>
    <row r="129" spans="1:9" ht="15.75" customHeight="1">
      <c r="A129" s="4" t="s">
        <v>14</v>
      </c>
    </row>
    <row r="130" spans="1:9" ht="15.75" customHeight="1">
      <c r="A130" s="132" t="s">
        <v>15</v>
      </c>
      <c r="B130" s="132"/>
      <c r="C130" s="132"/>
      <c r="D130" s="132"/>
      <c r="E130" s="132"/>
      <c r="F130" s="132"/>
      <c r="G130" s="132"/>
      <c r="H130" s="132"/>
      <c r="I130" s="132"/>
    </row>
    <row r="131" spans="1:9" ht="45" customHeight="1">
      <c r="A131" s="128" t="s">
        <v>16</v>
      </c>
      <c r="B131" s="128"/>
      <c r="C131" s="128"/>
      <c r="D131" s="128"/>
      <c r="E131" s="128"/>
      <c r="F131" s="128"/>
      <c r="G131" s="128"/>
      <c r="H131" s="128"/>
      <c r="I131" s="128"/>
    </row>
    <row r="132" spans="1:9" ht="30" customHeight="1">
      <c r="A132" s="128" t="s">
        <v>17</v>
      </c>
      <c r="B132" s="128"/>
      <c r="C132" s="128"/>
      <c r="D132" s="128"/>
      <c r="E132" s="128"/>
      <c r="F132" s="128"/>
      <c r="G132" s="128"/>
      <c r="H132" s="128"/>
      <c r="I132" s="128"/>
    </row>
    <row r="133" spans="1:9" ht="30" customHeight="1">
      <c r="A133" s="128" t="s">
        <v>21</v>
      </c>
      <c r="B133" s="128"/>
      <c r="C133" s="128"/>
      <c r="D133" s="128"/>
      <c r="E133" s="128"/>
      <c r="F133" s="128"/>
      <c r="G133" s="128"/>
      <c r="H133" s="128"/>
      <c r="I133" s="128"/>
    </row>
    <row r="134" spans="1:9" ht="15" customHeight="1">
      <c r="A134" s="128" t="s">
        <v>20</v>
      </c>
      <c r="B134" s="128"/>
      <c r="C134" s="128"/>
      <c r="D134" s="128"/>
      <c r="E134" s="128"/>
      <c r="F134" s="128"/>
      <c r="G134" s="128"/>
      <c r="H134" s="128"/>
      <c r="I134" s="128"/>
    </row>
  </sheetData>
  <autoFilter ref="I12:I61"/>
  <mergeCells count="28">
    <mergeCell ref="A131:I131"/>
    <mergeCell ref="A132:I132"/>
    <mergeCell ref="A133:I133"/>
    <mergeCell ref="A134:I134"/>
    <mergeCell ref="A122:I122"/>
    <mergeCell ref="C124:E124"/>
    <mergeCell ref="C125:E125"/>
    <mergeCell ref="C127:E127"/>
    <mergeCell ref="C128:E128"/>
    <mergeCell ref="A130:I130"/>
    <mergeCell ref="A114:I114"/>
    <mergeCell ref="B115:G115"/>
    <mergeCell ref="B116:G116"/>
    <mergeCell ref="A118:I118"/>
    <mergeCell ref="A119:I119"/>
    <mergeCell ref="A120:I120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3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220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90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42490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hidden="1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6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hidden="1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hidden="1" customHeight="1">
      <c r="A31" s="38">
        <v>8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hidden="1" customHeight="1">
      <c r="A32" s="38">
        <v>9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hidden="1" customHeight="1">
      <c r="A34" s="38">
        <v>10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customHeight="1">
      <c r="A38" s="38">
        <v>7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customHeight="1">
      <c r="A40" s="38">
        <v>8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customHeight="1">
      <c r="A41" s="38">
        <v>9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customHeight="1">
      <c r="A42" s="38">
        <v>10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customHeight="1">
      <c r="A43" s="38">
        <v>11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customHeight="1">
      <c r="A44" s="38">
        <v>12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customHeight="1">
      <c r="A51" s="38">
        <v>13</v>
      </c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f>F51/2*G51</f>
        <v>1739.393024</v>
      </c>
      <c r="J51" s="32"/>
      <c r="L51" s="25"/>
      <c r="M51" s="26"/>
      <c r="N51" s="27"/>
    </row>
    <row r="52" spans="1:22" ht="31.5" customHeight="1">
      <c r="A52" s="38">
        <v>14</v>
      </c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f>F52/2*G52</f>
        <v>291.88900000000001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v>0</v>
      </c>
      <c r="J53" s="32"/>
      <c r="L53" s="25"/>
      <c r="M53" s="26"/>
      <c r="N53" s="27"/>
    </row>
    <row r="54" spans="1:22" ht="15.75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172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18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19</v>
      </c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hidden="1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hidden="1" customHeight="1">
      <c r="A74" s="38"/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v>0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173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20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21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I16+I17+I18+I20+I27+I28+I38+I40+I41+I42+I43+I44+I51+I52+I54+I57+I59+I63+I65+I82+I83</f>
        <v>49334.961889999991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31.5" customHeight="1">
      <c r="A86" s="38">
        <v>22</v>
      </c>
      <c r="B86" s="81" t="s">
        <v>181</v>
      </c>
      <c r="C86" s="106" t="s">
        <v>182</v>
      </c>
      <c r="D86" s="67"/>
      <c r="E86" s="16"/>
      <c r="F86" s="16">
        <v>11</v>
      </c>
      <c r="G86" s="16">
        <v>2057</v>
      </c>
      <c r="H86" s="146">
        <f t="shared" ref="H86:H112" si="7">G86*F86/1000</f>
        <v>22.626999999999999</v>
      </c>
      <c r="I86" s="16">
        <f>G86*2</f>
        <v>4114</v>
      </c>
    </row>
    <row r="87" spans="1:9" ht="31.5" customHeight="1">
      <c r="A87" s="38">
        <v>23</v>
      </c>
      <c r="B87" s="81" t="s">
        <v>163</v>
      </c>
      <c r="C87" s="106" t="s">
        <v>37</v>
      </c>
      <c r="D87" s="67"/>
      <c r="E87" s="16"/>
      <c r="F87" s="16">
        <f>7/100</f>
        <v>7.0000000000000007E-2</v>
      </c>
      <c r="G87" s="16">
        <v>3397.65</v>
      </c>
      <c r="H87" s="146">
        <f t="shared" si="7"/>
        <v>0.23783550000000003</v>
      </c>
      <c r="I87" s="16">
        <f>G87*0.01</f>
        <v>33.976500000000001</v>
      </c>
    </row>
    <row r="88" spans="1:9" ht="15.75" hidden="1" customHeight="1">
      <c r="A88" s="38"/>
      <c r="B88" s="81" t="s">
        <v>184</v>
      </c>
      <c r="C88" s="106" t="s">
        <v>182</v>
      </c>
      <c r="D88" s="67"/>
      <c r="E88" s="16"/>
      <c r="F88" s="16">
        <v>5</v>
      </c>
      <c r="G88" s="16">
        <v>129.04</v>
      </c>
      <c r="H88" s="146">
        <f t="shared" si="7"/>
        <v>0.64519999999999988</v>
      </c>
      <c r="I88" s="16">
        <v>0</v>
      </c>
    </row>
    <row r="89" spans="1:9" ht="15.75" hidden="1" customHeight="1">
      <c r="A89" s="38"/>
      <c r="B89" s="81" t="s">
        <v>185</v>
      </c>
      <c r="C89" s="106" t="s">
        <v>127</v>
      </c>
      <c r="D89" s="67"/>
      <c r="E89" s="16"/>
      <c r="F89" s="16">
        <v>1</v>
      </c>
      <c r="G89" s="16">
        <v>124.25</v>
      </c>
      <c r="H89" s="146">
        <f t="shared" si="7"/>
        <v>0.12425</v>
      </c>
      <c r="I89" s="16">
        <v>0</v>
      </c>
    </row>
    <row r="90" spans="1:9" ht="15.75" hidden="1" customHeight="1">
      <c r="A90" s="38"/>
      <c r="B90" s="148" t="s">
        <v>186</v>
      </c>
      <c r="C90" s="106" t="s">
        <v>148</v>
      </c>
      <c r="D90" s="67"/>
      <c r="E90" s="16"/>
      <c r="F90" s="16">
        <v>1</v>
      </c>
      <c r="G90" s="16">
        <v>2292.96</v>
      </c>
      <c r="H90" s="146">
        <f t="shared" si="7"/>
        <v>2.2929599999999999</v>
      </c>
      <c r="I90" s="16">
        <v>0</v>
      </c>
    </row>
    <row r="91" spans="1:9" ht="15.75" hidden="1" customHeight="1">
      <c r="A91" s="38"/>
      <c r="B91" s="81" t="s">
        <v>187</v>
      </c>
      <c r="C91" s="106" t="s">
        <v>188</v>
      </c>
      <c r="D91" s="67"/>
      <c r="E91" s="16"/>
      <c r="F91" s="16">
        <v>1</v>
      </c>
      <c r="G91" s="16">
        <v>8279</v>
      </c>
      <c r="H91" s="146">
        <f t="shared" si="7"/>
        <v>8.2789999999999999</v>
      </c>
      <c r="I91" s="16">
        <v>0</v>
      </c>
    </row>
    <row r="92" spans="1:9" ht="15.75" hidden="1" customHeight="1">
      <c r="A92" s="38"/>
      <c r="B92" s="81" t="s">
        <v>189</v>
      </c>
      <c r="C92" s="106" t="s">
        <v>188</v>
      </c>
      <c r="D92" s="67"/>
      <c r="E92" s="16"/>
      <c r="F92" s="16">
        <v>1</v>
      </c>
      <c r="G92" s="16">
        <v>7522</v>
      </c>
      <c r="H92" s="146">
        <f t="shared" si="7"/>
        <v>7.5220000000000002</v>
      </c>
      <c r="I92" s="16"/>
    </row>
    <row r="93" spans="1:9" ht="15.75" hidden="1" customHeight="1">
      <c r="A93" s="38"/>
      <c r="B93" s="81" t="s">
        <v>190</v>
      </c>
      <c r="C93" s="106" t="s">
        <v>148</v>
      </c>
      <c r="D93" s="67"/>
      <c r="E93" s="16"/>
      <c r="F93" s="16">
        <v>1</v>
      </c>
      <c r="G93" s="16">
        <v>625.07000000000005</v>
      </c>
      <c r="H93" s="146">
        <f t="shared" si="7"/>
        <v>0.62507000000000001</v>
      </c>
      <c r="I93" s="16">
        <v>0</v>
      </c>
    </row>
    <row r="94" spans="1:9" ht="31.5" hidden="1" customHeight="1">
      <c r="A94" s="38"/>
      <c r="B94" s="81" t="s">
        <v>191</v>
      </c>
      <c r="C94" s="106" t="s">
        <v>88</v>
      </c>
      <c r="D94" s="67"/>
      <c r="E94" s="16"/>
      <c r="F94" s="16">
        <v>3</v>
      </c>
      <c r="G94" s="16">
        <v>771.29</v>
      </c>
      <c r="H94" s="146">
        <f t="shared" si="7"/>
        <v>2.3138700000000001</v>
      </c>
      <c r="I94" s="16">
        <v>0</v>
      </c>
    </row>
    <row r="95" spans="1:9" ht="31.5" hidden="1" customHeight="1">
      <c r="A95" s="38"/>
      <c r="B95" s="81" t="s">
        <v>192</v>
      </c>
      <c r="C95" s="106" t="s">
        <v>88</v>
      </c>
      <c r="D95" s="67"/>
      <c r="E95" s="16"/>
      <c r="F95" s="16">
        <v>2</v>
      </c>
      <c r="G95" s="16">
        <v>960.74</v>
      </c>
      <c r="H95" s="146">
        <f t="shared" si="7"/>
        <v>1.9214800000000001</v>
      </c>
      <c r="I95" s="16">
        <v>0</v>
      </c>
    </row>
    <row r="96" spans="1:9" ht="15.75" hidden="1" customHeight="1">
      <c r="A96" s="38"/>
      <c r="B96" s="81" t="s">
        <v>193</v>
      </c>
      <c r="C96" s="106" t="s">
        <v>127</v>
      </c>
      <c r="D96" s="67"/>
      <c r="E96" s="16"/>
      <c r="F96" s="16">
        <v>2</v>
      </c>
      <c r="G96" s="16">
        <v>27.36</v>
      </c>
      <c r="H96" s="146">
        <f t="shared" si="7"/>
        <v>5.4719999999999998E-2</v>
      </c>
      <c r="I96" s="16">
        <v>0</v>
      </c>
    </row>
    <row r="97" spans="1:9" ht="15.75" hidden="1" customHeight="1">
      <c r="A97" s="38"/>
      <c r="B97" s="81" t="s">
        <v>209</v>
      </c>
      <c r="C97" s="106" t="s">
        <v>127</v>
      </c>
      <c r="D97" s="67"/>
      <c r="E97" s="16"/>
      <c r="F97" s="16">
        <v>2</v>
      </c>
      <c r="G97" s="16">
        <v>50.01</v>
      </c>
      <c r="H97" s="146">
        <f t="shared" si="7"/>
        <v>0.10002</v>
      </c>
      <c r="I97" s="16">
        <v>0</v>
      </c>
    </row>
    <row r="98" spans="1:9" ht="15.75" hidden="1" customHeight="1">
      <c r="A98" s="38"/>
      <c r="B98" s="81" t="s">
        <v>210</v>
      </c>
      <c r="C98" s="106" t="s">
        <v>127</v>
      </c>
      <c r="D98" s="67"/>
      <c r="E98" s="16"/>
      <c r="F98" s="16">
        <v>1</v>
      </c>
      <c r="G98" s="16">
        <v>47.59</v>
      </c>
      <c r="H98" s="146">
        <f t="shared" si="7"/>
        <v>4.759E-2</v>
      </c>
      <c r="I98" s="16">
        <v>0</v>
      </c>
    </row>
    <row r="99" spans="1:9" ht="15.75" hidden="1" customHeight="1">
      <c r="A99" s="38"/>
      <c r="B99" s="81" t="s">
        <v>194</v>
      </c>
      <c r="C99" s="106" t="s">
        <v>127</v>
      </c>
      <c r="D99" s="67"/>
      <c r="E99" s="16"/>
      <c r="F99" s="16">
        <v>5</v>
      </c>
      <c r="G99" s="16">
        <v>109.73</v>
      </c>
      <c r="H99" s="146">
        <f t="shared" si="7"/>
        <v>0.54864999999999997</v>
      </c>
      <c r="I99" s="16">
        <v>0</v>
      </c>
    </row>
    <row r="100" spans="1:9" ht="15.75" hidden="1" customHeight="1">
      <c r="A100" s="38"/>
      <c r="B100" s="81" t="s">
        <v>195</v>
      </c>
      <c r="C100" s="106" t="s">
        <v>127</v>
      </c>
      <c r="D100" s="67"/>
      <c r="E100" s="16"/>
      <c r="F100" s="16">
        <v>2</v>
      </c>
      <c r="G100" s="16">
        <v>61.81</v>
      </c>
      <c r="H100" s="146">
        <f t="shared" si="7"/>
        <v>0.12362000000000001</v>
      </c>
      <c r="I100" s="16">
        <v>0</v>
      </c>
    </row>
    <row r="101" spans="1:9" ht="15.75" hidden="1" customHeight="1">
      <c r="A101" s="38"/>
      <c r="B101" s="81" t="s">
        <v>196</v>
      </c>
      <c r="C101" s="106" t="s">
        <v>127</v>
      </c>
      <c r="D101" s="67"/>
      <c r="E101" s="16"/>
      <c r="F101" s="16">
        <v>4</v>
      </c>
      <c r="G101" s="16">
        <v>78.89</v>
      </c>
      <c r="H101" s="146">
        <f t="shared" si="7"/>
        <v>0.31556000000000001</v>
      </c>
      <c r="I101" s="16">
        <v>0</v>
      </c>
    </row>
    <row r="102" spans="1:9" ht="31.5" hidden="1" customHeight="1">
      <c r="A102" s="38"/>
      <c r="B102" s="81" t="s">
        <v>197</v>
      </c>
      <c r="C102" s="106" t="s">
        <v>182</v>
      </c>
      <c r="D102" s="67"/>
      <c r="E102" s="16"/>
      <c r="F102" s="16">
        <v>4</v>
      </c>
      <c r="G102" s="16">
        <v>1272</v>
      </c>
      <c r="H102" s="146">
        <f t="shared" si="7"/>
        <v>5.0880000000000001</v>
      </c>
      <c r="I102" s="16">
        <v>0</v>
      </c>
    </row>
    <row r="103" spans="1:9" ht="31.5" hidden="1" customHeight="1">
      <c r="A103" s="38"/>
      <c r="B103" s="81" t="s">
        <v>198</v>
      </c>
      <c r="C103" s="106" t="s">
        <v>182</v>
      </c>
      <c r="D103" s="67"/>
      <c r="E103" s="16"/>
      <c r="F103" s="16">
        <v>4</v>
      </c>
      <c r="G103" s="16">
        <v>1206</v>
      </c>
      <c r="H103" s="146">
        <f>G103*F103/1000</f>
        <v>4.8239999999999998</v>
      </c>
      <c r="I103" s="16">
        <v>0</v>
      </c>
    </row>
    <row r="104" spans="1:9" ht="31.5" hidden="1" customHeight="1">
      <c r="A104" s="38"/>
      <c r="B104" s="81" t="s">
        <v>199</v>
      </c>
      <c r="C104" s="106" t="s">
        <v>182</v>
      </c>
      <c r="D104" s="67"/>
      <c r="E104" s="16"/>
      <c r="F104" s="16">
        <v>2</v>
      </c>
      <c r="G104" s="16">
        <v>1187</v>
      </c>
      <c r="H104" s="146">
        <f t="shared" si="7"/>
        <v>2.3740000000000001</v>
      </c>
      <c r="I104" s="16">
        <v>0</v>
      </c>
    </row>
    <row r="105" spans="1:9" ht="15.75" hidden="1" customHeight="1">
      <c r="A105" s="38"/>
      <c r="B105" s="81" t="s">
        <v>200</v>
      </c>
      <c r="C105" s="106" t="s">
        <v>201</v>
      </c>
      <c r="D105" s="18"/>
      <c r="E105" s="23"/>
      <c r="F105" s="16">
        <f>1/100</f>
        <v>0.01</v>
      </c>
      <c r="G105" s="16">
        <v>7033.13</v>
      </c>
      <c r="H105" s="146">
        <f t="shared" si="7"/>
        <v>7.0331299999999999E-2</v>
      </c>
      <c r="I105" s="16">
        <v>0</v>
      </c>
    </row>
    <row r="106" spans="1:9" ht="31.5" hidden="1" customHeight="1">
      <c r="A106" s="38"/>
      <c r="B106" s="81" t="s">
        <v>202</v>
      </c>
      <c r="C106" s="106" t="s">
        <v>127</v>
      </c>
      <c r="D106" s="18"/>
      <c r="E106" s="23"/>
      <c r="F106" s="16">
        <v>1</v>
      </c>
      <c r="G106" s="16">
        <v>2179.33</v>
      </c>
      <c r="H106" s="146">
        <f t="shared" si="7"/>
        <v>2.1793299999999998</v>
      </c>
      <c r="I106" s="16">
        <v>0</v>
      </c>
    </row>
    <row r="107" spans="1:9" ht="15.75" hidden="1" customHeight="1">
      <c r="A107" s="38"/>
      <c r="B107" s="81" t="s">
        <v>203</v>
      </c>
      <c r="C107" s="106" t="s">
        <v>188</v>
      </c>
      <c r="D107" s="18"/>
      <c r="E107" s="23"/>
      <c r="F107" s="16">
        <v>1</v>
      </c>
      <c r="G107" s="16">
        <v>302</v>
      </c>
      <c r="H107" s="146">
        <f t="shared" si="7"/>
        <v>0.30199999999999999</v>
      </c>
      <c r="I107" s="16">
        <v>0</v>
      </c>
    </row>
    <row r="108" spans="1:9" ht="15.75" hidden="1" customHeight="1">
      <c r="A108" s="38"/>
      <c r="B108" s="81" t="s">
        <v>204</v>
      </c>
      <c r="C108" s="168" t="s">
        <v>205</v>
      </c>
      <c r="D108" s="67"/>
      <c r="E108" s="16"/>
      <c r="F108" s="16">
        <v>1</v>
      </c>
      <c r="G108" s="16">
        <v>286.55</v>
      </c>
      <c r="H108" s="146">
        <f>G108*F108/1000</f>
        <v>0.28655000000000003</v>
      </c>
      <c r="I108" s="16">
        <v>0</v>
      </c>
    </row>
    <row r="109" spans="1:9" ht="15.75" hidden="1" customHeight="1">
      <c r="A109" s="38"/>
      <c r="B109" s="81" t="s">
        <v>206</v>
      </c>
      <c r="C109" s="106" t="s">
        <v>182</v>
      </c>
      <c r="D109" s="18"/>
      <c r="E109" s="23"/>
      <c r="F109" s="16">
        <v>10</v>
      </c>
      <c r="G109" s="16">
        <v>83.63</v>
      </c>
      <c r="H109" s="146">
        <f t="shared" si="7"/>
        <v>0.83629999999999993</v>
      </c>
      <c r="I109" s="16">
        <v>0</v>
      </c>
    </row>
    <row r="110" spans="1:9" ht="15.75" hidden="1" customHeight="1">
      <c r="A110" s="38"/>
      <c r="B110" s="81" t="s">
        <v>207</v>
      </c>
      <c r="C110" s="106" t="s">
        <v>127</v>
      </c>
      <c r="D110" s="18"/>
      <c r="E110" s="23"/>
      <c r="F110" s="16">
        <v>1</v>
      </c>
      <c r="G110" s="16">
        <v>149.63999999999999</v>
      </c>
      <c r="H110" s="146">
        <f t="shared" si="7"/>
        <v>0.14964</v>
      </c>
      <c r="I110" s="16">
        <v>0</v>
      </c>
    </row>
    <row r="111" spans="1:9" ht="15.75" hidden="1" customHeight="1">
      <c r="A111" s="38"/>
      <c r="B111" s="148" t="s">
        <v>97</v>
      </c>
      <c r="C111" s="106" t="s">
        <v>127</v>
      </c>
      <c r="D111" s="18"/>
      <c r="E111" s="23"/>
      <c r="F111" s="16">
        <v>1</v>
      </c>
      <c r="G111" s="16">
        <v>179.96</v>
      </c>
      <c r="H111" s="146">
        <f t="shared" si="7"/>
        <v>0.17996000000000001</v>
      </c>
      <c r="I111" s="16">
        <v>0</v>
      </c>
    </row>
    <row r="112" spans="1:9" ht="15.75" hidden="1" customHeight="1">
      <c r="A112" s="38"/>
      <c r="B112" s="148" t="s">
        <v>208</v>
      </c>
      <c r="C112" s="106" t="s">
        <v>188</v>
      </c>
      <c r="D112" s="18"/>
      <c r="E112" s="23"/>
      <c r="F112" s="16">
        <v>1</v>
      </c>
      <c r="G112" s="16">
        <v>60121</v>
      </c>
      <c r="H112" s="146">
        <f t="shared" si="7"/>
        <v>60.121000000000002</v>
      </c>
      <c r="I112" s="16">
        <v>0</v>
      </c>
    </row>
    <row r="113" spans="1:9" ht="15.75" customHeight="1">
      <c r="A113" s="38"/>
      <c r="B113" s="61" t="s">
        <v>50</v>
      </c>
      <c r="C113" s="57"/>
      <c r="D113" s="71"/>
      <c r="E113" s="57">
        <v>1</v>
      </c>
      <c r="F113" s="57"/>
      <c r="G113" s="57"/>
      <c r="H113" s="57"/>
      <c r="I113" s="40">
        <f>SUM(I86:I112)</f>
        <v>4147.9764999999998</v>
      </c>
    </row>
    <row r="114" spans="1:9" ht="15.75" customHeight="1">
      <c r="A114" s="38"/>
      <c r="B114" s="67" t="s">
        <v>83</v>
      </c>
      <c r="C114" s="19"/>
      <c r="D114" s="19"/>
      <c r="E114" s="58"/>
      <c r="F114" s="58"/>
      <c r="G114" s="59"/>
      <c r="H114" s="59"/>
      <c r="I114" s="22">
        <v>0</v>
      </c>
    </row>
    <row r="115" spans="1:9" ht="15.75" customHeight="1">
      <c r="A115" s="72"/>
      <c r="B115" s="62" t="s">
        <v>51</v>
      </c>
      <c r="C115" s="46"/>
      <c r="D115" s="46"/>
      <c r="E115" s="46"/>
      <c r="F115" s="46"/>
      <c r="G115" s="46"/>
      <c r="H115" s="46"/>
      <c r="I115" s="60">
        <f>I84+I113</f>
        <v>53482.938389999988</v>
      </c>
    </row>
    <row r="116" spans="1:9" ht="15.75" customHeight="1">
      <c r="A116" s="124" t="s">
        <v>221</v>
      </c>
      <c r="B116" s="124"/>
      <c r="C116" s="124"/>
      <c r="D116" s="124"/>
      <c r="E116" s="124"/>
      <c r="F116" s="124"/>
      <c r="G116" s="124"/>
      <c r="H116" s="124"/>
      <c r="I116" s="124"/>
    </row>
    <row r="117" spans="1:9" ht="15.75" customHeight="1">
      <c r="A117" s="113"/>
      <c r="B117" s="125" t="s">
        <v>222</v>
      </c>
      <c r="C117" s="125"/>
      <c r="D117" s="125"/>
      <c r="E117" s="125"/>
      <c r="F117" s="125"/>
      <c r="G117" s="125"/>
      <c r="H117" s="145"/>
      <c r="I117" s="3"/>
    </row>
    <row r="118" spans="1:9" ht="15.75" customHeight="1">
      <c r="A118" s="109"/>
      <c r="B118" s="126" t="s">
        <v>6</v>
      </c>
      <c r="C118" s="126"/>
      <c r="D118" s="126"/>
      <c r="E118" s="126"/>
      <c r="F118" s="126"/>
      <c r="G118" s="126"/>
      <c r="H118" s="33"/>
      <c r="I118" s="5"/>
    </row>
    <row r="119" spans="1:9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ht="15.75" customHeight="1">
      <c r="A120" s="127" t="s">
        <v>7</v>
      </c>
      <c r="B120" s="127"/>
      <c r="C120" s="127"/>
      <c r="D120" s="127"/>
      <c r="E120" s="127"/>
      <c r="F120" s="127"/>
      <c r="G120" s="127"/>
      <c r="H120" s="127"/>
      <c r="I120" s="127"/>
    </row>
    <row r="121" spans="1:9" ht="15.75" customHeight="1">
      <c r="A121" s="127" t="s">
        <v>8</v>
      </c>
      <c r="B121" s="127"/>
      <c r="C121" s="127"/>
      <c r="D121" s="127"/>
      <c r="E121" s="127"/>
      <c r="F121" s="127"/>
      <c r="G121" s="127"/>
      <c r="H121" s="127"/>
      <c r="I121" s="127"/>
    </row>
    <row r="122" spans="1:9" ht="15.75">
      <c r="A122" s="120" t="s">
        <v>62</v>
      </c>
      <c r="B122" s="120"/>
      <c r="C122" s="120"/>
      <c r="D122" s="120"/>
      <c r="E122" s="120"/>
      <c r="F122" s="120"/>
      <c r="G122" s="120"/>
      <c r="H122" s="120"/>
      <c r="I122" s="120"/>
    </row>
    <row r="123" spans="1:9" ht="15.75" customHeight="1">
      <c r="A123" s="11"/>
    </row>
    <row r="124" spans="1:9" ht="15.75" customHeight="1">
      <c r="A124" s="129" t="s">
        <v>9</v>
      </c>
      <c r="B124" s="129"/>
      <c r="C124" s="129"/>
      <c r="D124" s="129"/>
      <c r="E124" s="129"/>
      <c r="F124" s="129"/>
      <c r="G124" s="129"/>
      <c r="H124" s="129"/>
      <c r="I124" s="129"/>
    </row>
    <row r="125" spans="1:9" ht="15.75" customHeight="1">
      <c r="A125" s="4"/>
    </row>
    <row r="126" spans="1:9" ht="15.75" customHeight="1">
      <c r="B126" s="110" t="s">
        <v>10</v>
      </c>
      <c r="C126" s="140" t="s">
        <v>174</v>
      </c>
      <c r="D126" s="140"/>
      <c r="E126" s="140"/>
      <c r="F126" s="143"/>
      <c r="I126" s="108"/>
    </row>
    <row r="127" spans="1:9" ht="15.75" customHeight="1">
      <c r="A127" s="109"/>
      <c r="C127" s="126" t="s">
        <v>11</v>
      </c>
      <c r="D127" s="126"/>
      <c r="E127" s="126"/>
      <c r="F127" s="33"/>
      <c r="I127" s="107" t="s">
        <v>12</v>
      </c>
    </row>
    <row r="128" spans="1:9" ht="15.75" customHeight="1">
      <c r="A128" s="34"/>
      <c r="C128" s="12"/>
      <c r="D128" s="12"/>
      <c r="G128" s="12"/>
      <c r="H128" s="12"/>
    </row>
    <row r="129" spans="1:9" ht="15.75" customHeight="1">
      <c r="B129" s="110" t="s">
        <v>13</v>
      </c>
      <c r="C129" s="130"/>
      <c r="D129" s="130"/>
      <c r="E129" s="130"/>
      <c r="F129" s="144"/>
      <c r="I129" s="108"/>
    </row>
    <row r="130" spans="1:9">
      <c r="A130" s="109"/>
      <c r="C130" s="131" t="s">
        <v>11</v>
      </c>
      <c r="D130" s="131"/>
      <c r="E130" s="131"/>
      <c r="F130" s="109"/>
      <c r="I130" s="107" t="s">
        <v>12</v>
      </c>
    </row>
    <row r="131" spans="1:9" ht="15.75" customHeight="1">
      <c r="A131" s="4" t="s">
        <v>14</v>
      </c>
    </row>
    <row r="132" spans="1:9" ht="15.75" customHeight="1">
      <c r="A132" s="132" t="s">
        <v>15</v>
      </c>
      <c r="B132" s="132"/>
      <c r="C132" s="132"/>
      <c r="D132" s="132"/>
      <c r="E132" s="132"/>
      <c r="F132" s="132"/>
      <c r="G132" s="132"/>
      <c r="H132" s="132"/>
      <c r="I132" s="132"/>
    </row>
    <row r="133" spans="1:9" ht="45" customHeight="1">
      <c r="A133" s="128" t="s">
        <v>16</v>
      </c>
      <c r="B133" s="128"/>
      <c r="C133" s="128"/>
      <c r="D133" s="128"/>
      <c r="E133" s="128"/>
      <c r="F133" s="128"/>
      <c r="G133" s="128"/>
      <c r="H133" s="128"/>
      <c r="I133" s="128"/>
    </row>
    <row r="134" spans="1:9" ht="30" customHeight="1">
      <c r="A134" s="128" t="s">
        <v>17</v>
      </c>
      <c r="B134" s="128"/>
      <c r="C134" s="128"/>
      <c r="D134" s="128"/>
      <c r="E134" s="128"/>
      <c r="F134" s="128"/>
      <c r="G134" s="128"/>
      <c r="H134" s="128"/>
      <c r="I134" s="128"/>
    </row>
    <row r="135" spans="1:9" ht="30" customHeight="1">
      <c r="A135" s="128" t="s">
        <v>21</v>
      </c>
      <c r="B135" s="128"/>
      <c r="C135" s="128"/>
      <c r="D135" s="128"/>
      <c r="E135" s="128"/>
      <c r="F135" s="128"/>
      <c r="G135" s="128"/>
      <c r="H135" s="128"/>
      <c r="I135" s="128"/>
    </row>
    <row r="136" spans="1:9" ht="15" customHeight="1">
      <c r="A136" s="128" t="s">
        <v>20</v>
      </c>
      <c r="B136" s="128"/>
      <c r="C136" s="128"/>
      <c r="D136" s="128"/>
      <c r="E136" s="128"/>
      <c r="F136" s="128"/>
      <c r="G136" s="128"/>
      <c r="H136" s="128"/>
      <c r="I136" s="128"/>
    </row>
  </sheetData>
  <autoFilter ref="I12:I61"/>
  <mergeCells count="28">
    <mergeCell ref="A133:I133"/>
    <mergeCell ref="A134:I134"/>
    <mergeCell ref="A135:I135"/>
    <mergeCell ref="A136:I136"/>
    <mergeCell ref="A124:I124"/>
    <mergeCell ref="C126:E126"/>
    <mergeCell ref="C127:E127"/>
    <mergeCell ref="C129:E129"/>
    <mergeCell ref="C130:E130"/>
    <mergeCell ref="A132:I132"/>
    <mergeCell ref="A116:I116"/>
    <mergeCell ref="B117:G117"/>
    <mergeCell ref="B118:G118"/>
    <mergeCell ref="A120:I120"/>
    <mergeCell ref="A121:I121"/>
    <mergeCell ref="A122:I122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223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92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42521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customHeight="1">
      <c r="A19" s="38">
        <v>4</v>
      </c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f>F19/2*G19</f>
        <v>191.91505000000004</v>
      </c>
      <c r="J19" s="31"/>
      <c r="K19" s="8"/>
      <c r="L19" s="8"/>
      <c r="M19" s="8"/>
    </row>
    <row r="20" spans="1:13" ht="15.75" customHeight="1">
      <c r="A20" s="38">
        <v>5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customHeight="1">
      <c r="A21" s="38">
        <v>6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customHeight="1">
      <c r="A22" s="38">
        <v>7</v>
      </c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f>F22*G22</f>
        <v>912.45279999999991</v>
      </c>
      <c r="J22" s="31"/>
      <c r="K22" s="8"/>
      <c r="L22" s="8"/>
      <c r="M22" s="8"/>
    </row>
    <row r="23" spans="1:13" ht="15.75" customHeight="1">
      <c r="A23" s="38">
        <v>8</v>
      </c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f t="shared" ref="I23:I26" si="1">F23*G23</f>
        <v>11.43261</v>
      </c>
      <c r="J23" s="31"/>
      <c r="K23" s="8"/>
      <c r="L23" s="8"/>
      <c r="M23" s="8"/>
    </row>
    <row r="24" spans="1:13" ht="15.75" customHeight="1">
      <c r="A24" s="38">
        <v>9</v>
      </c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f t="shared" si="1"/>
        <v>41.662000000000006</v>
      </c>
      <c r="J24" s="31"/>
      <c r="K24" s="8"/>
      <c r="L24" s="8"/>
      <c r="M24" s="8"/>
    </row>
    <row r="25" spans="1:13" ht="15.75" customHeight="1">
      <c r="A25" s="38">
        <v>10</v>
      </c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f t="shared" si="1"/>
        <v>23.661450000000002</v>
      </c>
      <c r="J25" s="31"/>
      <c r="K25" s="8"/>
      <c r="L25" s="8"/>
      <c r="M25" s="8"/>
    </row>
    <row r="26" spans="1:13" ht="15.75" customHeight="1">
      <c r="A26" s="38">
        <v>11</v>
      </c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f t="shared" si="1"/>
        <v>21.947849999999999</v>
      </c>
      <c r="J26" s="31"/>
      <c r="K26" s="8"/>
      <c r="L26" s="8"/>
      <c r="M26" s="8"/>
    </row>
    <row r="27" spans="1:13" ht="15.75" customHeight="1">
      <c r="A27" s="38">
        <v>12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13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customHeight="1">
      <c r="A31" s="38">
        <v>14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2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customHeight="1">
      <c r="A32" s="38">
        <v>15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2"/>
        <v>4.2160435200000004</v>
      </c>
      <c r="I32" s="16">
        <f t="shared" ref="I32:I34" si="3">F32/6*G32</f>
        <v>702.67392000000007</v>
      </c>
      <c r="J32" s="31"/>
      <c r="K32" s="8"/>
      <c r="L32" s="8"/>
      <c r="M32" s="8"/>
    </row>
    <row r="33" spans="1:14" ht="15.75" customHeight="1">
      <c r="A33" s="38">
        <v>16</v>
      </c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2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customHeight="1">
      <c r="A34" s="38">
        <v>17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2"/>
        <v>3.1309999999999998</v>
      </c>
      <c r="I34" s="16">
        <f t="shared" si="3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2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2"/>
        <v>2.4294600000000002</v>
      </c>
      <c r="I36" s="16">
        <v>0</v>
      </c>
      <c r="J36" s="32"/>
    </row>
    <row r="37" spans="1:14" ht="15.75" hidden="1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hidden="1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4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hidden="1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hidden="1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4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hidden="1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4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hidden="1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4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hidden="1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4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customHeight="1">
      <c r="A46" s="38">
        <v>18</v>
      </c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5">SUM(F46*G46/1000)</f>
        <v>1.2175938880000001</v>
      </c>
      <c r="I46" s="16">
        <f>F46/2*G46</f>
        <v>608.79694400000005</v>
      </c>
      <c r="J46" s="32"/>
      <c r="L46" s="25"/>
      <c r="M46" s="26"/>
      <c r="N46" s="27"/>
    </row>
    <row r="47" spans="1:14" ht="15.75" customHeight="1">
      <c r="A47" s="38">
        <v>19</v>
      </c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5"/>
        <v>3.2211919999999998E-2</v>
      </c>
      <c r="I47" s="16">
        <f t="shared" ref="I47:I49" si="6">F47/2*G47</f>
        <v>16.10596</v>
      </c>
      <c r="J47" s="32"/>
      <c r="L47" s="25"/>
      <c r="M47" s="26"/>
      <c r="N47" s="27"/>
    </row>
    <row r="48" spans="1:14" ht="15.75" customHeight="1">
      <c r="A48" s="38">
        <v>20</v>
      </c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5"/>
        <v>0.94207476800000012</v>
      </c>
      <c r="I48" s="16">
        <f t="shared" si="6"/>
        <v>471.03738400000003</v>
      </c>
      <c r="J48" s="32"/>
      <c r="L48" s="25"/>
      <c r="M48" s="26"/>
      <c r="N48" s="27"/>
    </row>
    <row r="49" spans="1:22" ht="15.75" customHeight="1">
      <c r="A49" s="38">
        <v>21</v>
      </c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5"/>
        <v>1.8680831999999998</v>
      </c>
      <c r="I49" s="16">
        <f t="shared" si="6"/>
        <v>934.0415999999999</v>
      </c>
      <c r="J49" s="32"/>
      <c r="L49" s="25"/>
      <c r="M49" s="26"/>
      <c r="N49" s="27"/>
    </row>
    <row r="50" spans="1:22" ht="15.75" customHeight="1">
      <c r="A50" s="38">
        <v>22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5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5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5"/>
        <v>0.1208424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5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172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hidden="1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hidden="1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23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7">SUM(F65*G65/1000)</f>
        <v>1.4264400000000002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7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customHeight="1">
      <c r="A67" s="38">
        <v>24</v>
      </c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7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8">
        <v>25</v>
      </c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7"/>
        <v>1.7593888200000001</v>
      </c>
      <c r="I68" s="16">
        <f t="shared" ref="I68:I72" si="8">F68*G68</f>
        <v>1759.3888200000001</v>
      </c>
    </row>
    <row r="69" spans="1:21" ht="15.75" customHeight="1">
      <c r="A69" s="38">
        <v>26</v>
      </c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7"/>
        <v>23.5528236</v>
      </c>
      <c r="I69" s="16">
        <f t="shared" si="8"/>
        <v>23552.8236</v>
      </c>
    </row>
    <row r="70" spans="1:21" ht="15.75" customHeight="1">
      <c r="A70" s="38">
        <v>27</v>
      </c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7"/>
        <v>0.38403000000000004</v>
      </c>
      <c r="I70" s="16">
        <f t="shared" si="8"/>
        <v>384.03000000000003</v>
      </c>
    </row>
    <row r="71" spans="1:21" ht="15.75" customHeight="1">
      <c r="A71" s="38">
        <v>28</v>
      </c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7"/>
        <v>0.35829</v>
      </c>
      <c r="I71" s="16">
        <f t="shared" si="8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7"/>
        <v>0.10664</v>
      </c>
      <c r="I72" s="16">
        <f t="shared" si="8"/>
        <v>106.64</v>
      </c>
    </row>
    <row r="73" spans="1:21" ht="15.75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customHeight="1">
      <c r="A74" s="38">
        <v>29</v>
      </c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7"/>
        <v>0.21449200000000002</v>
      </c>
      <c r="I74" s="16">
        <f>G74*0.2</f>
        <v>107.24600000000001</v>
      </c>
    </row>
    <row r="75" spans="1:21" ht="15.75" customHeight="1">
      <c r="A75" s="38">
        <v>30</v>
      </c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f>G75*2</f>
        <v>1823.7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7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173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31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32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I16+I17+I18+I19+I20+I21+I22+I23+I24+I25+I26+I27+I28+I31+I32+I33+I34+I46+I47+I48+I49+I50+I63+I67+I68+I69+I70+I71+I74+I75+I82+I83</f>
        <v>93868.04689066665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15.75" customHeight="1">
      <c r="A86" s="38">
        <v>33</v>
      </c>
      <c r="B86" s="81" t="s">
        <v>91</v>
      </c>
      <c r="C86" s="106" t="s">
        <v>127</v>
      </c>
      <c r="D86" s="67"/>
      <c r="E86" s="16"/>
      <c r="F86" s="16">
        <v>8</v>
      </c>
      <c r="G86" s="16">
        <v>180.15</v>
      </c>
      <c r="H86" s="146">
        <f t="shared" ref="H86:H102" si="9">G86*F86/1000</f>
        <v>1.4412</v>
      </c>
      <c r="I86" s="16">
        <f>G86</f>
        <v>180.15</v>
      </c>
    </row>
    <row r="87" spans="1:9" ht="31.5" customHeight="1">
      <c r="A87" s="38">
        <v>34</v>
      </c>
      <c r="B87" s="81" t="s">
        <v>85</v>
      </c>
      <c r="C87" s="106" t="s">
        <v>127</v>
      </c>
      <c r="D87" s="67"/>
      <c r="E87" s="16"/>
      <c r="F87" s="16">
        <v>4</v>
      </c>
      <c r="G87" s="16">
        <v>79.09</v>
      </c>
      <c r="H87" s="146">
        <f t="shared" si="9"/>
        <v>0.31636000000000003</v>
      </c>
      <c r="I87" s="16">
        <f>G87*2</f>
        <v>158.18</v>
      </c>
    </row>
    <row r="88" spans="1:9" ht="15.75" customHeight="1">
      <c r="A88" s="38">
        <v>35</v>
      </c>
      <c r="B88" s="81" t="s">
        <v>190</v>
      </c>
      <c r="C88" s="106" t="s">
        <v>148</v>
      </c>
      <c r="D88" s="67"/>
      <c r="E88" s="16"/>
      <c r="F88" s="16">
        <v>1</v>
      </c>
      <c r="G88" s="16">
        <v>625.07000000000005</v>
      </c>
      <c r="H88" s="146">
        <f t="shared" si="9"/>
        <v>0.62507000000000001</v>
      </c>
      <c r="I88" s="16">
        <f>G88</f>
        <v>625.07000000000005</v>
      </c>
    </row>
    <row r="89" spans="1:9" ht="31.5" customHeight="1">
      <c r="A89" s="38">
        <v>36</v>
      </c>
      <c r="B89" s="81" t="s">
        <v>191</v>
      </c>
      <c r="C89" s="106" t="s">
        <v>88</v>
      </c>
      <c r="D89" s="67"/>
      <c r="E89" s="16"/>
      <c r="F89" s="16">
        <v>3</v>
      </c>
      <c r="G89" s="16">
        <v>771.29</v>
      </c>
      <c r="H89" s="146">
        <f t="shared" si="9"/>
        <v>2.3138700000000001</v>
      </c>
      <c r="I89" s="16">
        <f t="shared" ref="I89:I91" si="10">G89</f>
        <v>771.29</v>
      </c>
    </row>
    <row r="90" spans="1:9" ht="31.5" customHeight="1">
      <c r="A90" s="38">
        <v>37</v>
      </c>
      <c r="B90" s="81" t="s">
        <v>192</v>
      </c>
      <c r="C90" s="106" t="s">
        <v>88</v>
      </c>
      <c r="D90" s="67"/>
      <c r="E90" s="16"/>
      <c r="F90" s="16">
        <v>2</v>
      </c>
      <c r="G90" s="16">
        <v>960.74</v>
      </c>
      <c r="H90" s="146">
        <f t="shared" si="9"/>
        <v>1.9214800000000001</v>
      </c>
      <c r="I90" s="16">
        <f t="shared" si="10"/>
        <v>960.74</v>
      </c>
    </row>
    <row r="91" spans="1:9" ht="15.75" customHeight="1">
      <c r="A91" s="38">
        <v>38</v>
      </c>
      <c r="B91" s="81" t="s">
        <v>193</v>
      </c>
      <c r="C91" s="106" t="s">
        <v>127</v>
      </c>
      <c r="D91" s="67"/>
      <c r="E91" s="16"/>
      <c r="F91" s="16">
        <v>2</v>
      </c>
      <c r="G91" s="16">
        <v>27.36</v>
      </c>
      <c r="H91" s="146">
        <f t="shared" si="9"/>
        <v>5.4719999999999998E-2</v>
      </c>
      <c r="I91" s="16">
        <f t="shared" si="10"/>
        <v>27.36</v>
      </c>
    </row>
    <row r="92" spans="1:9" ht="15.75" customHeight="1">
      <c r="A92" s="38">
        <v>39</v>
      </c>
      <c r="B92" s="81" t="s">
        <v>209</v>
      </c>
      <c r="C92" s="106" t="s">
        <v>127</v>
      </c>
      <c r="D92" s="67"/>
      <c r="E92" s="16"/>
      <c r="F92" s="16">
        <v>2</v>
      </c>
      <c r="G92" s="16">
        <v>50.01</v>
      </c>
      <c r="H92" s="146">
        <f t="shared" si="9"/>
        <v>0.10002</v>
      </c>
      <c r="I92" s="16">
        <f>G92*2</f>
        <v>100.02</v>
      </c>
    </row>
    <row r="93" spans="1:9" ht="15.75" customHeight="1">
      <c r="A93" s="38">
        <v>40</v>
      </c>
      <c r="B93" s="81" t="s">
        <v>210</v>
      </c>
      <c r="C93" s="106" t="s">
        <v>127</v>
      </c>
      <c r="D93" s="67"/>
      <c r="E93" s="16"/>
      <c r="F93" s="16">
        <v>1</v>
      </c>
      <c r="G93" s="16">
        <v>47.59</v>
      </c>
      <c r="H93" s="146">
        <f t="shared" si="9"/>
        <v>4.759E-2</v>
      </c>
      <c r="I93" s="16">
        <f>G93</f>
        <v>47.59</v>
      </c>
    </row>
    <row r="94" spans="1:9" ht="15.75" customHeight="1">
      <c r="A94" s="38">
        <v>41</v>
      </c>
      <c r="B94" s="81" t="s">
        <v>194</v>
      </c>
      <c r="C94" s="106" t="s">
        <v>127</v>
      </c>
      <c r="D94" s="67"/>
      <c r="E94" s="16"/>
      <c r="F94" s="16">
        <v>5</v>
      </c>
      <c r="G94" s="16">
        <v>109.73</v>
      </c>
      <c r="H94" s="146">
        <f t="shared" si="9"/>
        <v>0.54864999999999997</v>
      </c>
      <c r="I94" s="16">
        <f>G94*3</f>
        <v>329.19</v>
      </c>
    </row>
    <row r="95" spans="1:9" ht="15.75" customHeight="1">
      <c r="A95" s="38">
        <v>42</v>
      </c>
      <c r="B95" s="81" t="s">
        <v>195</v>
      </c>
      <c r="C95" s="106" t="s">
        <v>127</v>
      </c>
      <c r="D95" s="67"/>
      <c r="E95" s="16"/>
      <c r="F95" s="16">
        <v>2</v>
      </c>
      <c r="G95" s="16">
        <v>61.81</v>
      </c>
      <c r="H95" s="146">
        <f t="shared" si="9"/>
        <v>0.12362000000000001</v>
      </c>
      <c r="I95" s="16">
        <f>G95*2</f>
        <v>123.62</v>
      </c>
    </row>
    <row r="96" spans="1:9" ht="15.75" customHeight="1">
      <c r="A96" s="38">
        <v>43</v>
      </c>
      <c r="B96" s="81" t="s">
        <v>196</v>
      </c>
      <c r="C96" s="106" t="s">
        <v>127</v>
      </c>
      <c r="D96" s="67"/>
      <c r="E96" s="16"/>
      <c r="F96" s="16">
        <v>4</v>
      </c>
      <c r="G96" s="16">
        <v>78.89</v>
      </c>
      <c r="H96" s="146">
        <f t="shared" si="9"/>
        <v>0.31556000000000001</v>
      </c>
      <c r="I96" s="16">
        <f>G96*2</f>
        <v>157.78</v>
      </c>
    </row>
    <row r="97" spans="1:9" ht="31.5" customHeight="1">
      <c r="A97" s="38">
        <v>44</v>
      </c>
      <c r="B97" s="81" t="s">
        <v>197</v>
      </c>
      <c r="C97" s="106" t="s">
        <v>182</v>
      </c>
      <c r="D97" s="67"/>
      <c r="E97" s="16"/>
      <c r="F97" s="16">
        <v>4</v>
      </c>
      <c r="G97" s="16">
        <v>1272</v>
      </c>
      <c r="H97" s="146">
        <f t="shared" si="9"/>
        <v>5.0880000000000001</v>
      </c>
      <c r="I97" s="16">
        <f>G97*4</f>
        <v>5088</v>
      </c>
    </row>
    <row r="98" spans="1:9" ht="31.5" customHeight="1">
      <c r="A98" s="38">
        <v>45</v>
      </c>
      <c r="B98" s="81" t="s">
        <v>198</v>
      </c>
      <c r="C98" s="106" t="s">
        <v>182</v>
      </c>
      <c r="D98" s="67"/>
      <c r="E98" s="16"/>
      <c r="F98" s="16">
        <v>4</v>
      </c>
      <c r="G98" s="16">
        <v>1206</v>
      </c>
      <c r="H98" s="146">
        <f>G98*F98/1000</f>
        <v>4.8239999999999998</v>
      </c>
      <c r="I98" s="16">
        <f>G98*4</f>
        <v>4824</v>
      </c>
    </row>
    <row r="99" spans="1:9" ht="31.5" customHeight="1">
      <c r="A99" s="38">
        <v>46</v>
      </c>
      <c r="B99" s="81" t="s">
        <v>199</v>
      </c>
      <c r="C99" s="106" t="s">
        <v>182</v>
      </c>
      <c r="D99" s="67"/>
      <c r="E99" s="16"/>
      <c r="F99" s="16">
        <v>2</v>
      </c>
      <c r="G99" s="16">
        <v>1187</v>
      </c>
      <c r="H99" s="146">
        <f t="shared" si="9"/>
        <v>2.3740000000000001</v>
      </c>
      <c r="I99" s="16">
        <f>G99*2</f>
        <v>2374</v>
      </c>
    </row>
    <row r="100" spans="1:9" ht="15.75" customHeight="1">
      <c r="A100" s="38">
        <v>47</v>
      </c>
      <c r="B100" s="81" t="s">
        <v>200</v>
      </c>
      <c r="C100" s="106" t="s">
        <v>201</v>
      </c>
      <c r="D100" s="18"/>
      <c r="E100" s="23"/>
      <c r="F100" s="16">
        <f>1/100</f>
        <v>0.01</v>
      </c>
      <c r="G100" s="16">
        <v>7033.13</v>
      </c>
      <c r="H100" s="146">
        <f t="shared" si="9"/>
        <v>7.0331299999999999E-2</v>
      </c>
      <c r="I100" s="16">
        <f>G100*0.01</f>
        <v>70.331299999999999</v>
      </c>
    </row>
    <row r="101" spans="1:9" ht="31.5" customHeight="1">
      <c r="A101" s="38">
        <v>48</v>
      </c>
      <c r="B101" s="81" t="s">
        <v>202</v>
      </c>
      <c r="C101" s="106" t="s">
        <v>127</v>
      </c>
      <c r="D101" s="18"/>
      <c r="E101" s="23"/>
      <c r="F101" s="16">
        <v>1</v>
      </c>
      <c r="G101" s="16">
        <v>2179.33</v>
      </c>
      <c r="H101" s="146">
        <f t="shared" si="9"/>
        <v>2.1793299999999998</v>
      </c>
      <c r="I101" s="16">
        <f>G101</f>
        <v>2179.33</v>
      </c>
    </row>
    <row r="102" spans="1:9" ht="15.75" customHeight="1">
      <c r="A102" s="38">
        <v>49</v>
      </c>
      <c r="B102" s="81" t="s">
        <v>203</v>
      </c>
      <c r="C102" s="106" t="s">
        <v>188</v>
      </c>
      <c r="D102" s="18"/>
      <c r="E102" s="23"/>
      <c r="F102" s="16">
        <v>1</v>
      </c>
      <c r="G102" s="16">
        <v>302</v>
      </c>
      <c r="H102" s="146">
        <f t="shared" si="9"/>
        <v>0.30199999999999999</v>
      </c>
      <c r="I102" s="16">
        <f>G102</f>
        <v>302</v>
      </c>
    </row>
    <row r="103" spans="1:9" ht="15.75" customHeight="1">
      <c r="A103" s="38"/>
      <c r="B103" s="61" t="s">
        <v>50</v>
      </c>
      <c r="C103" s="57"/>
      <c r="D103" s="71"/>
      <c r="E103" s="57">
        <v>1</v>
      </c>
      <c r="F103" s="57"/>
      <c r="G103" s="57"/>
      <c r="H103" s="57"/>
      <c r="I103" s="40">
        <f>SUM(I86:I102)</f>
        <v>18318.651300000001</v>
      </c>
    </row>
    <row r="104" spans="1:9" ht="15.75" customHeight="1">
      <c r="A104" s="38"/>
      <c r="B104" s="67" t="s">
        <v>83</v>
      </c>
      <c r="C104" s="19"/>
      <c r="D104" s="19"/>
      <c r="E104" s="58"/>
      <c r="F104" s="58"/>
      <c r="G104" s="59"/>
      <c r="H104" s="59"/>
      <c r="I104" s="22">
        <v>0</v>
      </c>
    </row>
    <row r="105" spans="1:9" ht="15.75" customHeight="1">
      <c r="A105" s="72"/>
      <c r="B105" s="62" t="s">
        <v>51</v>
      </c>
      <c r="C105" s="46"/>
      <c r="D105" s="46"/>
      <c r="E105" s="46"/>
      <c r="F105" s="46"/>
      <c r="G105" s="46"/>
      <c r="H105" s="46"/>
      <c r="I105" s="60">
        <f>I84+I103</f>
        <v>112186.69819066665</v>
      </c>
    </row>
    <row r="106" spans="1:9" ht="15.75" customHeight="1">
      <c r="A106" s="124" t="s">
        <v>224</v>
      </c>
      <c r="B106" s="124"/>
      <c r="C106" s="124"/>
      <c r="D106" s="124"/>
      <c r="E106" s="124"/>
      <c r="F106" s="124"/>
      <c r="G106" s="124"/>
      <c r="H106" s="124"/>
      <c r="I106" s="124"/>
    </row>
    <row r="107" spans="1:9" ht="15.75" customHeight="1">
      <c r="A107" s="113"/>
      <c r="B107" s="125" t="s">
        <v>225</v>
      </c>
      <c r="C107" s="125"/>
      <c r="D107" s="125"/>
      <c r="E107" s="125"/>
      <c r="F107" s="125"/>
      <c r="G107" s="125"/>
      <c r="H107" s="145"/>
      <c r="I107" s="3"/>
    </row>
    <row r="108" spans="1:9" ht="15.75" customHeight="1">
      <c r="A108" s="109"/>
      <c r="B108" s="126" t="s">
        <v>6</v>
      </c>
      <c r="C108" s="126"/>
      <c r="D108" s="126"/>
      <c r="E108" s="126"/>
      <c r="F108" s="126"/>
      <c r="G108" s="126"/>
      <c r="H108" s="33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 customHeight="1">
      <c r="A110" s="127" t="s">
        <v>7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15.75" customHeight="1">
      <c r="A111" s="127" t="s">
        <v>8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15.75">
      <c r="A112" s="120" t="s">
        <v>62</v>
      </c>
      <c r="B112" s="120"/>
      <c r="C112" s="120"/>
      <c r="D112" s="120"/>
      <c r="E112" s="120"/>
      <c r="F112" s="120"/>
      <c r="G112" s="120"/>
      <c r="H112" s="120"/>
      <c r="I112" s="120"/>
    </row>
    <row r="113" spans="1:9" ht="15.75" customHeight="1">
      <c r="A113" s="11"/>
    </row>
    <row r="114" spans="1:9" ht="15.75" customHeight="1">
      <c r="A114" s="129" t="s">
        <v>9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15.75" customHeight="1">
      <c r="A115" s="4"/>
    </row>
    <row r="116" spans="1:9" ht="15.75" customHeight="1">
      <c r="B116" s="110" t="s">
        <v>10</v>
      </c>
      <c r="C116" s="140" t="s">
        <v>174</v>
      </c>
      <c r="D116" s="140"/>
      <c r="E116" s="140"/>
      <c r="F116" s="143"/>
      <c r="I116" s="108"/>
    </row>
    <row r="117" spans="1:9" ht="15.75" customHeight="1">
      <c r="A117" s="109"/>
      <c r="C117" s="126" t="s">
        <v>11</v>
      </c>
      <c r="D117" s="126"/>
      <c r="E117" s="126"/>
      <c r="F117" s="33"/>
      <c r="I117" s="107" t="s">
        <v>12</v>
      </c>
    </row>
    <row r="118" spans="1:9" ht="15.75" customHeight="1">
      <c r="A118" s="34"/>
      <c r="C118" s="12"/>
      <c r="D118" s="12"/>
      <c r="G118" s="12"/>
      <c r="H118" s="12"/>
    </row>
    <row r="119" spans="1:9" ht="15.75" customHeight="1">
      <c r="B119" s="110" t="s">
        <v>13</v>
      </c>
      <c r="C119" s="130"/>
      <c r="D119" s="130"/>
      <c r="E119" s="130"/>
      <c r="F119" s="144"/>
      <c r="I119" s="108"/>
    </row>
    <row r="120" spans="1:9">
      <c r="A120" s="109"/>
      <c r="C120" s="131" t="s">
        <v>11</v>
      </c>
      <c r="D120" s="131"/>
      <c r="E120" s="131"/>
      <c r="F120" s="109"/>
      <c r="I120" s="107" t="s">
        <v>12</v>
      </c>
    </row>
    <row r="121" spans="1:9" ht="15.75" customHeight="1">
      <c r="A121" s="4" t="s">
        <v>14</v>
      </c>
    </row>
    <row r="122" spans="1:9" ht="15.75" customHeight="1">
      <c r="A122" s="132" t="s">
        <v>15</v>
      </c>
      <c r="B122" s="132"/>
      <c r="C122" s="132"/>
      <c r="D122" s="132"/>
      <c r="E122" s="132"/>
      <c r="F122" s="132"/>
      <c r="G122" s="132"/>
      <c r="H122" s="132"/>
      <c r="I122" s="132"/>
    </row>
    <row r="123" spans="1:9" ht="45" customHeight="1">
      <c r="A123" s="128" t="s">
        <v>16</v>
      </c>
      <c r="B123" s="128"/>
      <c r="C123" s="128"/>
      <c r="D123" s="128"/>
      <c r="E123" s="128"/>
      <c r="F123" s="128"/>
      <c r="G123" s="128"/>
      <c r="H123" s="128"/>
      <c r="I123" s="128"/>
    </row>
    <row r="124" spans="1:9" ht="30" customHeight="1">
      <c r="A124" s="128" t="s">
        <v>17</v>
      </c>
      <c r="B124" s="128"/>
      <c r="C124" s="128"/>
      <c r="D124" s="128"/>
      <c r="E124" s="128"/>
      <c r="F124" s="128"/>
      <c r="G124" s="128"/>
      <c r="H124" s="128"/>
      <c r="I124" s="128"/>
    </row>
    <row r="125" spans="1:9" ht="30" customHeight="1">
      <c r="A125" s="128" t="s">
        <v>21</v>
      </c>
      <c r="B125" s="128"/>
      <c r="C125" s="128"/>
      <c r="D125" s="128"/>
      <c r="E125" s="128"/>
      <c r="F125" s="128"/>
      <c r="G125" s="128"/>
      <c r="H125" s="128"/>
      <c r="I125" s="128"/>
    </row>
    <row r="126" spans="1:9" ht="15" customHeight="1">
      <c r="A126" s="128" t="s">
        <v>20</v>
      </c>
      <c r="B126" s="128"/>
      <c r="C126" s="128"/>
      <c r="D126" s="128"/>
      <c r="E126" s="128"/>
      <c r="F126" s="128"/>
      <c r="G126" s="128"/>
      <c r="H126" s="128"/>
      <c r="I126" s="128"/>
    </row>
  </sheetData>
  <autoFilter ref="I12:I61"/>
  <mergeCells count="28"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  <mergeCell ref="A106:I106"/>
    <mergeCell ref="B107:G107"/>
    <mergeCell ref="B108:G108"/>
    <mergeCell ref="A110:I110"/>
    <mergeCell ref="A111:I111"/>
    <mergeCell ref="A112:I112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3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226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56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42551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hidden="1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6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customHeight="1">
      <c r="A31" s="38">
        <v>7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customHeight="1">
      <c r="A32" s="38">
        <v>8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customHeight="1">
      <c r="A34" s="38">
        <v>9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hidden="1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hidden="1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hidden="1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hidden="1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hidden="1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hidden="1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hidden="1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hidden="1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175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hidden="1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hidden="1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10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8"/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hidden="1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hidden="1" customHeight="1">
      <c r="A74" s="38"/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v>0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176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11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12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I16+I17+I18+I20+I27+I28+I31+I32+I34+I63+I82+I83</f>
        <v>37109.378226666668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15.75" hidden="1" customHeight="1">
      <c r="A86" s="38"/>
      <c r="B86" s="81" t="s">
        <v>184</v>
      </c>
      <c r="C86" s="106" t="s">
        <v>182</v>
      </c>
      <c r="D86" s="67"/>
      <c r="E86" s="16"/>
      <c r="F86" s="16">
        <v>5</v>
      </c>
      <c r="G86" s="16">
        <v>129.04</v>
      </c>
      <c r="H86" s="146">
        <f t="shared" ref="H86:H110" si="7">G86*F86/1000</f>
        <v>0.64519999999999988</v>
      </c>
      <c r="I86" s="16">
        <v>0</v>
      </c>
    </row>
    <row r="87" spans="1:9" ht="15.75" hidden="1" customHeight="1">
      <c r="A87" s="38"/>
      <c r="B87" s="81" t="s">
        <v>185</v>
      </c>
      <c r="C87" s="106" t="s">
        <v>127</v>
      </c>
      <c r="D87" s="67"/>
      <c r="E87" s="16"/>
      <c r="F87" s="16">
        <v>1</v>
      </c>
      <c r="G87" s="16">
        <v>124.25</v>
      </c>
      <c r="H87" s="146">
        <f t="shared" si="7"/>
        <v>0.12425</v>
      </c>
      <c r="I87" s="16">
        <v>0</v>
      </c>
    </row>
    <row r="88" spans="1:9" ht="15.75" hidden="1" customHeight="1">
      <c r="A88" s="38"/>
      <c r="B88" s="148" t="s">
        <v>186</v>
      </c>
      <c r="C88" s="106" t="s">
        <v>148</v>
      </c>
      <c r="D88" s="67"/>
      <c r="E88" s="16"/>
      <c r="F88" s="16">
        <v>1</v>
      </c>
      <c r="G88" s="16">
        <v>2292.96</v>
      </c>
      <c r="H88" s="146">
        <f t="shared" si="7"/>
        <v>2.2929599999999999</v>
      </c>
      <c r="I88" s="16">
        <v>0</v>
      </c>
    </row>
    <row r="89" spans="1:9" ht="15.75" hidden="1" customHeight="1">
      <c r="A89" s="38"/>
      <c r="B89" s="81" t="s">
        <v>187</v>
      </c>
      <c r="C89" s="106" t="s">
        <v>188</v>
      </c>
      <c r="D89" s="67"/>
      <c r="E89" s="16"/>
      <c r="F89" s="16">
        <v>1</v>
      </c>
      <c r="G89" s="16">
        <v>8279</v>
      </c>
      <c r="H89" s="146">
        <f t="shared" si="7"/>
        <v>8.2789999999999999</v>
      </c>
      <c r="I89" s="16">
        <v>0</v>
      </c>
    </row>
    <row r="90" spans="1:9" ht="15.75" hidden="1" customHeight="1">
      <c r="A90" s="38"/>
      <c r="B90" s="81" t="s">
        <v>189</v>
      </c>
      <c r="C90" s="106" t="s">
        <v>188</v>
      </c>
      <c r="D90" s="67"/>
      <c r="E90" s="16"/>
      <c r="F90" s="16">
        <v>1</v>
      </c>
      <c r="G90" s="16">
        <v>7522</v>
      </c>
      <c r="H90" s="146">
        <f t="shared" si="7"/>
        <v>7.5220000000000002</v>
      </c>
      <c r="I90" s="16"/>
    </row>
    <row r="91" spans="1:9" ht="15.75" hidden="1" customHeight="1">
      <c r="A91" s="38"/>
      <c r="B91" s="81" t="s">
        <v>190</v>
      </c>
      <c r="C91" s="106" t="s">
        <v>148</v>
      </c>
      <c r="D91" s="67"/>
      <c r="E91" s="16"/>
      <c r="F91" s="16">
        <v>1</v>
      </c>
      <c r="G91" s="16">
        <v>625.07000000000005</v>
      </c>
      <c r="H91" s="146">
        <f t="shared" si="7"/>
        <v>0.62507000000000001</v>
      </c>
      <c r="I91" s="16">
        <v>0</v>
      </c>
    </row>
    <row r="92" spans="1:9" ht="31.5" hidden="1" customHeight="1">
      <c r="A92" s="38"/>
      <c r="B92" s="81" t="s">
        <v>191</v>
      </c>
      <c r="C92" s="106" t="s">
        <v>88</v>
      </c>
      <c r="D92" s="67"/>
      <c r="E92" s="16"/>
      <c r="F92" s="16">
        <v>3</v>
      </c>
      <c r="G92" s="16">
        <v>771.29</v>
      </c>
      <c r="H92" s="146">
        <f t="shared" si="7"/>
        <v>2.3138700000000001</v>
      </c>
      <c r="I92" s="16">
        <v>0</v>
      </c>
    </row>
    <row r="93" spans="1:9" ht="31.5" hidden="1" customHeight="1">
      <c r="A93" s="38"/>
      <c r="B93" s="81" t="s">
        <v>192</v>
      </c>
      <c r="C93" s="106" t="s">
        <v>88</v>
      </c>
      <c r="D93" s="67"/>
      <c r="E93" s="16"/>
      <c r="F93" s="16">
        <v>2</v>
      </c>
      <c r="G93" s="16">
        <v>960.74</v>
      </c>
      <c r="H93" s="146">
        <f t="shared" si="7"/>
        <v>1.9214800000000001</v>
      </c>
      <c r="I93" s="16">
        <v>0</v>
      </c>
    </row>
    <row r="94" spans="1:9" ht="15.75" hidden="1" customHeight="1">
      <c r="A94" s="38"/>
      <c r="B94" s="81" t="s">
        <v>193</v>
      </c>
      <c r="C94" s="106" t="s">
        <v>127</v>
      </c>
      <c r="D94" s="67"/>
      <c r="E94" s="16"/>
      <c r="F94" s="16">
        <v>2</v>
      </c>
      <c r="G94" s="16">
        <v>27.36</v>
      </c>
      <c r="H94" s="146">
        <f t="shared" si="7"/>
        <v>5.4719999999999998E-2</v>
      </c>
      <c r="I94" s="16">
        <v>0</v>
      </c>
    </row>
    <row r="95" spans="1:9" ht="15.75" hidden="1" customHeight="1">
      <c r="A95" s="38"/>
      <c r="B95" s="81" t="s">
        <v>209</v>
      </c>
      <c r="C95" s="106" t="s">
        <v>127</v>
      </c>
      <c r="D95" s="67"/>
      <c r="E95" s="16"/>
      <c r="F95" s="16">
        <v>2</v>
      </c>
      <c r="G95" s="16">
        <v>50.01</v>
      </c>
      <c r="H95" s="146">
        <f t="shared" si="7"/>
        <v>0.10002</v>
      </c>
      <c r="I95" s="16">
        <v>0</v>
      </c>
    </row>
    <row r="96" spans="1:9" ht="15.75" hidden="1" customHeight="1">
      <c r="A96" s="38"/>
      <c r="B96" s="81" t="s">
        <v>210</v>
      </c>
      <c r="C96" s="106" t="s">
        <v>127</v>
      </c>
      <c r="D96" s="67"/>
      <c r="E96" s="16"/>
      <c r="F96" s="16">
        <v>1</v>
      </c>
      <c r="G96" s="16">
        <v>47.59</v>
      </c>
      <c r="H96" s="146">
        <f t="shared" si="7"/>
        <v>4.759E-2</v>
      </c>
      <c r="I96" s="16">
        <v>0</v>
      </c>
    </row>
    <row r="97" spans="1:9" ht="15.75" hidden="1" customHeight="1">
      <c r="A97" s="38"/>
      <c r="B97" s="81" t="s">
        <v>194</v>
      </c>
      <c r="C97" s="106" t="s">
        <v>127</v>
      </c>
      <c r="D97" s="67"/>
      <c r="E97" s="16"/>
      <c r="F97" s="16">
        <v>5</v>
      </c>
      <c r="G97" s="16">
        <v>109.73</v>
      </c>
      <c r="H97" s="146">
        <f t="shared" si="7"/>
        <v>0.54864999999999997</v>
      </c>
      <c r="I97" s="16">
        <v>0</v>
      </c>
    </row>
    <row r="98" spans="1:9" ht="15.75" hidden="1" customHeight="1">
      <c r="A98" s="38"/>
      <c r="B98" s="81" t="s">
        <v>195</v>
      </c>
      <c r="C98" s="106" t="s">
        <v>127</v>
      </c>
      <c r="D98" s="67"/>
      <c r="E98" s="16"/>
      <c r="F98" s="16">
        <v>2</v>
      </c>
      <c r="G98" s="16">
        <v>61.81</v>
      </c>
      <c r="H98" s="146">
        <f t="shared" si="7"/>
        <v>0.12362000000000001</v>
      </c>
      <c r="I98" s="16">
        <v>0</v>
      </c>
    </row>
    <row r="99" spans="1:9" ht="15.75" hidden="1" customHeight="1">
      <c r="A99" s="38"/>
      <c r="B99" s="81" t="s">
        <v>196</v>
      </c>
      <c r="C99" s="106" t="s">
        <v>127</v>
      </c>
      <c r="D99" s="67"/>
      <c r="E99" s="16"/>
      <c r="F99" s="16">
        <v>4</v>
      </c>
      <c r="G99" s="16">
        <v>78.89</v>
      </c>
      <c r="H99" s="146">
        <f t="shared" si="7"/>
        <v>0.31556000000000001</v>
      </c>
      <c r="I99" s="16">
        <v>0</v>
      </c>
    </row>
    <row r="100" spans="1:9" ht="31.5" hidden="1" customHeight="1">
      <c r="A100" s="38"/>
      <c r="B100" s="81" t="s">
        <v>197</v>
      </c>
      <c r="C100" s="106" t="s">
        <v>182</v>
      </c>
      <c r="D100" s="67"/>
      <c r="E100" s="16"/>
      <c r="F100" s="16">
        <v>4</v>
      </c>
      <c r="G100" s="16">
        <v>1272</v>
      </c>
      <c r="H100" s="146">
        <f t="shared" si="7"/>
        <v>5.0880000000000001</v>
      </c>
      <c r="I100" s="16">
        <v>0</v>
      </c>
    </row>
    <row r="101" spans="1:9" ht="31.5" hidden="1" customHeight="1">
      <c r="A101" s="38"/>
      <c r="B101" s="81" t="s">
        <v>198</v>
      </c>
      <c r="C101" s="106" t="s">
        <v>182</v>
      </c>
      <c r="D101" s="67"/>
      <c r="E101" s="16"/>
      <c r="F101" s="16">
        <v>4</v>
      </c>
      <c r="G101" s="16">
        <v>1206</v>
      </c>
      <c r="H101" s="146">
        <f>G101*F101/1000</f>
        <v>4.8239999999999998</v>
      </c>
      <c r="I101" s="16">
        <v>0</v>
      </c>
    </row>
    <row r="102" spans="1:9" ht="31.5" hidden="1" customHeight="1">
      <c r="A102" s="38"/>
      <c r="B102" s="81" t="s">
        <v>199</v>
      </c>
      <c r="C102" s="106" t="s">
        <v>182</v>
      </c>
      <c r="D102" s="67"/>
      <c r="E102" s="16"/>
      <c r="F102" s="16">
        <v>2</v>
      </c>
      <c r="G102" s="16">
        <v>1187</v>
      </c>
      <c r="H102" s="146">
        <f t="shared" si="7"/>
        <v>2.3740000000000001</v>
      </c>
      <c r="I102" s="16">
        <v>0</v>
      </c>
    </row>
    <row r="103" spans="1:9" ht="15.75" hidden="1" customHeight="1">
      <c r="A103" s="38"/>
      <c r="B103" s="81" t="s">
        <v>200</v>
      </c>
      <c r="C103" s="106" t="s">
        <v>201</v>
      </c>
      <c r="D103" s="18"/>
      <c r="E103" s="23"/>
      <c r="F103" s="16">
        <f>1/100</f>
        <v>0.01</v>
      </c>
      <c r="G103" s="16">
        <v>7033.13</v>
      </c>
      <c r="H103" s="146">
        <f t="shared" si="7"/>
        <v>7.0331299999999999E-2</v>
      </c>
      <c r="I103" s="16">
        <v>0</v>
      </c>
    </row>
    <row r="104" spans="1:9" ht="31.5" hidden="1" customHeight="1">
      <c r="A104" s="38"/>
      <c r="B104" s="81" t="s">
        <v>202</v>
      </c>
      <c r="C104" s="106" t="s">
        <v>127</v>
      </c>
      <c r="D104" s="18"/>
      <c r="E104" s="23"/>
      <c r="F104" s="16">
        <v>1</v>
      </c>
      <c r="G104" s="16">
        <v>2179.33</v>
      </c>
      <c r="H104" s="146">
        <f t="shared" si="7"/>
        <v>2.1793299999999998</v>
      </c>
      <c r="I104" s="16">
        <v>0</v>
      </c>
    </row>
    <row r="105" spans="1:9" ht="15.75" hidden="1" customHeight="1">
      <c r="A105" s="38"/>
      <c r="B105" s="81" t="s">
        <v>203</v>
      </c>
      <c r="C105" s="106" t="s">
        <v>188</v>
      </c>
      <c r="D105" s="18"/>
      <c r="E105" s="23"/>
      <c r="F105" s="16">
        <v>1</v>
      </c>
      <c r="G105" s="16">
        <v>302</v>
      </c>
      <c r="H105" s="146">
        <f t="shared" si="7"/>
        <v>0.30199999999999999</v>
      </c>
      <c r="I105" s="16">
        <v>0</v>
      </c>
    </row>
    <row r="106" spans="1:9" ht="15.75" hidden="1" customHeight="1">
      <c r="A106" s="38"/>
      <c r="B106" s="81" t="s">
        <v>204</v>
      </c>
      <c r="C106" s="168" t="s">
        <v>205</v>
      </c>
      <c r="D106" s="67"/>
      <c r="E106" s="16"/>
      <c r="F106" s="16">
        <v>1</v>
      </c>
      <c r="G106" s="16">
        <v>286.55</v>
      </c>
      <c r="H106" s="146">
        <f>G106*F106/1000</f>
        <v>0.28655000000000003</v>
      </c>
      <c r="I106" s="16">
        <v>0</v>
      </c>
    </row>
    <row r="107" spans="1:9" ht="15.75" hidden="1" customHeight="1">
      <c r="A107" s="38"/>
      <c r="B107" s="81" t="s">
        <v>206</v>
      </c>
      <c r="C107" s="106" t="s">
        <v>182</v>
      </c>
      <c r="D107" s="18"/>
      <c r="E107" s="23"/>
      <c r="F107" s="16">
        <v>10</v>
      </c>
      <c r="G107" s="16">
        <v>83.63</v>
      </c>
      <c r="H107" s="146">
        <f t="shared" si="7"/>
        <v>0.83629999999999993</v>
      </c>
      <c r="I107" s="16">
        <v>0</v>
      </c>
    </row>
    <row r="108" spans="1:9" ht="15.75" hidden="1" customHeight="1">
      <c r="A108" s="38"/>
      <c r="B108" s="81" t="s">
        <v>207</v>
      </c>
      <c r="C108" s="106" t="s">
        <v>127</v>
      </c>
      <c r="D108" s="18"/>
      <c r="E108" s="23"/>
      <c r="F108" s="16">
        <v>1</v>
      </c>
      <c r="G108" s="16">
        <v>149.63999999999999</v>
      </c>
      <c r="H108" s="146">
        <f t="shared" si="7"/>
        <v>0.14964</v>
      </c>
      <c r="I108" s="16">
        <v>0</v>
      </c>
    </row>
    <row r="109" spans="1:9" ht="15.75" hidden="1" customHeight="1">
      <c r="A109" s="38"/>
      <c r="B109" s="148" t="s">
        <v>97</v>
      </c>
      <c r="C109" s="106" t="s">
        <v>127</v>
      </c>
      <c r="D109" s="18"/>
      <c r="E109" s="23"/>
      <c r="F109" s="16">
        <v>1</v>
      </c>
      <c r="G109" s="16">
        <v>179.96</v>
      </c>
      <c r="H109" s="146">
        <f t="shared" si="7"/>
        <v>0.17996000000000001</v>
      </c>
      <c r="I109" s="16">
        <v>0</v>
      </c>
    </row>
    <row r="110" spans="1:9" ht="15.75" hidden="1" customHeight="1">
      <c r="A110" s="38"/>
      <c r="B110" s="148" t="s">
        <v>208</v>
      </c>
      <c r="C110" s="106" t="s">
        <v>188</v>
      </c>
      <c r="D110" s="18"/>
      <c r="E110" s="23"/>
      <c r="F110" s="16">
        <v>1</v>
      </c>
      <c r="G110" s="16">
        <v>60121</v>
      </c>
      <c r="H110" s="146">
        <f t="shared" si="7"/>
        <v>60.121000000000002</v>
      </c>
      <c r="I110" s="16">
        <v>0</v>
      </c>
    </row>
    <row r="111" spans="1:9" ht="15.75" customHeight="1">
      <c r="A111" s="38"/>
      <c r="B111" s="61" t="s">
        <v>50</v>
      </c>
      <c r="C111" s="57"/>
      <c r="D111" s="71"/>
      <c r="E111" s="57">
        <v>1</v>
      </c>
      <c r="F111" s="57"/>
      <c r="G111" s="57"/>
      <c r="H111" s="57"/>
      <c r="I111" s="40">
        <f>SUM(I86:I110)</f>
        <v>0</v>
      </c>
    </row>
    <row r="112" spans="1:9" ht="15.75" customHeight="1">
      <c r="A112" s="38"/>
      <c r="B112" s="67" t="s">
        <v>83</v>
      </c>
      <c r="C112" s="19"/>
      <c r="D112" s="19"/>
      <c r="E112" s="58"/>
      <c r="F112" s="58"/>
      <c r="G112" s="59"/>
      <c r="H112" s="59"/>
      <c r="I112" s="22">
        <v>0</v>
      </c>
    </row>
    <row r="113" spans="1:9" ht="15.75" customHeight="1">
      <c r="A113" s="72"/>
      <c r="B113" s="62" t="s">
        <v>51</v>
      </c>
      <c r="C113" s="46"/>
      <c r="D113" s="46"/>
      <c r="E113" s="46"/>
      <c r="F113" s="46"/>
      <c r="G113" s="46"/>
      <c r="H113" s="46"/>
      <c r="I113" s="60">
        <f>I84+I111</f>
        <v>37109.378226666668</v>
      </c>
    </row>
    <row r="114" spans="1:9" ht="15.75" customHeight="1">
      <c r="A114" s="124" t="s">
        <v>227</v>
      </c>
      <c r="B114" s="124"/>
      <c r="C114" s="124"/>
      <c r="D114" s="124"/>
      <c r="E114" s="124"/>
      <c r="F114" s="124"/>
      <c r="G114" s="124"/>
      <c r="H114" s="124"/>
      <c r="I114" s="124"/>
    </row>
    <row r="115" spans="1:9" ht="15.75" customHeight="1">
      <c r="A115" s="113"/>
      <c r="B115" s="125" t="s">
        <v>228</v>
      </c>
      <c r="C115" s="125"/>
      <c r="D115" s="125"/>
      <c r="E115" s="125"/>
      <c r="F115" s="125"/>
      <c r="G115" s="125"/>
      <c r="H115" s="145"/>
      <c r="I115" s="3"/>
    </row>
    <row r="116" spans="1:9" ht="15.75" customHeight="1">
      <c r="A116" s="109"/>
      <c r="B116" s="126" t="s">
        <v>6</v>
      </c>
      <c r="C116" s="126"/>
      <c r="D116" s="126"/>
      <c r="E116" s="126"/>
      <c r="F116" s="126"/>
      <c r="G116" s="126"/>
      <c r="H116" s="33"/>
      <c r="I116" s="5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 customHeight="1">
      <c r="A118" s="127" t="s">
        <v>7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15.75" customHeight="1">
      <c r="A119" s="127" t="s">
        <v>8</v>
      </c>
      <c r="B119" s="127"/>
      <c r="C119" s="127"/>
      <c r="D119" s="127"/>
      <c r="E119" s="127"/>
      <c r="F119" s="127"/>
      <c r="G119" s="127"/>
      <c r="H119" s="127"/>
      <c r="I119" s="127"/>
    </row>
    <row r="120" spans="1:9" ht="15.75">
      <c r="A120" s="120" t="s">
        <v>62</v>
      </c>
      <c r="B120" s="120"/>
      <c r="C120" s="120"/>
      <c r="D120" s="120"/>
      <c r="E120" s="120"/>
      <c r="F120" s="120"/>
      <c r="G120" s="120"/>
      <c r="H120" s="120"/>
      <c r="I120" s="120"/>
    </row>
    <row r="121" spans="1:9" ht="15.75" customHeight="1">
      <c r="A121" s="11"/>
    </row>
    <row r="122" spans="1:9" ht="15.75" customHeight="1">
      <c r="A122" s="129" t="s">
        <v>9</v>
      </c>
      <c r="B122" s="129"/>
      <c r="C122" s="129"/>
      <c r="D122" s="129"/>
      <c r="E122" s="129"/>
      <c r="F122" s="129"/>
      <c r="G122" s="129"/>
      <c r="H122" s="129"/>
      <c r="I122" s="129"/>
    </row>
    <row r="123" spans="1:9" ht="15.75" customHeight="1">
      <c r="A123" s="4"/>
    </row>
    <row r="124" spans="1:9" ht="15.75" customHeight="1">
      <c r="B124" s="110" t="s">
        <v>10</v>
      </c>
      <c r="C124" s="140" t="s">
        <v>174</v>
      </c>
      <c r="D124" s="140"/>
      <c r="E124" s="140"/>
      <c r="F124" s="143"/>
      <c r="I124" s="108"/>
    </row>
    <row r="125" spans="1:9" ht="15.75" customHeight="1">
      <c r="A125" s="109"/>
      <c r="C125" s="126" t="s">
        <v>11</v>
      </c>
      <c r="D125" s="126"/>
      <c r="E125" s="126"/>
      <c r="F125" s="33"/>
      <c r="I125" s="107" t="s">
        <v>12</v>
      </c>
    </row>
    <row r="126" spans="1:9" ht="15.75" customHeight="1">
      <c r="A126" s="34"/>
      <c r="C126" s="12"/>
      <c r="D126" s="12"/>
      <c r="G126" s="12"/>
      <c r="H126" s="12"/>
    </row>
    <row r="127" spans="1:9" ht="15.75" customHeight="1">
      <c r="B127" s="110" t="s">
        <v>13</v>
      </c>
      <c r="C127" s="130"/>
      <c r="D127" s="130"/>
      <c r="E127" s="130"/>
      <c r="F127" s="144"/>
      <c r="I127" s="108"/>
    </row>
    <row r="128" spans="1:9">
      <c r="A128" s="109"/>
      <c r="C128" s="131" t="s">
        <v>11</v>
      </c>
      <c r="D128" s="131"/>
      <c r="E128" s="131"/>
      <c r="F128" s="109"/>
      <c r="I128" s="107" t="s">
        <v>12</v>
      </c>
    </row>
    <row r="129" spans="1:9" ht="15.75" customHeight="1">
      <c r="A129" s="4" t="s">
        <v>14</v>
      </c>
    </row>
    <row r="130" spans="1:9" ht="15.75" customHeight="1">
      <c r="A130" s="132" t="s">
        <v>15</v>
      </c>
      <c r="B130" s="132"/>
      <c r="C130" s="132"/>
      <c r="D130" s="132"/>
      <c r="E130" s="132"/>
      <c r="F130" s="132"/>
      <c r="G130" s="132"/>
      <c r="H130" s="132"/>
      <c r="I130" s="132"/>
    </row>
    <row r="131" spans="1:9" ht="45" customHeight="1">
      <c r="A131" s="128" t="s">
        <v>16</v>
      </c>
      <c r="B131" s="128"/>
      <c r="C131" s="128"/>
      <c r="D131" s="128"/>
      <c r="E131" s="128"/>
      <c r="F131" s="128"/>
      <c r="G131" s="128"/>
      <c r="H131" s="128"/>
      <c r="I131" s="128"/>
    </row>
    <row r="132" spans="1:9" ht="30" customHeight="1">
      <c r="A132" s="128" t="s">
        <v>17</v>
      </c>
      <c r="B132" s="128"/>
      <c r="C132" s="128"/>
      <c r="D132" s="128"/>
      <c r="E132" s="128"/>
      <c r="F132" s="128"/>
      <c r="G132" s="128"/>
      <c r="H132" s="128"/>
      <c r="I132" s="128"/>
    </row>
    <row r="133" spans="1:9" ht="30" customHeight="1">
      <c r="A133" s="128" t="s">
        <v>21</v>
      </c>
      <c r="B133" s="128"/>
      <c r="C133" s="128"/>
      <c r="D133" s="128"/>
      <c r="E133" s="128"/>
      <c r="F133" s="128"/>
      <c r="G133" s="128"/>
      <c r="H133" s="128"/>
      <c r="I133" s="128"/>
    </row>
    <row r="134" spans="1:9" ht="15" customHeight="1">
      <c r="A134" s="128" t="s">
        <v>20</v>
      </c>
      <c r="B134" s="128"/>
      <c r="C134" s="128"/>
      <c r="D134" s="128"/>
      <c r="E134" s="128"/>
      <c r="F134" s="128"/>
      <c r="G134" s="128"/>
      <c r="H134" s="128"/>
      <c r="I134" s="128"/>
    </row>
  </sheetData>
  <autoFilter ref="I12:I61"/>
  <mergeCells count="28">
    <mergeCell ref="A131:I131"/>
    <mergeCell ref="A132:I132"/>
    <mergeCell ref="A133:I133"/>
    <mergeCell ref="A134:I134"/>
    <mergeCell ref="A122:I122"/>
    <mergeCell ref="C124:E124"/>
    <mergeCell ref="C125:E125"/>
    <mergeCell ref="C127:E127"/>
    <mergeCell ref="C128:E128"/>
    <mergeCell ref="A130:I130"/>
    <mergeCell ref="A114:I114"/>
    <mergeCell ref="B115:G115"/>
    <mergeCell ref="B116:G116"/>
    <mergeCell ref="A118:I118"/>
    <mergeCell ref="A119:I119"/>
    <mergeCell ref="A120:I120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229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93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42582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7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customHeight="1">
      <c r="A31" s="38">
        <v>8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customHeight="1">
      <c r="A32" s="38">
        <v>9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customHeight="1">
      <c r="A34" s="38">
        <v>10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hidden="1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hidden="1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hidden="1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hidden="1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hidden="1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hidden="1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hidden="1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hidden="1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v>0</v>
      </c>
      <c r="J53" s="32"/>
      <c r="L53" s="25"/>
      <c r="M53" s="26"/>
      <c r="N53" s="27"/>
    </row>
    <row r="54" spans="1:22" ht="15.75" hidden="1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175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hidden="1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hidden="1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11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12</v>
      </c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customHeight="1">
      <c r="A74" s="38">
        <v>13</v>
      </c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f>G74*0.3</f>
        <v>160.869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176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14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15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I16+I17+I18+I20+I21+I27+I28+I31+I32+I34+I63+I65+I74+I82+I83</f>
        <v>37513.53194666667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31.5" customHeight="1">
      <c r="A86" s="38">
        <v>16</v>
      </c>
      <c r="B86" s="81" t="s">
        <v>192</v>
      </c>
      <c r="C86" s="106" t="s">
        <v>88</v>
      </c>
      <c r="D86" s="67"/>
      <c r="E86" s="16"/>
      <c r="F86" s="16">
        <v>2</v>
      </c>
      <c r="G86" s="16">
        <v>960.74</v>
      </c>
      <c r="H86" s="146">
        <f t="shared" ref="H86:H93" si="7">G86*F86/1000</f>
        <v>1.9214800000000001</v>
      </c>
      <c r="I86" s="16">
        <f>G86</f>
        <v>960.74</v>
      </c>
    </row>
    <row r="87" spans="1:9" ht="15.75" customHeight="1">
      <c r="A87" s="38">
        <v>17</v>
      </c>
      <c r="B87" s="81" t="s">
        <v>193</v>
      </c>
      <c r="C87" s="106" t="s">
        <v>127</v>
      </c>
      <c r="D87" s="67"/>
      <c r="E87" s="16"/>
      <c r="F87" s="16">
        <v>2</v>
      </c>
      <c r="G87" s="16">
        <v>27.36</v>
      </c>
      <c r="H87" s="146">
        <f t="shared" si="7"/>
        <v>5.4719999999999998E-2</v>
      </c>
      <c r="I87" s="16">
        <f>G87</f>
        <v>27.36</v>
      </c>
    </row>
    <row r="88" spans="1:9" ht="15.75" customHeight="1">
      <c r="A88" s="38">
        <v>18</v>
      </c>
      <c r="B88" s="81" t="s">
        <v>194</v>
      </c>
      <c r="C88" s="106" t="s">
        <v>127</v>
      </c>
      <c r="D88" s="67"/>
      <c r="E88" s="16"/>
      <c r="F88" s="16">
        <v>5</v>
      </c>
      <c r="G88" s="16">
        <v>109.73</v>
      </c>
      <c r="H88" s="146">
        <f t="shared" si="7"/>
        <v>0.54864999999999997</v>
      </c>
      <c r="I88" s="16">
        <f>G88</f>
        <v>109.73</v>
      </c>
    </row>
    <row r="89" spans="1:9" ht="15.75" customHeight="1">
      <c r="A89" s="38">
        <v>19</v>
      </c>
      <c r="B89" s="81" t="s">
        <v>196</v>
      </c>
      <c r="C89" s="106" t="s">
        <v>127</v>
      </c>
      <c r="D89" s="67"/>
      <c r="E89" s="16"/>
      <c r="F89" s="16">
        <v>4</v>
      </c>
      <c r="G89" s="16">
        <v>78.89</v>
      </c>
      <c r="H89" s="146">
        <f t="shared" si="7"/>
        <v>0.31556000000000001</v>
      </c>
      <c r="I89" s="16">
        <f>G89</f>
        <v>78.89</v>
      </c>
    </row>
    <row r="90" spans="1:9" ht="15.75" customHeight="1">
      <c r="A90" s="38">
        <v>20</v>
      </c>
      <c r="B90" s="81" t="s">
        <v>204</v>
      </c>
      <c r="C90" s="168" t="s">
        <v>205</v>
      </c>
      <c r="D90" s="67"/>
      <c r="E90" s="16"/>
      <c r="F90" s="16">
        <v>1</v>
      </c>
      <c r="G90" s="16">
        <v>286.55</v>
      </c>
      <c r="H90" s="146">
        <f>G90*F90/1000</f>
        <v>0.28655000000000003</v>
      </c>
      <c r="I90" s="16">
        <f>G90*0.5</f>
        <v>143.27500000000001</v>
      </c>
    </row>
    <row r="91" spans="1:9" ht="15.75" customHeight="1">
      <c r="A91" s="38">
        <v>21</v>
      </c>
      <c r="B91" s="81" t="s">
        <v>206</v>
      </c>
      <c r="C91" s="106" t="s">
        <v>182</v>
      </c>
      <c r="D91" s="18"/>
      <c r="E91" s="23"/>
      <c r="F91" s="16">
        <v>10</v>
      </c>
      <c r="G91" s="16">
        <v>83.63</v>
      </c>
      <c r="H91" s="146">
        <f t="shared" si="7"/>
        <v>0.83629999999999993</v>
      </c>
      <c r="I91" s="16">
        <f>G91*10</f>
        <v>836.3</v>
      </c>
    </row>
    <row r="92" spans="1:9" ht="15.75" customHeight="1">
      <c r="A92" s="38">
        <v>22</v>
      </c>
      <c r="B92" s="81" t="s">
        <v>207</v>
      </c>
      <c r="C92" s="106" t="s">
        <v>127</v>
      </c>
      <c r="D92" s="18"/>
      <c r="E92" s="23"/>
      <c r="F92" s="16">
        <v>1</v>
      </c>
      <c r="G92" s="16">
        <v>149.63999999999999</v>
      </c>
      <c r="H92" s="146">
        <f t="shared" si="7"/>
        <v>0.14964</v>
      </c>
      <c r="I92" s="16">
        <f>G92</f>
        <v>149.63999999999999</v>
      </c>
    </row>
    <row r="93" spans="1:9" ht="15.75" customHeight="1">
      <c r="A93" s="38">
        <v>23</v>
      </c>
      <c r="B93" s="148" t="s">
        <v>97</v>
      </c>
      <c r="C93" s="106" t="s">
        <v>127</v>
      </c>
      <c r="D93" s="18"/>
      <c r="E93" s="23"/>
      <c r="F93" s="16">
        <v>1</v>
      </c>
      <c r="G93" s="16">
        <v>179.96</v>
      </c>
      <c r="H93" s="146">
        <f t="shared" si="7"/>
        <v>0.17996000000000001</v>
      </c>
      <c r="I93" s="16">
        <f>G93</f>
        <v>179.96</v>
      </c>
    </row>
    <row r="94" spans="1:9" ht="15.75" customHeight="1">
      <c r="A94" s="38"/>
      <c r="B94" s="61" t="s">
        <v>50</v>
      </c>
      <c r="C94" s="57"/>
      <c r="D94" s="71"/>
      <c r="E94" s="57">
        <v>1</v>
      </c>
      <c r="F94" s="57"/>
      <c r="G94" s="57"/>
      <c r="H94" s="57"/>
      <c r="I94" s="40">
        <f>SUM(I86:I93)</f>
        <v>2485.895</v>
      </c>
    </row>
    <row r="95" spans="1:9" ht="15.75" customHeight="1">
      <c r="A95" s="38"/>
      <c r="B95" s="67" t="s">
        <v>83</v>
      </c>
      <c r="C95" s="19"/>
      <c r="D95" s="19"/>
      <c r="E95" s="58"/>
      <c r="F95" s="58"/>
      <c r="G95" s="59"/>
      <c r="H95" s="59"/>
      <c r="I95" s="22">
        <v>0</v>
      </c>
    </row>
    <row r="96" spans="1:9" ht="15.75" customHeight="1">
      <c r="A96" s="72"/>
      <c r="B96" s="62" t="s">
        <v>51</v>
      </c>
      <c r="C96" s="46"/>
      <c r="D96" s="46"/>
      <c r="E96" s="46"/>
      <c r="F96" s="46"/>
      <c r="G96" s="46"/>
      <c r="H96" s="46"/>
      <c r="I96" s="60">
        <f>I84+I94</f>
        <v>39999.426946666666</v>
      </c>
    </row>
    <row r="97" spans="1:9" ht="15.75" customHeight="1">
      <c r="A97" s="124" t="s">
        <v>230</v>
      </c>
      <c r="B97" s="124"/>
      <c r="C97" s="124"/>
      <c r="D97" s="124"/>
      <c r="E97" s="124"/>
      <c r="F97" s="124"/>
      <c r="G97" s="124"/>
      <c r="H97" s="124"/>
      <c r="I97" s="124"/>
    </row>
    <row r="98" spans="1:9" ht="15.75" customHeight="1">
      <c r="A98" s="113"/>
      <c r="B98" s="125" t="s">
        <v>231</v>
      </c>
      <c r="C98" s="125"/>
      <c r="D98" s="125"/>
      <c r="E98" s="125"/>
      <c r="F98" s="125"/>
      <c r="G98" s="125"/>
      <c r="H98" s="145"/>
      <c r="I98" s="3"/>
    </row>
    <row r="99" spans="1:9" ht="15.75" customHeight="1">
      <c r="A99" s="109"/>
      <c r="B99" s="126" t="s">
        <v>6</v>
      </c>
      <c r="C99" s="126"/>
      <c r="D99" s="126"/>
      <c r="E99" s="126"/>
      <c r="F99" s="126"/>
      <c r="G99" s="126"/>
      <c r="H99" s="33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27" t="s">
        <v>7</v>
      </c>
      <c r="B101" s="127"/>
      <c r="C101" s="127"/>
      <c r="D101" s="127"/>
      <c r="E101" s="127"/>
      <c r="F101" s="127"/>
      <c r="G101" s="127"/>
      <c r="H101" s="127"/>
      <c r="I101" s="127"/>
    </row>
    <row r="102" spans="1:9" ht="15.75" customHeight="1">
      <c r="A102" s="127" t="s">
        <v>8</v>
      </c>
      <c r="B102" s="127"/>
      <c r="C102" s="127"/>
      <c r="D102" s="127"/>
      <c r="E102" s="127"/>
      <c r="F102" s="127"/>
      <c r="G102" s="127"/>
      <c r="H102" s="127"/>
      <c r="I102" s="127"/>
    </row>
    <row r="103" spans="1:9" ht="15.75">
      <c r="A103" s="120" t="s">
        <v>62</v>
      </c>
      <c r="B103" s="120"/>
      <c r="C103" s="120"/>
      <c r="D103" s="120"/>
      <c r="E103" s="120"/>
      <c r="F103" s="120"/>
      <c r="G103" s="120"/>
      <c r="H103" s="120"/>
      <c r="I103" s="120"/>
    </row>
    <row r="104" spans="1:9" ht="15.75" customHeight="1">
      <c r="A104" s="11"/>
    </row>
    <row r="105" spans="1:9" ht="15.75" customHeight="1">
      <c r="A105" s="129" t="s">
        <v>9</v>
      </c>
      <c r="B105" s="129"/>
      <c r="C105" s="129"/>
      <c r="D105" s="129"/>
      <c r="E105" s="129"/>
      <c r="F105" s="129"/>
      <c r="G105" s="129"/>
      <c r="H105" s="129"/>
      <c r="I105" s="129"/>
    </row>
    <row r="106" spans="1:9" ht="15.75" customHeight="1">
      <c r="A106" s="4"/>
    </row>
    <row r="107" spans="1:9" ht="15.75" customHeight="1">
      <c r="B107" s="110" t="s">
        <v>10</v>
      </c>
      <c r="C107" s="140" t="s">
        <v>174</v>
      </c>
      <c r="D107" s="140"/>
      <c r="E107" s="140"/>
      <c r="F107" s="143"/>
      <c r="I107" s="108"/>
    </row>
    <row r="108" spans="1:9" ht="15.75" customHeight="1">
      <c r="A108" s="109"/>
      <c r="C108" s="126" t="s">
        <v>11</v>
      </c>
      <c r="D108" s="126"/>
      <c r="E108" s="126"/>
      <c r="F108" s="33"/>
      <c r="I108" s="107" t="s">
        <v>12</v>
      </c>
    </row>
    <row r="109" spans="1:9" ht="15.75" customHeight="1">
      <c r="A109" s="34"/>
      <c r="C109" s="12"/>
      <c r="D109" s="12"/>
      <c r="G109" s="12"/>
      <c r="H109" s="12"/>
    </row>
    <row r="110" spans="1:9" ht="15.75" customHeight="1">
      <c r="B110" s="110" t="s">
        <v>13</v>
      </c>
      <c r="C110" s="130"/>
      <c r="D110" s="130"/>
      <c r="E110" s="130"/>
      <c r="F110" s="144"/>
      <c r="I110" s="108"/>
    </row>
    <row r="111" spans="1:9">
      <c r="A111" s="109"/>
      <c r="C111" s="131" t="s">
        <v>11</v>
      </c>
      <c r="D111" s="131"/>
      <c r="E111" s="131"/>
      <c r="F111" s="109"/>
      <c r="I111" s="107" t="s">
        <v>12</v>
      </c>
    </row>
    <row r="112" spans="1:9" ht="15.75" customHeight="1">
      <c r="A112" s="4" t="s">
        <v>14</v>
      </c>
    </row>
    <row r="113" spans="1:9" ht="15.75" customHeight="1">
      <c r="A113" s="132" t="s">
        <v>15</v>
      </c>
      <c r="B113" s="132"/>
      <c r="C113" s="132"/>
      <c r="D113" s="132"/>
      <c r="E113" s="132"/>
      <c r="F113" s="132"/>
      <c r="G113" s="132"/>
      <c r="H113" s="132"/>
      <c r="I113" s="132"/>
    </row>
    <row r="114" spans="1:9" ht="45" customHeight="1">
      <c r="A114" s="128" t="s">
        <v>16</v>
      </c>
      <c r="B114" s="128"/>
      <c r="C114" s="128"/>
      <c r="D114" s="128"/>
      <c r="E114" s="128"/>
      <c r="F114" s="128"/>
      <c r="G114" s="128"/>
      <c r="H114" s="128"/>
      <c r="I114" s="128"/>
    </row>
    <row r="115" spans="1:9" ht="30" customHeight="1">
      <c r="A115" s="128" t="s">
        <v>17</v>
      </c>
      <c r="B115" s="128"/>
      <c r="C115" s="128"/>
      <c r="D115" s="128"/>
      <c r="E115" s="128"/>
      <c r="F115" s="128"/>
      <c r="G115" s="128"/>
      <c r="H115" s="128"/>
      <c r="I115" s="128"/>
    </row>
    <row r="116" spans="1:9" ht="30" customHeight="1">
      <c r="A116" s="128" t="s">
        <v>21</v>
      </c>
      <c r="B116" s="128"/>
      <c r="C116" s="128"/>
      <c r="D116" s="128"/>
      <c r="E116" s="128"/>
      <c r="F116" s="128"/>
      <c r="G116" s="128"/>
      <c r="H116" s="128"/>
      <c r="I116" s="128"/>
    </row>
    <row r="117" spans="1:9" ht="15" customHeight="1">
      <c r="A117" s="128" t="s">
        <v>20</v>
      </c>
      <c r="B117" s="128"/>
      <c r="C117" s="128"/>
      <c r="D117" s="128"/>
      <c r="E117" s="128"/>
      <c r="F117" s="128"/>
      <c r="G117" s="128"/>
      <c r="H117" s="128"/>
      <c r="I117" s="128"/>
    </row>
  </sheetData>
  <autoFilter ref="I12:I61"/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97:I97"/>
    <mergeCell ref="B98:G98"/>
    <mergeCell ref="B99:G99"/>
    <mergeCell ref="A101:I101"/>
    <mergeCell ref="A102:I102"/>
    <mergeCell ref="A103:I103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232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63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42613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hidden="1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5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6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customHeight="1">
      <c r="A31" s="38">
        <v>7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customHeight="1">
      <c r="A32" s="38">
        <v>8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customHeight="1">
      <c r="A34" s="38">
        <v>9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hidden="1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hidden="1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hidden="1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hidden="1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hidden="1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hidden="1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hidden="1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hidden="1" customHeight="1">
      <c r="A46" s="38"/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v>0</v>
      </c>
      <c r="J46" s="32"/>
      <c r="L46" s="25"/>
      <c r="M46" s="26"/>
      <c r="N46" s="27"/>
    </row>
    <row r="47" spans="1:14" ht="15.75" hidden="1" customHeight="1">
      <c r="A47" s="38"/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v>0</v>
      </c>
      <c r="J47" s="32"/>
      <c r="L47" s="25"/>
      <c r="M47" s="26"/>
      <c r="N47" s="27"/>
    </row>
    <row r="48" spans="1:14" ht="15.75" hidden="1" customHeight="1">
      <c r="A48" s="38"/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v>0</v>
      </c>
      <c r="J48" s="32"/>
      <c r="L48" s="25"/>
      <c r="M48" s="26"/>
      <c r="N48" s="27"/>
    </row>
    <row r="49" spans="1:22" ht="15.75" hidden="1" customHeight="1">
      <c r="A49" s="38"/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v>0</v>
      </c>
      <c r="J49" s="32"/>
      <c r="L49" s="25"/>
      <c r="M49" s="26"/>
      <c r="N49" s="27"/>
    </row>
    <row r="50" spans="1:22" ht="15.75" hidden="1" customHeight="1">
      <c r="A50" s="38">
        <v>14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hidden="1" customHeight="1">
      <c r="A51" s="38"/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v>0</v>
      </c>
      <c r="J51" s="32"/>
      <c r="L51" s="25"/>
      <c r="M51" s="26"/>
      <c r="N51" s="27"/>
    </row>
    <row r="52" spans="1:22" ht="31.5" hidden="1" customHeight="1">
      <c r="A52" s="38"/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v>0</v>
      </c>
      <c r="J52" s="32"/>
      <c r="L52" s="25"/>
      <c r="M52" s="26"/>
      <c r="N52" s="27"/>
    </row>
    <row r="53" spans="1:22" ht="15.75" hidden="1" customHeight="1">
      <c r="A53" s="38"/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v>0</v>
      </c>
      <c r="J53" s="32"/>
      <c r="L53" s="25"/>
      <c r="M53" s="26"/>
      <c r="N53" s="27"/>
    </row>
    <row r="54" spans="1:22" ht="15.75" customHeight="1">
      <c r="A54" s="38">
        <v>10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172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hidden="1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hidden="1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11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12</v>
      </c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5">SUM(F65*G65/1000)</f>
        <v>1.4264400000000002</v>
      </c>
      <c r="I65" s="16">
        <f>G65</f>
        <v>237.74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5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5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5"/>
        <v>1.7593888200000001</v>
      </c>
      <c r="I68" s="16">
        <f t="shared" ref="I68:I72" si="6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5"/>
        <v>23.5528236</v>
      </c>
      <c r="I69" s="16">
        <f t="shared" si="6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5"/>
        <v>0.38403000000000004</v>
      </c>
      <c r="I70" s="16">
        <f t="shared" si="6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5"/>
        <v>0.35829</v>
      </c>
      <c r="I71" s="16">
        <f t="shared" si="6"/>
        <v>358.29</v>
      </c>
    </row>
    <row r="72" spans="1:21" ht="15.75" hidden="1" customHeight="1">
      <c r="A72" s="38"/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5"/>
        <v>0.10664</v>
      </c>
      <c r="I72" s="16">
        <f t="shared" si="6"/>
        <v>106.64</v>
      </c>
    </row>
    <row r="73" spans="1:21" ht="15.75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customHeight="1">
      <c r="A74" s="38">
        <v>13</v>
      </c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5"/>
        <v>0.21449200000000002</v>
      </c>
      <c r="I74" s="16">
        <f>G74*0.1</f>
        <v>53.623000000000005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5"/>
        <v>0.294985</v>
      </c>
      <c r="I78" s="16">
        <v>0</v>
      </c>
    </row>
    <row r="79" spans="1:21" ht="15.75" hidden="1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hidden="1" customHeight="1">
      <c r="A80" s="38"/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v>0</v>
      </c>
    </row>
    <row r="81" spans="1:9" ht="15" customHeight="1">
      <c r="A81" s="137" t="s">
        <v>173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14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15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I16+I17+I18+I20+I27+I28+I31+I32+I34+I54+I63+I65+I74+I82+I83</f>
        <v>43017.541226666661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31.5" customHeight="1">
      <c r="A86" s="38">
        <v>16</v>
      </c>
      <c r="B86" s="81" t="s">
        <v>181</v>
      </c>
      <c r="C86" s="106" t="s">
        <v>182</v>
      </c>
      <c r="D86" s="67"/>
      <c r="E86" s="16"/>
      <c r="F86" s="16">
        <v>11</v>
      </c>
      <c r="G86" s="16">
        <v>2057</v>
      </c>
      <c r="H86" s="146">
        <f t="shared" ref="H86:H88" si="7">G86*F86/1000</f>
        <v>22.626999999999999</v>
      </c>
      <c r="I86" s="16">
        <f>G86*2</f>
        <v>4114</v>
      </c>
    </row>
    <row r="87" spans="1:9" ht="31.5" customHeight="1">
      <c r="A87" s="38">
        <v>17</v>
      </c>
      <c r="B87" s="81" t="s">
        <v>163</v>
      </c>
      <c r="C87" s="106" t="s">
        <v>37</v>
      </c>
      <c r="D87" s="67"/>
      <c r="E87" s="16"/>
      <c r="F87" s="16">
        <f>7/100</f>
        <v>7.0000000000000007E-2</v>
      </c>
      <c r="G87" s="16">
        <v>3397.65</v>
      </c>
      <c r="H87" s="146">
        <f t="shared" si="7"/>
        <v>0.23783550000000003</v>
      </c>
      <c r="I87" s="16">
        <f>G87*0.01</f>
        <v>33.976500000000001</v>
      </c>
    </row>
    <row r="88" spans="1:9" ht="15.75" customHeight="1">
      <c r="A88" s="38">
        <v>18</v>
      </c>
      <c r="B88" s="148" t="s">
        <v>208</v>
      </c>
      <c r="C88" s="106" t="s">
        <v>188</v>
      </c>
      <c r="D88" s="18"/>
      <c r="E88" s="23"/>
      <c r="F88" s="16">
        <v>1</v>
      </c>
      <c r="G88" s="16">
        <v>60121</v>
      </c>
      <c r="H88" s="146">
        <f t="shared" si="7"/>
        <v>60.121000000000002</v>
      </c>
      <c r="I88" s="16">
        <f>G88</f>
        <v>60121</v>
      </c>
    </row>
    <row r="89" spans="1:9" ht="15.75" customHeight="1">
      <c r="A89" s="38"/>
      <c r="B89" s="61" t="s">
        <v>50</v>
      </c>
      <c r="C89" s="57"/>
      <c r="D89" s="71"/>
      <c r="E89" s="57">
        <v>1</v>
      </c>
      <c r="F89" s="57"/>
      <c r="G89" s="57"/>
      <c r="H89" s="57"/>
      <c r="I89" s="40">
        <f>SUM(I86:I88)</f>
        <v>64268.976499999997</v>
      </c>
    </row>
    <row r="90" spans="1:9" ht="15.75" customHeight="1">
      <c r="A90" s="38"/>
      <c r="B90" s="67" t="s">
        <v>83</v>
      </c>
      <c r="C90" s="19"/>
      <c r="D90" s="19"/>
      <c r="E90" s="58"/>
      <c r="F90" s="58"/>
      <c r="G90" s="59"/>
      <c r="H90" s="59"/>
      <c r="I90" s="22">
        <v>0</v>
      </c>
    </row>
    <row r="91" spans="1:9" ht="15.75" customHeight="1">
      <c r="A91" s="72"/>
      <c r="B91" s="62" t="s">
        <v>51</v>
      </c>
      <c r="C91" s="46"/>
      <c r="D91" s="46"/>
      <c r="E91" s="46"/>
      <c r="F91" s="46"/>
      <c r="G91" s="46"/>
      <c r="H91" s="46"/>
      <c r="I91" s="60">
        <f>I84+I89</f>
        <v>107286.51772666666</v>
      </c>
    </row>
    <row r="92" spans="1:9" ht="15.75" customHeight="1">
      <c r="A92" s="124" t="s">
        <v>233</v>
      </c>
      <c r="B92" s="124"/>
      <c r="C92" s="124"/>
      <c r="D92" s="124"/>
      <c r="E92" s="124"/>
      <c r="F92" s="124"/>
      <c r="G92" s="124"/>
      <c r="H92" s="124"/>
      <c r="I92" s="124"/>
    </row>
    <row r="93" spans="1:9" ht="15.75" customHeight="1">
      <c r="A93" s="113"/>
      <c r="B93" s="125" t="s">
        <v>234</v>
      </c>
      <c r="C93" s="125"/>
      <c r="D93" s="125"/>
      <c r="E93" s="125"/>
      <c r="F93" s="125"/>
      <c r="G93" s="125"/>
      <c r="H93" s="145"/>
      <c r="I93" s="3"/>
    </row>
    <row r="94" spans="1:9" ht="15.75" customHeight="1">
      <c r="A94" s="109"/>
      <c r="B94" s="126" t="s">
        <v>6</v>
      </c>
      <c r="C94" s="126"/>
      <c r="D94" s="126"/>
      <c r="E94" s="126"/>
      <c r="F94" s="126"/>
      <c r="G94" s="126"/>
      <c r="H94" s="33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27" t="s">
        <v>7</v>
      </c>
      <c r="B96" s="127"/>
      <c r="C96" s="127"/>
      <c r="D96" s="127"/>
      <c r="E96" s="127"/>
      <c r="F96" s="127"/>
      <c r="G96" s="127"/>
      <c r="H96" s="127"/>
      <c r="I96" s="127"/>
    </row>
    <row r="97" spans="1:9" ht="15.75" customHeight="1">
      <c r="A97" s="127" t="s">
        <v>8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>
      <c r="A98" s="120" t="s">
        <v>62</v>
      </c>
      <c r="B98" s="120"/>
      <c r="C98" s="120"/>
      <c r="D98" s="120"/>
      <c r="E98" s="120"/>
      <c r="F98" s="120"/>
      <c r="G98" s="120"/>
      <c r="H98" s="120"/>
      <c r="I98" s="120"/>
    </row>
    <row r="99" spans="1:9" ht="7.5" customHeight="1">
      <c r="A99" s="11"/>
    </row>
    <row r="100" spans="1:9" ht="15.75" customHeight="1">
      <c r="A100" s="129" t="s">
        <v>9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 customHeight="1">
      <c r="A101" s="4"/>
    </row>
    <row r="102" spans="1:9" ht="15.75" customHeight="1">
      <c r="B102" s="110" t="s">
        <v>10</v>
      </c>
      <c r="C102" s="140" t="s">
        <v>174</v>
      </c>
      <c r="D102" s="140"/>
      <c r="E102" s="140"/>
      <c r="F102" s="143"/>
      <c r="I102" s="108"/>
    </row>
    <row r="103" spans="1:9" ht="15.75" customHeight="1">
      <c r="A103" s="109"/>
      <c r="C103" s="126" t="s">
        <v>11</v>
      </c>
      <c r="D103" s="126"/>
      <c r="E103" s="126"/>
      <c r="F103" s="33"/>
      <c r="I103" s="107" t="s">
        <v>12</v>
      </c>
    </row>
    <row r="104" spans="1:9" ht="15.75" customHeight="1">
      <c r="A104" s="34"/>
      <c r="C104" s="12"/>
      <c r="D104" s="12"/>
      <c r="G104" s="12"/>
      <c r="H104" s="12"/>
    </row>
    <row r="105" spans="1:9" ht="15.75" customHeight="1">
      <c r="B105" s="110" t="s">
        <v>13</v>
      </c>
      <c r="C105" s="130"/>
      <c r="D105" s="130"/>
      <c r="E105" s="130"/>
      <c r="F105" s="144"/>
      <c r="I105" s="108"/>
    </row>
    <row r="106" spans="1:9">
      <c r="A106" s="109"/>
      <c r="C106" s="131" t="s">
        <v>11</v>
      </c>
      <c r="D106" s="131"/>
      <c r="E106" s="131"/>
      <c r="F106" s="109"/>
      <c r="I106" s="107" t="s">
        <v>12</v>
      </c>
    </row>
    <row r="107" spans="1:9" ht="15.75" customHeight="1">
      <c r="A107" s="4" t="s">
        <v>14</v>
      </c>
    </row>
    <row r="108" spans="1:9" ht="15.75" customHeight="1">
      <c r="A108" s="132" t="s">
        <v>15</v>
      </c>
      <c r="B108" s="132"/>
      <c r="C108" s="132"/>
      <c r="D108" s="132"/>
      <c r="E108" s="132"/>
      <c r="F108" s="132"/>
      <c r="G108" s="132"/>
      <c r="H108" s="132"/>
      <c r="I108" s="132"/>
    </row>
    <row r="109" spans="1:9" ht="45" customHeight="1">
      <c r="A109" s="128" t="s">
        <v>16</v>
      </c>
      <c r="B109" s="128"/>
      <c r="C109" s="128"/>
      <c r="D109" s="128"/>
      <c r="E109" s="128"/>
      <c r="F109" s="128"/>
      <c r="G109" s="128"/>
      <c r="H109" s="128"/>
      <c r="I109" s="128"/>
    </row>
    <row r="110" spans="1:9" ht="30" customHeight="1">
      <c r="A110" s="128" t="s">
        <v>17</v>
      </c>
      <c r="B110" s="128"/>
      <c r="C110" s="128"/>
      <c r="D110" s="128"/>
      <c r="E110" s="128"/>
      <c r="F110" s="128"/>
      <c r="G110" s="128"/>
      <c r="H110" s="128"/>
      <c r="I110" s="128"/>
    </row>
    <row r="111" spans="1:9" ht="30" customHeight="1">
      <c r="A111" s="128" t="s">
        <v>21</v>
      </c>
      <c r="B111" s="128"/>
      <c r="C111" s="128"/>
      <c r="D111" s="128"/>
      <c r="E111" s="128"/>
      <c r="F111" s="128"/>
      <c r="G111" s="128"/>
      <c r="H111" s="128"/>
      <c r="I111" s="128"/>
    </row>
    <row r="112" spans="1:9" ht="15" customHeight="1">
      <c r="A112" s="128" t="s">
        <v>20</v>
      </c>
      <c r="B112" s="128"/>
      <c r="C112" s="128"/>
      <c r="D112" s="128"/>
      <c r="E112" s="128"/>
      <c r="F112" s="128"/>
      <c r="G112" s="128"/>
      <c r="H112" s="128"/>
      <c r="I112" s="128"/>
    </row>
  </sheetData>
  <autoFilter ref="I12:I61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  <mergeCell ref="A97:I97"/>
    <mergeCell ref="A98:I98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3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6" t="s">
        <v>99</v>
      </c>
      <c r="I1" s="35"/>
      <c r="J1" s="1"/>
      <c r="K1" s="1"/>
      <c r="L1" s="1"/>
      <c r="M1" s="1"/>
    </row>
    <row r="2" spans="1:13" ht="15.75">
      <c r="A2" s="37" t="s">
        <v>66</v>
      </c>
      <c r="J2" s="2"/>
      <c r="K2" s="2"/>
      <c r="L2" s="2"/>
      <c r="M2" s="2"/>
    </row>
    <row r="3" spans="1:13" ht="15.75" customHeight="1">
      <c r="A3" s="115" t="s">
        <v>235</v>
      </c>
      <c r="B3" s="115"/>
      <c r="C3" s="115"/>
      <c r="D3" s="115"/>
      <c r="E3" s="115"/>
      <c r="F3" s="115"/>
      <c r="G3" s="115"/>
      <c r="H3" s="115"/>
      <c r="I3" s="115"/>
      <c r="J3" s="3"/>
      <c r="K3" s="3"/>
      <c r="L3" s="3"/>
    </row>
    <row r="4" spans="1:13" ht="31.5" customHeight="1">
      <c r="A4" s="116" t="s">
        <v>165</v>
      </c>
      <c r="B4" s="116"/>
      <c r="C4" s="116"/>
      <c r="D4" s="116"/>
      <c r="E4" s="116"/>
      <c r="F4" s="116"/>
      <c r="G4" s="116"/>
      <c r="H4" s="116"/>
      <c r="I4" s="116"/>
    </row>
    <row r="5" spans="1:13" ht="15.75">
      <c r="A5" s="115" t="s">
        <v>94</v>
      </c>
      <c r="B5" s="117"/>
      <c r="C5" s="117"/>
      <c r="D5" s="117"/>
      <c r="E5" s="117"/>
      <c r="F5" s="117"/>
      <c r="G5" s="117"/>
      <c r="H5" s="117"/>
      <c r="I5" s="11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39">
        <v>42643</v>
      </c>
      <c r="J6" s="2"/>
      <c r="K6" s="2"/>
      <c r="L6" s="2"/>
      <c r="M6" s="2"/>
    </row>
    <row r="7" spans="1:13" ht="15.75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18" t="s">
        <v>169</v>
      </c>
      <c r="B8" s="118"/>
      <c r="C8" s="118"/>
      <c r="D8" s="118"/>
      <c r="E8" s="118"/>
      <c r="F8" s="118"/>
      <c r="G8" s="118"/>
      <c r="H8" s="118"/>
      <c r="I8" s="11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19" t="s">
        <v>170</v>
      </c>
      <c r="B10" s="119"/>
      <c r="C10" s="119"/>
      <c r="D10" s="119"/>
      <c r="E10" s="119"/>
      <c r="F10" s="119"/>
      <c r="G10" s="119"/>
      <c r="H10" s="119"/>
      <c r="I10" s="11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14" t="s">
        <v>60</v>
      </c>
      <c r="B14" s="114"/>
      <c r="C14" s="114"/>
      <c r="D14" s="114"/>
      <c r="E14" s="114"/>
      <c r="F14" s="114"/>
      <c r="G14" s="114"/>
      <c r="H14" s="114"/>
      <c r="I14" s="114"/>
      <c r="J14" s="8"/>
      <c r="K14" s="8"/>
      <c r="L14" s="8"/>
      <c r="M14" s="8"/>
    </row>
    <row r="15" spans="1:13" ht="15" customHeight="1">
      <c r="A15" s="133" t="s">
        <v>4</v>
      </c>
      <c r="B15" s="133"/>
      <c r="C15" s="133"/>
      <c r="D15" s="133"/>
      <c r="E15" s="133"/>
      <c r="F15" s="133"/>
      <c r="G15" s="133"/>
      <c r="H15" s="133"/>
      <c r="I15" s="133"/>
      <c r="J15" s="8"/>
      <c r="K15" s="8"/>
      <c r="L15" s="8"/>
      <c r="M15" s="8"/>
    </row>
    <row r="16" spans="1:13" ht="30.75" customHeight="1">
      <c r="A16" s="38">
        <v>1</v>
      </c>
      <c r="B16" s="149" t="s">
        <v>102</v>
      </c>
      <c r="C16" s="150" t="s">
        <v>103</v>
      </c>
      <c r="D16" s="149" t="s">
        <v>104</v>
      </c>
      <c r="E16" s="151">
        <v>67.900000000000006</v>
      </c>
      <c r="F16" s="152">
        <f>SUM(E16*156/100)</f>
        <v>105.92400000000002</v>
      </c>
      <c r="G16" s="152">
        <v>187.48</v>
      </c>
      <c r="H16" s="153">
        <f t="shared" ref="H16:H25" si="0">SUM(F16*G16/1000)</f>
        <v>19.858631520000003</v>
      </c>
      <c r="I16" s="16">
        <f>F16/12*G16</f>
        <v>1654.8859600000003</v>
      </c>
      <c r="J16" s="30"/>
      <c r="K16" s="8"/>
      <c r="L16" s="8"/>
      <c r="M16" s="8"/>
    </row>
    <row r="17" spans="1:13" ht="30.75" customHeight="1">
      <c r="A17" s="38">
        <v>2</v>
      </c>
      <c r="B17" s="149" t="s">
        <v>138</v>
      </c>
      <c r="C17" s="150" t="s">
        <v>103</v>
      </c>
      <c r="D17" s="149" t="s">
        <v>105</v>
      </c>
      <c r="E17" s="151">
        <v>271.60000000000002</v>
      </c>
      <c r="F17" s="152">
        <f>SUM(E17*104/100)</f>
        <v>282.464</v>
      </c>
      <c r="G17" s="152">
        <v>187.48</v>
      </c>
      <c r="H17" s="153">
        <f t="shared" si="0"/>
        <v>52.956350719999996</v>
      </c>
      <c r="I17" s="16">
        <f>F17/12*G17</f>
        <v>4413.0292266666665</v>
      </c>
      <c r="J17" s="31"/>
      <c r="K17" s="8"/>
      <c r="L17" s="8"/>
      <c r="M17" s="8"/>
    </row>
    <row r="18" spans="1:13" ht="30.75" customHeight="1">
      <c r="A18" s="38">
        <v>3</v>
      </c>
      <c r="B18" s="149" t="s">
        <v>139</v>
      </c>
      <c r="C18" s="150" t="s">
        <v>103</v>
      </c>
      <c r="D18" s="149" t="s">
        <v>178</v>
      </c>
      <c r="E18" s="151">
        <v>339.5</v>
      </c>
      <c r="F18" s="152">
        <f>SUM(E18*24/100)</f>
        <v>81.48</v>
      </c>
      <c r="G18" s="152">
        <v>539.30999999999995</v>
      </c>
      <c r="H18" s="153">
        <f t="shared" si="0"/>
        <v>43.942978799999999</v>
      </c>
      <c r="I18" s="16">
        <f>F18/12*G18</f>
        <v>3661.9148999999998</v>
      </c>
      <c r="J18" s="31"/>
      <c r="K18" s="8"/>
      <c r="L18" s="8"/>
      <c r="M18" s="8"/>
    </row>
    <row r="19" spans="1:13" ht="15.75" hidden="1" customHeight="1">
      <c r="A19" s="38"/>
      <c r="B19" s="149" t="s">
        <v>112</v>
      </c>
      <c r="C19" s="150" t="s">
        <v>113</v>
      </c>
      <c r="D19" s="149" t="s">
        <v>114</v>
      </c>
      <c r="E19" s="151">
        <v>21.1</v>
      </c>
      <c r="F19" s="152">
        <f>SUM(E19/10)</f>
        <v>2.1100000000000003</v>
      </c>
      <c r="G19" s="152">
        <v>181.91</v>
      </c>
      <c r="H19" s="153">
        <f t="shared" si="0"/>
        <v>0.38383010000000006</v>
      </c>
      <c r="I19" s="16">
        <v>0</v>
      </c>
      <c r="J19" s="31"/>
      <c r="K19" s="8"/>
      <c r="L19" s="8"/>
      <c r="M19" s="8"/>
    </row>
    <row r="20" spans="1:13" ht="15.75" customHeight="1">
      <c r="A20" s="38">
        <v>4</v>
      </c>
      <c r="B20" s="149" t="s">
        <v>115</v>
      </c>
      <c r="C20" s="150" t="s">
        <v>103</v>
      </c>
      <c r="D20" s="149" t="s">
        <v>140</v>
      </c>
      <c r="E20" s="151">
        <v>7</v>
      </c>
      <c r="F20" s="152">
        <f>SUM(E20*12/100)</f>
        <v>0.84</v>
      </c>
      <c r="G20" s="152">
        <v>232.92</v>
      </c>
      <c r="H20" s="153">
        <f t="shared" si="0"/>
        <v>0.19565279999999999</v>
      </c>
      <c r="I20" s="16">
        <f>F20/12*G20</f>
        <v>16.304399999999998</v>
      </c>
      <c r="J20" s="31"/>
      <c r="K20" s="8"/>
      <c r="L20" s="8"/>
      <c r="M20" s="8"/>
    </row>
    <row r="21" spans="1:13" ht="15.75" customHeight="1">
      <c r="A21" s="38">
        <v>5</v>
      </c>
      <c r="B21" s="149" t="s">
        <v>116</v>
      </c>
      <c r="C21" s="150" t="s">
        <v>103</v>
      </c>
      <c r="D21" s="149" t="s">
        <v>149</v>
      </c>
      <c r="E21" s="151">
        <v>2.4</v>
      </c>
      <c r="F21" s="152">
        <f>SUM(E21*6/100)</f>
        <v>0.14399999999999999</v>
      </c>
      <c r="G21" s="152">
        <v>231.03</v>
      </c>
      <c r="H21" s="153">
        <f t="shared" si="0"/>
        <v>3.3268319999999997E-2</v>
      </c>
      <c r="I21" s="16">
        <f>F21/6*G21</f>
        <v>5.544719999999999</v>
      </c>
      <c r="J21" s="31"/>
      <c r="K21" s="8"/>
      <c r="L21" s="8"/>
      <c r="M21" s="8"/>
    </row>
    <row r="22" spans="1:13" ht="15.75" hidden="1" customHeight="1">
      <c r="A22" s="38"/>
      <c r="B22" s="149" t="s">
        <v>117</v>
      </c>
      <c r="C22" s="150" t="s">
        <v>52</v>
      </c>
      <c r="D22" s="149" t="s">
        <v>114</v>
      </c>
      <c r="E22" s="151">
        <v>317</v>
      </c>
      <c r="F22" s="152">
        <f>SUM(E22/100)</f>
        <v>3.17</v>
      </c>
      <c r="G22" s="152">
        <v>287.83999999999997</v>
      </c>
      <c r="H22" s="153">
        <f t="shared" si="0"/>
        <v>0.91245279999999995</v>
      </c>
      <c r="I22" s="16">
        <v>0</v>
      </c>
      <c r="J22" s="31"/>
      <c r="K22" s="8"/>
      <c r="L22" s="8"/>
      <c r="M22" s="8"/>
    </row>
    <row r="23" spans="1:13" ht="15.75" hidden="1" customHeight="1">
      <c r="A23" s="38"/>
      <c r="B23" s="149" t="s">
        <v>118</v>
      </c>
      <c r="C23" s="150" t="s">
        <v>52</v>
      </c>
      <c r="D23" s="149" t="s">
        <v>114</v>
      </c>
      <c r="E23" s="154">
        <v>24.15</v>
      </c>
      <c r="F23" s="152">
        <f>SUM(E23/100)</f>
        <v>0.24149999999999999</v>
      </c>
      <c r="G23" s="152">
        <v>47.34</v>
      </c>
      <c r="H23" s="153">
        <f t="shared" si="0"/>
        <v>1.1432610000000001E-2</v>
      </c>
      <c r="I23" s="16">
        <v>0</v>
      </c>
      <c r="J23" s="31"/>
      <c r="K23" s="8"/>
      <c r="L23" s="8"/>
      <c r="M23" s="8"/>
    </row>
    <row r="24" spans="1:13" ht="15.75" hidden="1" customHeight="1">
      <c r="A24" s="38"/>
      <c r="B24" s="149" t="s">
        <v>119</v>
      </c>
      <c r="C24" s="150" t="s">
        <v>52</v>
      </c>
      <c r="D24" s="149" t="s">
        <v>53</v>
      </c>
      <c r="E24" s="151">
        <v>10</v>
      </c>
      <c r="F24" s="152">
        <f>E24/100</f>
        <v>0.1</v>
      </c>
      <c r="G24" s="152">
        <v>416.62</v>
      </c>
      <c r="H24" s="153">
        <f t="shared" si="0"/>
        <v>4.1662000000000005E-2</v>
      </c>
      <c r="I24" s="16">
        <v>0</v>
      </c>
      <c r="J24" s="31"/>
      <c r="K24" s="8"/>
      <c r="L24" s="8"/>
      <c r="M24" s="8"/>
    </row>
    <row r="25" spans="1:13" ht="15.75" hidden="1" customHeight="1">
      <c r="A25" s="38"/>
      <c r="B25" s="149" t="s">
        <v>120</v>
      </c>
      <c r="C25" s="150" t="s">
        <v>52</v>
      </c>
      <c r="D25" s="149" t="s">
        <v>53</v>
      </c>
      <c r="E25" s="151">
        <v>4.25</v>
      </c>
      <c r="F25" s="152">
        <f>SUM(E25/100)</f>
        <v>4.2500000000000003E-2</v>
      </c>
      <c r="G25" s="152">
        <v>556.74</v>
      </c>
      <c r="H25" s="153">
        <f t="shared" si="0"/>
        <v>2.3661450000000001E-2</v>
      </c>
      <c r="I25" s="16">
        <v>0</v>
      </c>
      <c r="J25" s="31"/>
      <c r="K25" s="8"/>
      <c r="L25" s="8"/>
      <c r="M25" s="8"/>
    </row>
    <row r="26" spans="1:13" ht="15.75" hidden="1" customHeight="1">
      <c r="A26" s="38"/>
      <c r="B26" s="149" t="s">
        <v>145</v>
      </c>
      <c r="C26" s="150" t="s">
        <v>52</v>
      </c>
      <c r="D26" s="149" t="s">
        <v>53</v>
      </c>
      <c r="E26" s="151">
        <v>9.5</v>
      </c>
      <c r="F26" s="152">
        <v>9.5000000000000001E-2</v>
      </c>
      <c r="G26" s="152">
        <v>231.03</v>
      </c>
      <c r="H26" s="153">
        <f>G26*F26/1000</f>
        <v>2.1947849999999998E-2</v>
      </c>
      <c r="I26" s="16">
        <v>0</v>
      </c>
      <c r="J26" s="31"/>
      <c r="K26" s="8"/>
      <c r="L26" s="8"/>
      <c r="M26" s="8"/>
    </row>
    <row r="27" spans="1:13" ht="15.75" customHeight="1">
      <c r="A27" s="38">
        <v>6</v>
      </c>
      <c r="B27" s="149" t="s">
        <v>68</v>
      </c>
      <c r="C27" s="150" t="s">
        <v>33</v>
      </c>
      <c r="D27" s="149" t="s">
        <v>141</v>
      </c>
      <c r="E27" s="151">
        <v>0.1</v>
      </c>
      <c r="F27" s="152">
        <f>SUM(E27*365)</f>
        <v>36.5</v>
      </c>
      <c r="G27" s="152">
        <v>157.18</v>
      </c>
      <c r="H27" s="153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38">
        <v>7</v>
      </c>
      <c r="B28" s="157" t="s">
        <v>23</v>
      </c>
      <c r="C28" s="150" t="s">
        <v>24</v>
      </c>
      <c r="D28" s="157" t="s">
        <v>160</v>
      </c>
      <c r="E28" s="151">
        <v>2409</v>
      </c>
      <c r="F28" s="152">
        <f>SUM(E28*12)</f>
        <v>28908</v>
      </c>
      <c r="G28" s="152">
        <v>4.72</v>
      </c>
      <c r="H28" s="153">
        <f>SUM(F28*G28/1000)</f>
        <v>136.44575999999998</v>
      </c>
      <c r="I28" s="16">
        <f>F28/12*G28</f>
        <v>11370.48</v>
      </c>
      <c r="J28" s="32"/>
    </row>
    <row r="29" spans="1:13" ht="15" customHeight="1">
      <c r="A29" s="133" t="s">
        <v>98</v>
      </c>
      <c r="B29" s="133"/>
      <c r="C29" s="133"/>
      <c r="D29" s="133"/>
      <c r="E29" s="133"/>
      <c r="F29" s="133"/>
      <c r="G29" s="133"/>
      <c r="H29" s="133"/>
      <c r="I29" s="133"/>
      <c r="J29" s="31"/>
      <c r="K29" s="8"/>
      <c r="L29" s="8"/>
      <c r="M29" s="8"/>
    </row>
    <row r="30" spans="1:13" ht="15.75" customHeight="1">
      <c r="A30" s="38"/>
      <c r="B30" s="169" t="s">
        <v>28</v>
      </c>
      <c r="C30" s="150"/>
      <c r="D30" s="149"/>
      <c r="E30" s="151"/>
      <c r="F30" s="152"/>
      <c r="G30" s="152"/>
      <c r="H30" s="153"/>
      <c r="I30" s="16"/>
      <c r="J30" s="31"/>
      <c r="K30" s="8"/>
      <c r="L30" s="8"/>
      <c r="M30" s="8"/>
    </row>
    <row r="31" spans="1:13" ht="31.5" customHeight="1">
      <c r="A31" s="38">
        <v>8</v>
      </c>
      <c r="B31" s="149" t="s">
        <v>124</v>
      </c>
      <c r="C31" s="150" t="s">
        <v>107</v>
      </c>
      <c r="D31" s="149" t="s">
        <v>121</v>
      </c>
      <c r="E31" s="152">
        <v>372.4</v>
      </c>
      <c r="F31" s="152">
        <f>SUM(E31*52/1000)</f>
        <v>19.364799999999999</v>
      </c>
      <c r="G31" s="152">
        <v>166.65</v>
      </c>
      <c r="H31" s="153">
        <f t="shared" ref="H31:H36" si="1">SUM(F31*G31/1000)</f>
        <v>3.2271439200000001</v>
      </c>
      <c r="I31" s="16">
        <f>F31/6*G31</f>
        <v>537.85731999999996</v>
      </c>
      <c r="J31" s="31"/>
      <c r="K31" s="8"/>
      <c r="L31" s="8"/>
      <c r="M31" s="8"/>
    </row>
    <row r="32" spans="1:13" ht="31.5" customHeight="1">
      <c r="A32" s="38">
        <v>9</v>
      </c>
      <c r="B32" s="149" t="s">
        <v>142</v>
      </c>
      <c r="C32" s="150" t="s">
        <v>107</v>
      </c>
      <c r="D32" s="149" t="s">
        <v>122</v>
      </c>
      <c r="E32" s="152">
        <v>195.5</v>
      </c>
      <c r="F32" s="152">
        <f>SUM(E32*78/1000)</f>
        <v>15.249000000000001</v>
      </c>
      <c r="G32" s="152">
        <v>276.48</v>
      </c>
      <c r="H32" s="153">
        <f t="shared" si="1"/>
        <v>4.2160435200000004</v>
      </c>
      <c r="I32" s="16">
        <f t="shared" ref="I32:I34" si="2">F32/6*G32</f>
        <v>702.67392000000007</v>
      </c>
      <c r="J32" s="31"/>
      <c r="K32" s="8"/>
      <c r="L32" s="8"/>
      <c r="M32" s="8"/>
    </row>
    <row r="33" spans="1:14" ht="15.75" hidden="1" customHeight="1">
      <c r="A33" s="38"/>
      <c r="B33" s="149" t="s">
        <v>27</v>
      </c>
      <c r="C33" s="150" t="s">
        <v>107</v>
      </c>
      <c r="D33" s="149" t="s">
        <v>53</v>
      </c>
      <c r="E33" s="152">
        <v>372.4</v>
      </c>
      <c r="F33" s="152">
        <f>SUM(E33/1000)</f>
        <v>0.37239999999999995</v>
      </c>
      <c r="G33" s="152">
        <v>3228.73</v>
      </c>
      <c r="H33" s="153">
        <f t="shared" si="1"/>
        <v>1.2023790519999997</v>
      </c>
      <c r="I33" s="16">
        <f>F33*G33</f>
        <v>1202.3790519999998</v>
      </c>
      <c r="J33" s="31"/>
      <c r="K33" s="8"/>
      <c r="L33" s="8"/>
      <c r="M33" s="8"/>
    </row>
    <row r="34" spans="1:14" ht="15.75" customHeight="1">
      <c r="A34" s="38">
        <v>10</v>
      </c>
      <c r="B34" s="149" t="s">
        <v>123</v>
      </c>
      <c r="C34" s="150" t="s">
        <v>31</v>
      </c>
      <c r="D34" s="149" t="s">
        <v>67</v>
      </c>
      <c r="E34" s="156">
        <v>0.33333333333333331</v>
      </c>
      <c r="F34" s="152">
        <f>155/3</f>
        <v>51.666666666666664</v>
      </c>
      <c r="G34" s="152">
        <v>60.6</v>
      </c>
      <c r="H34" s="153">
        <f t="shared" si="1"/>
        <v>3.1309999999999998</v>
      </c>
      <c r="I34" s="16">
        <f t="shared" si="2"/>
        <v>521.83333333333337</v>
      </c>
      <c r="J34" s="31"/>
      <c r="K34" s="8"/>
    </row>
    <row r="35" spans="1:14" ht="15.75" hidden="1" customHeight="1">
      <c r="A35" s="38"/>
      <c r="B35" s="149" t="s">
        <v>69</v>
      </c>
      <c r="C35" s="150" t="s">
        <v>33</v>
      </c>
      <c r="D35" s="149" t="s">
        <v>71</v>
      </c>
      <c r="E35" s="151"/>
      <c r="F35" s="152">
        <v>3</v>
      </c>
      <c r="G35" s="152">
        <v>204.52</v>
      </c>
      <c r="H35" s="153">
        <f t="shared" si="1"/>
        <v>0.61356000000000011</v>
      </c>
      <c r="I35" s="16">
        <v>0</v>
      </c>
      <c r="J35" s="32"/>
    </row>
    <row r="36" spans="1:14" ht="15.75" hidden="1" customHeight="1">
      <c r="A36" s="38"/>
      <c r="B36" s="149" t="s">
        <v>70</v>
      </c>
      <c r="C36" s="150" t="s">
        <v>32</v>
      </c>
      <c r="D36" s="149" t="s">
        <v>71</v>
      </c>
      <c r="E36" s="151"/>
      <c r="F36" s="152">
        <v>2</v>
      </c>
      <c r="G36" s="152">
        <v>1214.73</v>
      </c>
      <c r="H36" s="153">
        <f t="shared" si="1"/>
        <v>2.4294600000000002</v>
      </c>
      <c r="I36" s="16">
        <v>0</v>
      </c>
      <c r="J36" s="32"/>
    </row>
    <row r="37" spans="1:14" ht="15.75" hidden="1" customHeight="1">
      <c r="A37" s="38"/>
      <c r="B37" s="169" t="s">
        <v>5</v>
      </c>
      <c r="C37" s="150"/>
      <c r="D37" s="149"/>
      <c r="E37" s="151"/>
      <c r="F37" s="152"/>
      <c r="G37" s="152"/>
      <c r="H37" s="153" t="s">
        <v>160</v>
      </c>
      <c r="I37" s="16"/>
      <c r="J37" s="32"/>
    </row>
    <row r="38" spans="1:14" ht="15.75" hidden="1" customHeight="1">
      <c r="A38" s="38">
        <v>8</v>
      </c>
      <c r="B38" s="149" t="s">
        <v>26</v>
      </c>
      <c r="C38" s="150" t="s">
        <v>32</v>
      </c>
      <c r="D38" s="149"/>
      <c r="E38" s="151"/>
      <c r="F38" s="152">
        <v>5</v>
      </c>
      <c r="G38" s="152">
        <v>1632.6</v>
      </c>
      <c r="H38" s="153">
        <f t="shared" ref="H38:H44" si="3">SUM(F38*G38/1000)</f>
        <v>8.1630000000000003</v>
      </c>
      <c r="I38" s="16">
        <f>F38/6*G38</f>
        <v>1360.5</v>
      </c>
      <c r="J38" s="32"/>
    </row>
    <row r="39" spans="1:14" ht="15.75" hidden="1" customHeight="1">
      <c r="A39" s="38"/>
      <c r="B39" s="149" t="s">
        <v>150</v>
      </c>
      <c r="C39" s="150" t="s">
        <v>151</v>
      </c>
      <c r="D39" s="149" t="s">
        <v>152</v>
      </c>
      <c r="E39" s="151"/>
      <c r="F39" s="152">
        <v>120</v>
      </c>
      <c r="G39" s="152">
        <v>213.2</v>
      </c>
      <c r="H39" s="153">
        <f>G39*F39/1000</f>
        <v>25.584</v>
      </c>
      <c r="I39" s="16">
        <v>0</v>
      </c>
      <c r="J39" s="32"/>
      <c r="L39" s="25"/>
      <c r="M39" s="26"/>
      <c r="N39" s="27"/>
    </row>
    <row r="40" spans="1:14" ht="15.75" hidden="1" customHeight="1">
      <c r="A40" s="38">
        <v>9</v>
      </c>
      <c r="B40" s="149" t="s">
        <v>125</v>
      </c>
      <c r="C40" s="150" t="s">
        <v>29</v>
      </c>
      <c r="D40" s="149" t="s">
        <v>153</v>
      </c>
      <c r="E40" s="151">
        <v>88</v>
      </c>
      <c r="F40" s="152">
        <f>E40*26/1000</f>
        <v>2.2879999999999998</v>
      </c>
      <c r="G40" s="152">
        <v>2247.8000000000002</v>
      </c>
      <c r="H40" s="153">
        <f>G40*F40/1000</f>
        <v>5.1429664000000006</v>
      </c>
      <c r="I40" s="16">
        <f>F40/6*G40</f>
        <v>857.16106666666667</v>
      </c>
      <c r="J40" s="32"/>
      <c r="L40" s="25"/>
      <c r="M40" s="26"/>
      <c r="N40" s="27"/>
    </row>
    <row r="41" spans="1:14" ht="15.75" hidden="1" customHeight="1">
      <c r="A41" s="38">
        <v>10</v>
      </c>
      <c r="B41" s="149" t="s">
        <v>72</v>
      </c>
      <c r="C41" s="150" t="s">
        <v>29</v>
      </c>
      <c r="D41" s="149" t="s">
        <v>106</v>
      </c>
      <c r="E41" s="152">
        <v>93.3</v>
      </c>
      <c r="F41" s="152">
        <f>SUM(E41*155/1000)</f>
        <v>14.461499999999999</v>
      </c>
      <c r="G41" s="152">
        <v>374.95</v>
      </c>
      <c r="H41" s="153">
        <f t="shared" si="3"/>
        <v>5.4223394249999988</v>
      </c>
      <c r="I41" s="16">
        <f>F41/6*G41</f>
        <v>903.72323749999998</v>
      </c>
      <c r="J41" s="32"/>
      <c r="L41" s="25"/>
      <c r="M41" s="26"/>
      <c r="N41" s="27"/>
    </row>
    <row r="42" spans="1:14" ht="47.25" hidden="1" customHeight="1">
      <c r="A42" s="38">
        <v>11</v>
      </c>
      <c r="B42" s="149" t="s">
        <v>95</v>
      </c>
      <c r="C42" s="150" t="s">
        <v>107</v>
      </c>
      <c r="D42" s="149" t="s">
        <v>154</v>
      </c>
      <c r="E42" s="152">
        <v>34.130000000000003</v>
      </c>
      <c r="F42" s="152">
        <f>SUM(E42*35/1000)</f>
        <v>1.1945500000000002</v>
      </c>
      <c r="G42" s="152">
        <v>6203.7</v>
      </c>
      <c r="H42" s="153">
        <f t="shared" si="3"/>
        <v>7.4106298350000017</v>
      </c>
      <c r="I42" s="16">
        <f>F42/6*G42</f>
        <v>1235.1049725</v>
      </c>
      <c r="J42" s="32"/>
      <c r="L42" s="25"/>
      <c r="M42" s="26"/>
      <c r="N42" s="27"/>
    </row>
    <row r="43" spans="1:14" ht="15.75" hidden="1" customHeight="1">
      <c r="A43" s="38">
        <v>12</v>
      </c>
      <c r="B43" s="149" t="s">
        <v>108</v>
      </c>
      <c r="C43" s="150" t="s">
        <v>107</v>
      </c>
      <c r="D43" s="149" t="s">
        <v>73</v>
      </c>
      <c r="E43" s="152">
        <v>72</v>
      </c>
      <c r="F43" s="152">
        <f>SUM(E43*45/1000)</f>
        <v>3.24</v>
      </c>
      <c r="G43" s="152">
        <v>458.28</v>
      </c>
      <c r="H43" s="153">
        <f t="shared" si="3"/>
        <v>1.4848272</v>
      </c>
      <c r="I43" s="16">
        <f>F43/6*G43</f>
        <v>247.47120000000001</v>
      </c>
      <c r="J43" s="32"/>
      <c r="L43" s="25"/>
      <c r="M43" s="26"/>
      <c r="N43" s="27"/>
    </row>
    <row r="44" spans="1:14" ht="15.75" hidden="1" customHeight="1">
      <c r="A44" s="38">
        <v>13</v>
      </c>
      <c r="B44" s="149" t="s">
        <v>74</v>
      </c>
      <c r="C44" s="150" t="s">
        <v>33</v>
      </c>
      <c r="D44" s="149"/>
      <c r="E44" s="151"/>
      <c r="F44" s="152">
        <v>0.9</v>
      </c>
      <c r="G44" s="152">
        <v>853.06</v>
      </c>
      <c r="H44" s="153">
        <f t="shared" si="3"/>
        <v>0.76775400000000005</v>
      </c>
      <c r="I44" s="16">
        <f>F44/6*G44</f>
        <v>127.95899999999999</v>
      </c>
      <c r="J44" s="32"/>
      <c r="L44" s="25"/>
      <c r="M44" s="26"/>
      <c r="N44" s="27"/>
    </row>
    <row r="45" spans="1:14" ht="15.75" customHeight="1">
      <c r="A45" s="134" t="s">
        <v>171</v>
      </c>
      <c r="B45" s="135"/>
      <c r="C45" s="135"/>
      <c r="D45" s="135"/>
      <c r="E45" s="135"/>
      <c r="F45" s="135"/>
      <c r="G45" s="135"/>
      <c r="H45" s="135"/>
      <c r="I45" s="136"/>
      <c r="J45" s="32"/>
      <c r="L45" s="25"/>
      <c r="M45" s="26"/>
      <c r="N45" s="27"/>
    </row>
    <row r="46" spans="1:14" ht="15.75" customHeight="1">
      <c r="A46" s="38">
        <v>11</v>
      </c>
      <c r="B46" s="149" t="s">
        <v>155</v>
      </c>
      <c r="C46" s="150" t="s">
        <v>107</v>
      </c>
      <c r="D46" s="149" t="s">
        <v>41</v>
      </c>
      <c r="E46" s="151">
        <v>670.4</v>
      </c>
      <c r="F46" s="152">
        <f>SUM(E46*2/1000)</f>
        <v>1.3408</v>
      </c>
      <c r="G46" s="16">
        <v>908.11</v>
      </c>
      <c r="H46" s="153">
        <f t="shared" ref="H46:H54" si="4">SUM(F46*G46/1000)</f>
        <v>1.2175938880000001</v>
      </c>
      <c r="I46" s="16">
        <f t="shared" ref="I46:I48" si="5">F46/2*G46</f>
        <v>608.79694400000005</v>
      </c>
      <c r="J46" s="32"/>
      <c r="L46" s="25"/>
      <c r="M46" s="26"/>
      <c r="N46" s="27"/>
    </row>
    <row r="47" spans="1:14" ht="15.75" customHeight="1">
      <c r="A47" s="38">
        <v>12</v>
      </c>
      <c r="B47" s="149" t="s">
        <v>34</v>
      </c>
      <c r="C47" s="150" t="s">
        <v>107</v>
      </c>
      <c r="D47" s="149" t="s">
        <v>41</v>
      </c>
      <c r="E47" s="151">
        <v>26</v>
      </c>
      <c r="F47" s="152">
        <f>E47*2/1000</f>
        <v>5.1999999999999998E-2</v>
      </c>
      <c r="G47" s="16">
        <v>619.46</v>
      </c>
      <c r="H47" s="153">
        <f t="shared" si="4"/>
        <v>3.2211919999999998E-2</v>
      </c>
      <c r="I47" s="16">
        <f t="shared" si="5"/>
        <v>16.10596</v>
      </c>
      <c r="J47" s="32"/>
      <c r="L47" s="25"/>
      <c r="M47" s="26"/>
      <c r="N47" s="27"/>
    </row>
    <row r="48" spans="1:14" ht="15.75" customHeight="1">
      <c r="A48" s="38">
        <v>13</v>
      </c>
      <c r="B48" s="149" t="s">
        <v>35</v>
      </c>
      <c r="C48" s="150" t="s">
        <v>107</v>
      </c>
      <c r="D48" s="149" t="s">
        <v>41</v>
      </c>
      <c r="E48" s="151">
        <v>760.4</v>
      </c>
      <c r="F48" s="152">
        <f>SUM(E48*2/1000)</f>
        <v>1.5207999999999999</v>
      </c>
      <c r="G48" s="16">
        <v>619.46</v>
      </c>
      <c r="H48" s="153">
        <f t="shared" si="4"/>
        <v>0.94207476800000012</v>
      </c>
      <c r="I48" s="16">
        <f t="shared" si="5"/>
        <v>471.03738400000003</v>
      </c>
      <c r="J48" s="32"/>
      <c r="L48" s="25"/>
      <c r="M48" s="26"/>
      <c r="N48" s="27"/>
    </row>
    <row r="49" spans="1:22" ht="15.75" customHeight="1">
      <c r="A49" s="38">
        <v>14</v>
      </c>
      <c r="B49" s="149" t="s">
        <v>36</v>
      </c>
      <c r="C49" s="150" t="s">
        <v>107</v>
      </c>
      <c r="D49" s="149" t="s">
        <v>41</v>
      </c>
      <c r="E49" s="151">
        <v>1440</v>
      </c>
      <c r="F49" s="152">
        <f>SUM(E49*2/1000)</f>
        <v>2.88</v>
      </c>
      <c r="G49" s="16">
        <v>648.64</v>
      </c>
      <c r="H49" s="153">
        <f t="shared" si="4"/>
        <v>1.8680831999999998</v>
      </c>
      <c r="I49" s="16">
        <f>F49/2*G49</f>
        <v>934.0415999999999</v>
      </c>
      <c r="J49" s="32"/>
      <c r="L49" s="25"/>
      <c r="M49" s="26"/>
      <c r="N49" s="27"/>
    </row>
    <row r="50" spans="1:22" ht="15.75" customHeight="1">
      <c r="A50" s="38">
        <v>15</v>
      </c>
      <c r="B50" s="149" t="s">
        <v>57</v>
      </c>
      <c r="C50" s="150" t="s">
        <v>107</v>
      </c>
      <c r="D50" s="149" t="s">
        <v>211</v>
      </c>
      <c r="E50" s="151">
        <v>1340.8</v>
      </c>
      <c r="F50" s="152">
        <f>SUM(E50*5/1000)</f>
        <v>6.7039999999999997</v>
      </c>
      <c r="G50" s="16">
        <v>1297.28</v>
      </c>
      <c r="H50" s="153">
        <f t="shared" si="4"/>
        <v>8.6969651199999998</v>
      </c>
      <c r="I50" s="16">
        <f>F50/5*G50</f>
        <v>1739.393024</v>
      </c>
      <c r="J50" s="32"/>
      <c r="L50" s="25"/>
      <c r="M50" s="26"/>
      <c r="N50" s="27"/>
    </row>
    <row r="51" spans="1:22" ht="31.5" customHeight="1">
      <c r="A51" s="38">
        <v>16</v>
      </c>
      <c r="B51" s="149" t="s">
        <v>109</v>
      </c>
      <c r="C51" s="150" t="s">
        <v>107</v>
      </c>
      <c r="D51" s="149" t="s">
        <v>41</v>
      </c>
      <c r="E51" s="151">
        <v>1340.8</v>
      </c>
      <c r="F51" s="152">
        <f>SUM(E51*2/1000)</f>
        <v>2.6816</v>
      </c>
      <c r="G51" s="16">
        <v>1297.28</v>
      </c>
      <c r="H51" s="153">
        <f t="shared" si="4"/>
        <v>3.4787860479999999</v>
      </c>
      <c r="I51" s="16">
        <f>F51/2*G51</f>
        <v>1739.393024</v>
      </c>
      <c r="J51" s="32"/>
      <c r="L51" s="25"/>
      <c r="M51" s="26"/>
      <c r="N51" s="27"/>
    </row>
    <row r="52" spans="1:22" ht="31.5" customHeight="1">
      <c r="A52" s="38">
        <v>17</v>
      </c>
      <c r="B52" s="149" t="s">
        <v>110</v>
      </c>
      <c r="C52" s="150" t="s">
        <v>37</v>
      </c>
      <c r="D52" s="149" t="s">
        <v>41</v>
      </c>
      <c r="E52" s="151">
        <v>10</v>
      </c>
      <c r="F52" s="152">
        <f>SUM(E52*2/100)</f>
        <v>0.2</v>
      </c>
      <c r="G52" s="16">
        <v>2918.89</v>
      </c>
      <c r="H52" s="153">
        <f>SUM(F52*G52/1000)</f>
        <v>0.58377800000000002</v>
      </c>
      <c r="I52" s="16">
        <f t="shared" ref="I52:I53" si="6">F52/2*G52</f>
        <v>291.88900000000001</v>
      </c>
      <c r="J52" s="32"/>
      <c r="L52" s="25"/>
      <c r="M52" s="26"/>
      <c r="N52" s="27"/>
    </row>
    <row r="53" spans="1:22" ht="15.75" customHeight="1">
      <c r="A53" s="38">
        <v>18</v>
      </c>
      <c r="B53" s="149" t="s">
        <v>38</v>
      </c>
      <c r="C53" s="150" t="s">
        <v>39</v>
      </c>
      <c r="D53" s="149" t="s">
        <v>41</v>
      </c>
      <c r="E53" s="151">
        <v>1</v>
      </c>
      <c r="F53" s="152">
        <v>0.02</v>
      </c>
      <c r="G53" s="16">
        <v>6042.12</v>
      </c>
      <c r="H53" s="153">
        <f t="shared" si="4"/>
        <v>0.1208424</v>
      </c>
      <c r="I53" s="16">
        <f t="shared" si="6"/>
        <v>60.421199999999999</v>
      </c>
      <c r="J53" s="32"/>
      <c r="L53" s="25"/>
      <c r="M53" s="26"/>
      <c r="N53" s="27"/>
    </row>
    <row r="54" spans="1:22" ht="15.75" hidden="1" customHeight="1">
      <c r="A54" s="38">
        <v>15</v>
      </c>
      <c r="B54" s="149" t="s">
        <v>40</v>
      </c>
      <c r="C54" s="150" t="s">
        <v>127</v>
      </c>
      <c r="D54" s="149" t="s">
        <v>75</v>
      </c>
      <c r="E54" s="151">
        <v>80</v>
      </c>
      <c r="F54" s="152">
        <f>SUM(E54)*3</f>
        <v>240</v>
      </c>
      <c r="G54" s="16">
        <v>70.209999999999994</v>
      </c>
      <c r="H54" s="153">
        <f t="shared" si="4"/>
        <v>16.850399999999997</v>
      </c>
      <c r="I54" s="16">
        <f>E54*G54</f>
        <v>5616.7999999999993</v>
      </c>
      <c r="J54" s="32"/>
      <c r="L54" s="25"/>
      <c r="M54" s="26"/>
      <c r="N54" s="27"/>
    </row>
    <row r="55" spans="1:22" ht="15.75" customHeight="1">
      <c r="A55" s="134" t="s">
        <v>172</v>
      </c>
      <c r="B55" s="135"/>
      <c r="C55" s="135"/>
      <c r="D55" s="135"/>
      <c r="E55" s="135"/>
      <c r="F55" s="135"/>
      <c r="G55" s="135"/>
      <c r="H55" s="135"/>
      <c r="I55" s="136"/>
      <c r="J55" s="32"/>
      <c r="L55" s="25"/>
      <c r="M55" s="26"/>
      <c r="N55" s="27"/>
    </row>
    <row r="56" spans="1:22" ht="15.75" hidden="1" customHeight="1">
      <c r="A56" s="38"/>
      <c r="B56" s="169" t="s">
        <v>42</v>
      </c>
      <c r="C56" s="150"/>
      <c r="D56" s="149"/>
      <c r="E56" s="151"/>
      <c r="F56" s="152"/>
      <c r="G56" s="152"/>
      <c r="H56" s="153"/>
      <c r="I56" s="16"/>
      <c r="J56" s="32"/>
      <c r="L56" s="25"/>
      <c r="M56" s="26"/>
      <c r="N56" s="27"/>
    </row>
    <row r="57" spans="1:22" ht="31.5" hidden="1" customHeight="1">
      <c r="A57" s="38">
        <v>16</v>
      </c>
      <c r="B57" s="149" t="s">
        <v>156</v>
      </c>
      <c r="C57" s="150" t="s">
        <v>103</v>
      </c>
      <c r="D57" s="149" t="s">
        <v>128</v>
      </c>
      <c r="E57" s="151">
        <v>79.040000000000006</v>
      </c>
      <c r="F57" s="152">
        <f>SUM(E57*6/100)</f>
        <v>4.7423999999999999</v>
      </c>
      <c r="G57" s="16">
        <v>1654.04</v>
      </c>
      <c r="H57" s="153">
        <f>SUM(F57*G57/1000)</f>
        <v>7.8441192959999997</v>
      </c>
      <c r="I57" s="16">
        <f>F57/6*G57</f>
        <v>1307.353216</v>
      </c>
      <c r="J57" s="32"/>
      <c r="L57" s="25"/>
      <c r="M57" s="26"/>
      <c r="N57" s="27"/>
    </row>
    <row r="58" spans="1:22" ht="15.75" hidden="1" customHeight="1">
      <c r="A58" s="38"/>
      <c r="B58" s="158" t="s">
        <v>143</v>
      </c>
      <c r="C58" s="159" t="s">
        <v>52</v>
      </c>
      <c r="D58" s="158" t="s">
        <v>53</v>
      </c>
      <c r="E58" s="160">
        <v>670.4</v>
      </c>
      <c r="F58" s="161">
        <f>E58/100</f>
        <v>6.7039999999999997</v>
      </c>
      <c r="G58" s="16">
        <v>505.2</v>
      </c>
      <c r="H58" s="153">
        <f>SUM(F58*G58/1000)</f>
        <v>3.3868608</v>
      </c>
      <c r="I58" s="16">
        <v>0</v>
      </c>
      <c r="J58" s="32"/>
      <c r="L58" s="25"/>
      <c r="M58" s="26"/>
      <c r="N58" s="27"/>
    </row>
    <row r="59" spans="1:22" ht="15.75" hidden="1" customHeight="1">
      <c r="A59" s="38">
        <v>17</v>
      </c>
      <c r="B59" s="149" t="s">
        <v>157</v>
      </c>
      <c r="C59" s="150" t="s">
        <v>103</v>
      </c>
      <c r="D59" s="149" t="s">
        <v>128</v>
      </c>
      <c r="E59" s="151">
        <v>3.8</v>
      </c>
      <c r="F59" s="152">
        <f>SUM(E59*6/100)</f>
        <v>0.22799999999999998</v>
      </c>
      <c r="G59" s="16">
        <v>1654.04</v>
      </c>
      <c r="H59" s="153">
        <f>SUM(F59*G59/1000)</f>
        <v>0.37712111999999998</v>
      </c>
      <c r="I59" s="16">
        <f>F59/6*G59</f>
        <v>62.853519999999996</v>
      </c>
      <c r="J59" s="32"/>
      <c r="L59" s="25"/>
    </row>
    <row r="60" spans="1:22" ht="15.75" hidden="1" customHeight="1">
      <c r="A60" s="38"/>
      <c r="B60" s="158" t="s">
        <v>158</v>
      </c>
      <c r="C60" s="159" t="s">
        <v>159</v>
      </c>
      <c r="D60" s="158" t="s">
        <v>41</v>
      </c>
      <c r="E60" s="160">
        <v>2</v>
      </c>
      <c r="F60" s="161">
        <v>4</v>
      </c>
      <c r="G60" s="16">
        <v>193.25</v>
      </c>
      <c r="H60" s="162">
        <f>F60*G60/1000</f>
        <v>0.77300000000000002</v>
      </c>
      <c r="I60" s="16">
        <v>0</v>
      </c>
    </row>
    <row r="61" spans="1:22" ht="15.75" customHeight="1">
      <c r="A61" s="38"/>
      <c r="B61" s="170" t="s">
        <v>43</v>
      </c>
      <c r="C61" s="159"/>
      <c r="D61" s="158"/>
      <c r="E61" s="160"/>
      <c r="F61" s="161"/>
      <c r="G61" s="16"/>
      <c r="H61" s="162"/>
      <c r="I61" s="16"/>
    </row>
    <row r="62" spans="1:22" ht="15.75" hidden="1" customHeight="1">
      <c r="A62" s="38"/>
      <c r="B62" s="158" t="s">
        <v>143</v>
      </c>
      <c r="C62" s="159" t="s">
        <v>52</v>
      </c>
      <c r="D62" s="158" t="s">
        <v>53</v>
      </c>
      <c r="E62" s="160">
        <v>1096</v>
      </c>
      <c r="F62" s="161">
        <f>E62/100</f>
        <v>10.96</v>
      </c>
      <c r="G62" s="16">
        <v>848.37</v>
      </c>
      <c r="H62" s="162">
        <f>F62*G62/1000</f>
        <v>9.2981352000000008</v>
      </c>
      <c r="I62" s="16">
        <v>0</v>
      </c>
    </row>
    <row r="63" spans="1:22" ht="15.75" customHeight="1">
      <c r="A63" s="38">
        <v>19</v>
      </c>
      <c r="B63" s="158" t="s">
        <v>144</v>
      </c>
      <c r="C63" s="159" t="s">
        <v>25</v>
      </c>
      <c r="D63" s="158" t="s">
        <v>30</v>
      </c>
      <c r="E63" s="160">
        <v>110</v>
      </c>
      <c r="F63" s="163">
        <f>E63*12</f>
        <v>1320</v>
      </c>
      <c r="G63" s="141">
        <v>2.6</v>
      </c>
      <c r="H63" s="161">
        <f>F63*G63/1000</f>
        <v>3.4319999999999999</v>
      </c>
      <c r="I63" s="16">
        <f>F63/12*G63</f>
        <v>286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8"/>
      <c r="B64" s="170" t="s">
        <v>44</v>
      </c>
      <c r="C64" s="159"/>
      <c r="D64" s="158"/>
      <c r="E64" s="160"/>
      <c r="F64" s="163"/>
      <c r="G64" s="163"/>
      <c r="H64" s="161" t="s">
        <v>160</v>
      </c>
      <c r="I64" s="16"/>
      <c r="J64" s="34"/>
      <c r="K64" s="34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8">
        <v>20</v>
      </c>
      <c r="B65" s="18" t="s">
        <v>45</v>
      </c>
      <c r="C65" s="20" t="s">
        <v>127</v>
      </c>
      <c r="D65" s="18" t="s">
        <v>71</v>
      </c>
      <c r="E65" s="23">
        <v>6</v>
      </c>
      <c r="F65" s="152">
        <v>6</v>
      </c>
      <c r="G65" s="16">
        <v>237.74</v>
      </c>
      <c r="H65" s="146">
        <f t="shared" ref="H65:H78" si="7">SUM(F65*G65/1000)</f>
        <v>1.4264400000000002</v>
      </c>
      <c r="I65" s="16">
        <f>G65*3</f>
        <v>713.22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8"/>
      <c r="B66" s="18" t="s">
        <v>46</v>
      </c>
      <c r="C66" s="20" t="s">
        <v>127</v>
      </c>
      <c r="D66" s="18" t="s">
        <v>71</v>
      </c>
      <c r="E66" s="23">
        <v>2</v>
      </c>
      <c r="F66" s="152">
        <v>2</v>
      </c>
      <c r="G66" s="16">
        <v>81.510000000000005</v>
      </c>
      <c r="H66" s="146">
        <f t="shared" si="7"/>
        <v>0.16302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31"/>
      <c r="S66" s="131"/>
      <c r="T66" s="131"/>
      <c r="U66" s="131"/>
    </row>
    <row r="67" spans="1:21" ht="15.75" hidden="1" customHeight="1">
      <c r="A67" s="38"/>
      <c r="B67" s="18" t="s">
        <v>47</v>
      </c>
      <c r="C67" s="20" t="s">
        <v>129</v>
      </c>
      <c r="D67" s="18" t="s">
        <v>53</v>
      </c>
      <c r="E67" s="151">
        <v>9962</v>
      </c>
      <c r="F67" s="16">
        <f>SUM(E67/100)</f>
        <v>99.62</v>
      </c>
      <c r="G67" s="16">
        <v>226.79</v>
      </c>
      <c r="H67" s="146">
        <f t="shared" si="7"/>
        <v>22.592819800000001</v>
      </c>
      <c r="I67" s="16">
        <f>F67*G67</f>
        <v>22592.819800000001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8"/>
      <c r="B68" s="18" t="s">
        <v>48</v>
      </c>
      <c r="C68" s="20" t="s">
        <v>130</v>
      </c>
      <c r="D68" s="18"/>
      <c r="E68" s="151">
        <v>9962</v>
      </c>
      <c r="F68" s="16">
        <f>SUM(E68/1000)</f>
        <v>9.9619999999999997</v>
      </c>
      <c r="G68" s="16">
        <v>176.61</v>
      </c>
      <c r="H68" s="146">
        <f t="shared" si="7"/>
        <v>1.7593888200000001</v>
      </c>
      <c r="I68" s="16">
        <f t="shared" ref="I68:I72" si="8">F68*G68</f>
        <v>1759.3888200000001</v>
      </c>
    </row>
    <row r="69" spans="1:21" ht="15.75" hidden="1" customHeight="1">
      <c r="A69" s="38"/>
      <c r="B69" s="18" t="s">
        <v>49</v>
      </c>
      <c r="C69" s="20" t="s">
        <v>81</v>
      </c>
      <c r="D69" s="18" t="s">
        <v>53</v>
      </c>
      <c r="E69" s="151">
        <v>1062</v>
      </c>
      <c r="F69" s="16">
        <f>SUM(E69/100)</f>
        <v>10.62</v>
      </c>
      <c r="G69" s="16">
        <v>2217.7800000000002</v>
      </c>
      <c r="H69" s="146">
        <f t="shared" si="7"/>
        <v>23.5528236</v>
      </c>
      <c r="I69" s="16">
        <f t="shared" si="8"/>
        <v>23552.8236</v>
      </c>
    </row>
    <row r="70" spans="1:21" ht="15.75" hidden="1" customHeight="1">
      <c r="A70" s="38"/>
      <c r="B70" s="164" t="s">
        <v>131</v>
      </c>
      <c r="C70" s="20" t="s">
        <v>33</v>
      </c>
      <c r="D70" s="18"/>
      <c r="E70" s="151">
        <v>9</v>
      </c>
      <c r="F70" s="16">
        <f>SUM(E70)</f>
        <v>9</v>
      </c>
      <c r="G70" s="16">
        <v>42.67</v>
      </c>
      <c r="H70" s="146">
        <f t="shared" si="7"/>
        <v>0.38403000000000004</v>
      </c>
      <c r="I70" s="16">
        <f t="shared" si="8"/>
        <v>384.03000000000003</v>
      </c>
    </row>
    <row r="71" spans="1:21" ht="15.75" hidden="1" customHeight="1">
      <c r="A71" s="38"/>
      <c r="B71" s="164" t="s">
        <v>132</v>
      </c>
      <c r="C71" s="20" t="s">
        <v>33</v>
      </c>
      <c r="D71" s="18"/>
      <c r="E71" s="151">
        <v>9</v>
      </c>
      <c r="F71" s="16">
        <f>SUM(E71)</f>
        <v>9</v>
      </c>
      <c r="G71" s="16">
        <v>39.81</v>
      </c>
      <c r="H71" s="146">
        <f t="shared" si="7"/>
        <v>0.35829</v>
      </c>
      <c r="I71" s="16">
        <f t="shared" si="8"/>
        <v>358.29</v>
      </c>
    </row>
    <row r="72" spans="1:21" ht="15.75" customHeight="1">
      <c r="A72" s="38">
        <v>21</v>
      </c>
      <c r="B72" s="18" t="s">
        <v>58</v>
      </c>
      <c r="C72" s="20" t="s">
        <v>59</v>
      </c>
      <c r="D72" s="18" t="s">
        <v>53</v>
      </c>
      <c r="E72" s="23">
        <v>2</v>
      </c>
      <c r="F72" s="152">
        <v>2</v>
      </c>
      <c r="G72" s="16">
        <v>53.32</v>
      </c>
      <c r="H72" s="146">
        <f t="shared" si="7"/>
        <v>0.10664</v>
      </c>
      <c r="I72" s="16">
        <f t="shared" si="8"/>
        <v>106.64</v>
      </c>
    </row>
    <row r="73" spans="1:21" ht="15.75" hidden="1" customHeight="1">
      <c r="A73" s="38"/>
      <c r="B73" s="111" t="s">
        <v>76</v>
      </c>
      <c r="C73" s="20"/>
      <c r="D73" s="18"/>
      <c r="E73" s="23"/>
      <c r="F73" s="16"/>
      <c r="G73" s="16"/>
      <c r="H73" s="146" t="s">
        <v>160</v>
      </c>
      <c r="I73" s="16"/>
    </row>
    <row r="74" spans="1:21" ht="15.75" hidden="1" customHeight="1">
      <c r="A74" s="38"/>
      <c r="B74" s="18" t="s">
        <v>77</v>
      </c>
      <c r="C74" s="20" t="s">
        <v>79</v>
      </c>
      <c r="D74" s="18"/>
      <c r="E74" s="23">
        <v>4</v>
      </c>
      <c r="F74" s="16">
        <v>0.4</v>
      </c>
      <c r="G74" s="16">
        <v>536.23</v>
      </c>
      <c r="H74" s="146">
        <f t="shared" si="7"/>
        <v>0.21449200000000002</v>
      </c>
      <c r="I74" s="16">
        <v>0</v>
      </c>
    </row>
    <row r="75" spans="1:21" ht="15.75" hidden="1" customHeight="1">
      <c r="A75" s="38"/>
      <c r="B75" s="18" t="s">
        <v>78</v>
      </c>
      <c r="C75" s="20" t="s">
        <v>31</v>
      </c>
      <c r="D75" s="18"/>
      <c r="E75" s="23">
        <v>1</v>
      </c>
      <c r="F75" s="141">
        <v>1</v>
      </c>
      <c r="G75" s="16">
        <v>911.85</v>
      </c>
      <c r="H75" s="146">
        <f>F75*G75/1000</f>
        <v>0.91185000000000005</v>
      </c>
      <c r="I75" s="16">
        <v>0</v>
      </c>
    </row>
    <row r="76" spans="1:21" ht="15.75" hidden="1" customHeight="1">
      <c r="A76" s="38"/>
      <c r="B76" s="18" t="s">
        <v>134</v>
      </c>
      <c r="C76" s="20" t="s">
        <v>31</v>
      </c>
      <c r="D76" s="18"/>
      <c r="E76" s="23">
        <v>1</v>
      </c>
      <c r="F76" s="16">
        <v>1</v>
      </c>
      <c r="G76" s="16">
        <v>383.25</v>
      </c>
      <c r="H76" s="146">
        <f>G76*F76/1000</f>
        <v>0.38324999999999998</v>
      </c>
      <c r="I76" s="16">
        <v>0</v>
      </c>
    </row>
    <row r="77" spans="1:21" ht="15.75" hidden="1" customHeight="1">
      <c r="A77" s="38"/>
      <c r="B77" s="166" t="s">
        <v>80</v>
      </c>
      <c r="C77" s="20"/>
      <c r="D77" s="18"/>
      <c r="E77" s="23"/>
      <c r="F77" s="16"/>
      <c r="G77" s="16" t="s">
        <v>160</v>
      </c>
      <c r="H77" s="146" t="s">
        <v>160</v>
      </c>
      <c r="I77" s="16"/>
    </row>
    <row r="78" spans="1:21" ht="15.75" hidden="1" customHeight="1">
      <c r="A78" s="38"/>
      <c r="B78" s="67" t="s">
        <v>146</v>
      </c>
      <c r="C78" s="20" t="s">
        <v>81</v>
      </c>
      <c r="D78" s="18"/>
      <c r="E78" s="23"/>
      <c r="F78" s="16">
        <v>0.1</v>
      </c>
      <c r="G78" s="16">
        <v>2949.85</v>
      </c>
      <c r="H78" s="146">
        <f t="shared" si="7"/>
        <v>0.294985</v>
      </c>
      <c r="I78" s="16">
        <v>0</v>
      </c>
    </row>
    <row r="79" spans="1:21" ht="15.75" customHeight="1">
      <c r="A79" s="38"/>
      <c r="B79" s="111" t="s">
        <v>111</v>
      </c>
      <c r="C79" s="111"/>
      <c r="D79" s="111"/>
      <c r="E79" s="111"/>
      <c r="F79" s="111"/>
      <c r="G79" s="155"/>
      <c r="H79" s="167">
        <f>SUM(H57:H78)</f>
        <v>77.259265635999995</v>
      </c>
      <c r="I79" s="155"/>
    </row>
    <row r="80" spans="1:21" ht="15.75" customHeight="1">
      <c r="A80" s="38">
        <v>22</v>
      </c>
      <c r="B80" s="171" t="s">
        <v>133</v>
      </c>
      <c r="C80" s="29"/>
      <c r="D80" s="28"/>
      <c r="E80" s="142"/>
      <c r="F80" s="172">
        <v>1</v>
      </c>
      <c r="G80" s="16">
        <v>7140.7</v>
      </c>
      <c r="H80" s="146">
        <f>G80*F80/1000</f>
        <v>7.1406999999999998</v>
      </c>
      <c r="I80" s="16">
        <f>G80</f>
        <v>7140.7</v>
      </c>
    </row>
    <row r="81" spans="1:9" ht="15" customHeight="1">
      <c r="A81" s="137" t="s">
        <v>173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38">
        <v>23</v>
      </c>
      <c r="B82" s="149" t="s">
        <v>135</v>
      </c>
      <c r="C82" s="20" t="s">
        <v>54</v>
      </c>
      <c r="D82" s="84" t="s">
        <v>55</v>
      </c>
      <c r="E82" s="16">
        <v>2409</v>
      </c>
      <c r="F82" s="16">
        <f>SUM(E82*12)</f>
        <v>28908</v>
      </c>
      <c r="G82" s="16">
        <v>2.54</v>
      </c>
      <c r="H82" s="146">
        <f>SUM(F82*G82/1000)</f>
        <v>73.426320000000004</v>
      </c>
      <c r="I82" s="16">
        <f>F82/12*G82</f>
        <v>6118.86</v>
      </c>
    </row>
    <row r="83" spans="1:9" ht="31.5" customHeight="1">
      <c r="A83" s="38">
        <v>24</v>
      </c>
      <c r="B83" s="18" t="s">
        <v>82</v>
      </c>
      <c r="C83" s="20"/>
      <c r="D83" s="84" t="s">
        <v>55</v>
      </c>
      <c r="E83" s="151">
        <f>E82</f>
        <v>2409</v>
      </c>
      <c r="F83" s="16">
        <f>E83*12</f>
        <v>28908</v>
      </c>
      <c r="G83" s="16">
        <v>3.05</v>
      </c>
      <c r="H83" s="146">
        <f>F83*G83/1000</f>
        <v>88.169399999999996</v>
      </c>
      <c r="I83" s="16">
        <f>F83/12*G83</f>
        <v>7347.45</v>
      </c>
    </row>
    <row r="84" spans="1:9" ht="15.75" customHeight="1">
      <c r="A84" s="38"/>
      <c r="B84" s="54" t="s">
        <v>86</v>
      </c>
      <c r="C84" s="166"/>
      <c r="D84" s="165"/>
      <c r="E84" s="155"/>
      <c r="F84" s="155"/>
      <c r="G84" s="155"/>
      <c r="H84" s="167">
        <f>H83</f>
        <v>88.169399999999996</v>
      </c>
      <c r="I84" s="155">
        <f>I16+I17+I18+I20+I21+I27+I28+I31+I32+I34+I46+I47+I48+I49+I50+I51+I52+I53+I63+I65+I72+I80+I82+I83</f>
        <v>50936.561082666667</v>
      </c>
    </row>
    <row r="85" spans="1:9" ht="15.75" customHeight="1">
      <c r="A85" s="38"/>
      <c r="B85" s="80" t="s">
        <v>61</v>
      </c>
      <c r="C85" s="20"/>
      <c r="D85" s="67"/>
      <c r="E85" s="16"/>
      <c r="F85" s="16"/>
      <c r="G85" s="16"/>
      <c r="H85" s="16"/>
      <c r="I85" s="16"/>
    </row>
    <row r="86" spans="1:9" ht="15.75" hidden="1" customHeight="1">
      <c r="A86" s="38"/>
      <c r="B86" s="81" t="s">
        <v>184</v>
      </c>
      <c r="C86" s="106" t="s">
        <v>182</v>
      </c>
      <c r="D86" s="67"/>
      <c r="E86" s="16"/>
      <c r="F86" s="16">
        <v>5</v>
      </c>
      <c r="G86" s="16">
        <v>129.04</v>
      </c>
      <c r="H86" s="146">
        <f t="shared" ref="H86:H110" si="9">G86*F86/1000</f>
        <v>0.64519999999999988</v>
      </c>
      <c r="I86" s="16">
        <v>0</v>
      </c>
    </row>
    <row r="87" spans="1:9" ht="15.75" hidden="1" customHeight="1">
      <c r="A87" s="38"/>
      <c r="B87" s="81" t="s">
        <v>185</v>
      </c>
      <c r="C87" s="106" t="s">
        <v>127</v>
      </c>
      <c r="D87" s="67"/>
      <c r="E87" s="16"/>
      <c r="F87" s="16">
        <v>1</v>
      </c>
      <c r="G87" s="16">
        <v>124.25</v>
      </c>
      <c r="H87" s="146">
        <f t="shared" si="9"/>
        <v>0.12425</v>
      </c>
      <c r="I87" s="16">
        <v>0</v>
      </c>
    </row>
    <row r="88" spans="1:9" ht="15.75" hidden="1" customHeight="1">
      <c r="A88" s="38"/>
      <c r="B88" s="148" t="s">
        <v>186</v>
      </c>
      <c r="C88" s="106" t="s">
        <v>148</v>
      </c>
      <c r="D88" s="67"/>
      <c r="E88" s="16"/>
      <c r="F88" s="16">
        <v>1</v>
      </c>
      <c r="G88" s="16">
        <v>2292.96</v>
      </c>
      <c r="H88" s="146">
        <f t="shared" si="9"/>
        <v>2.2929599999999999</v>
      </c>
      <c r="I88" s="16">
        <v>0</v>
      </c>
    </row>
    <row r="89" spans="1:9" ht="15.75" hidden="1" customHeight="1">
      <c r="A89" s="38"/>
      <c r="B89" s="81" t="s">
        <v>187</v>
      </c>
      <c r="C89" s="106" t="s">
        <v>188</v>
      </c>
      <c r="D89" s="67"/>
      <c r="E89" s="16"/>
      <c r="F89" s="16">
        <v>1</v>
      </c>
      <c r="G89" s="16">
        <v>8279</v>
      </c>
      <c r="H89" s="146">
        <f t="shared" si="9"/>
        <v>8.2789999999999999</v>
      </c>
      <c r="I89" s="16">
        <v>0</v>
      </c>
    </row>
    <row r="90" spans="1:9" ht="15.75" hidden="1" customHeight="1">
      <c r="A90" s="38"/>
      <c r="B90" s="81" t="s">
        <v>189</v>
      </c>
      <c r="C90" s="106" t="s">
        <v>188</v>
      </c>
      <c r="D90" s="67"/>
      <c r="E90" s="16"/>
      <c r="F90" s="16">
        <v>1</v>
      </c>
      <c r="G90" s="16">
        <v>7522</v>
      </c>
      <c r="H90" s="146">
        <f t="shared" si="9"/>
        <v>7.5220000000000002</v>
      </c>
      <c r="I90" s="16"/>
    </row>
    <row r="91" spans="1:9" ht="15.75" hidden="1" customHeight="1">
      <c r="A91" s="38"/>
      <c r="B91" s="81" t="s">
        <v>190</v>
      </c>
      <c r="C91" s="106" t="s">
        <v>148</v>
      </c>
      <c r="D91" s="67"/>
      <c r="E91" s="16"/>
      <c r="F91" s="16">
        <v>1</v>
      </c>
      <c r="G91" s="16">
        <v>625.07000000000005</v>
      </c>
      <c r="H91" s="146">
        <f t="shared" si="9"/>
        <v>0.62507000000000001</v>
      </c>
      <c r="I91" s="16">
        <v>0</v>
      </c>
    </row>
    <row r="92" spans="1:9" ht="31.5" hidden="1" customHeight="1">
      <c r="A92" s="38"/>
      <c r="B92" s="81" t="s">
        <v>191</v>
      </c>
      <c r="C92" s="106" t="s">
        <v>88</v>
      </c>
      <c r="D92" s="67"/>
      <c r="E92" s="16"/>
      <c r="F92" s="16">
        <v>3</v>
      </c>
      <c r="G92" s="16">
        <v>771.29</v>
      </c>
      <c r="H92" s="146">
        <f t="shared" si="9"/>
        <v>2.3138700000000001</v>
      </c>
      <c r="I92" s="16">
        <v>0</v>
      </c>
    </row>
    <row r="93" spans="1:9" ht="31.5" hidden="1" customHeight="1">
      <c r="A93" s="38"/>
      <c r="B93" s="81" t="s">
        <v>192</v>
      </c>
      <c r="C93" s="106" t="s">
        <v>88</v>
      </c>
      <c r="D93" s="67"/>
      <c r="E93" s="16"/>
      <c r="F93" s="16">
        <v>2</v>
      </c>
      <c r="G93" s="16">
        <v>960.74</v>
      </c>
      <c r="H93" s="146">
        <f t="shared" si="9"/>
        <v>1.9214800000000001</v>
      </c>
      <c r="I93" s="16">
        <v>0</v>
      </c>
    </row>
    <row r="94" spans="1:9" ht="15.75" hidden="1" customHeight="1">
      <c r="A94" s="38"/>
      <c r="B94" s="81" t="s">
        <v>193</v>
      </c>
      <c r="C94" s="106" t="s">
        <v>127</v>
      </c>
      <c r="D94" s="67"/>
      <c r="E94" s="16"/>
      <c r="F94" s="16">
        <v>2</v>
      </c>
      <c r="G94" s="16">
        <v>27.36</v>
      </c>
      <c r="H94" s="146">
        <f t="shared" si="9"/>
        <v>5.4719999999999998E-2</v>
      </c>
      <c r="I94" s="16">
        <v>0</v>
      </c>
    </row>
    <row r="95" spans="1:9" ht="15.75" hidden="1" customHeight="1">
      <c r="A95" s="38"/>
      <c r="B95" s="81" t="s">
        <v>209</v>
      </c>
      <c r="C95" s="106" t="s">
        <v>127</v>
      </c>
      <c r="D95" s="67"/>
      <c r="E95" s="16"/>
      <c r="F95" s="16">
        <v>2</v>
      </c>
      <c r="G95" s="16">
        <v>50.01</v>
      </c>
      <c r="H95" s="146">
        <f t="shared" si="9"/>
        <v>0.10002</v>
      </c>
      <c r="I95" s="16">
        <v>0</v>
      </c>
    </row>
    <row r="96" spans="1:9" ht="15.75" hidden="1" customHeight="1">
      <c r="A96" s="38"/>
      <c r="B96" s="81" t="s">
        <v>210</v>
      </c>
      <c r="C96" s="106" t="s">
        <v>127</v>
      </c>
      <c r="D96" s="67"/>
      <c r="E96" s="16"/>
      <c r="F96" s="16">
        <v>1</v>
      </c>
      <c r="G96" s="16">
        <v>47.59</v>
      </c>
      <c r="H96" s="146">
        <f t="shared" si="9"/>
        <v>4.759E-2</v>
      </c>
      <c r="I96" s="16">
        <v>0</v>
      </c>
    </row>
    <row r="97" spans="1:9" ht="15.75" hidden="1" customHeight="1">
      <c r="A97" s="38"/>
      <c r="B97" s="81" t="s">
        <v>194</v>
      </c>
      <c r="C97" s="106" t="s">
        <v>127</v>
      </c>
      <c r="D97" s="67"/>
      <c r="E97" s="16"/>
      <c r="F97" s="16">
        <v>5</v>
      </c>
      <c r="G97" s="16">
        <v>109.73</v>
      </c>
      <c r="H97" s="146">
        <f t="shared" si="9"/>
        <v>0.54864999999999997</v>
      </c>
      <c r="I97" s="16">
        <v>0</v>
      </c>
    </row>
    <row r="98" spans="1:9" ht="15.75" hidden="1" customHeight="1">
      <c r="A98" s="38"/>
      <c r="B98" s="81" t="s">
        <v>195</v>
      </c>
      <c r="C98" s="106" t="s">
        <v>127</v>
      </c>
      <c r="D98" s="67"/>
      <c r="E98" s="16"/>
      <c r="F98" s="16">
        <v>2</v>
      </c>
      <c r="G98" s="16">
        <v>61.81</v>
      </c>
      <c r="H98" s="146">
        <f t="shared" si="9"/>
        <v>0.12362000000000001</v>
      </c>
      <c r="I98" s="16">
        <v>0</v>
      </c>
    </row>
    <row r="99" spans="1:9" ht="15.75" hidden="1" customHeight="1">
      <c r="A99" s="38"/>
      <c r="B99" s="81" t="s">
        <v>196</v>
      </c>
      <c r="C99" s="106" t="s">
        <v>127</v>
      </c>
      <c r="D99" s="67"/>
      <c r="E99" s="16"/>
      <c r="F99" s="16">
        <v>4</v>
      </c>
      <c r="G99" s="16">
        <v>78.89</v>
      </c>
      <c r="H99" s="146">
        <f t="shared" si="9"/>
        <v>0.31556000000000001</v>
      </c>
      <c r="I99" s="16">
        <v>0</v>
      </c>
    </row>
    <row r="100" spans="1:9" ht="31.5" hidden="1" customHeight="1">
      <c r="A100" s="38"/>
      <c r="B100" s="81" t="s">
        <v>197</v>
      </c>
      <c r="C100" s="106" t="s">
        <v>182</v>
      </c>
      <c r="D100" s="67"/>
      <c r="E100" s="16"/>
      <c r="F100" s="16">
        <v>4</v>
      </c>
      <c r="G100" s="16">
        <v>1272</v>
      </c>
      <c r="H100" s="146">
        <f t="shared" si="9"/>
        <v>5.0880000000000001</v>
      </c>
      <c r="I100" s="16">
        <v>0</v>
      </c>
    </row>
    <row r="101" spans="1:9" ht="31.5" hidden="1" customHeight="1">
      <c r="A101" s="38"/>
      <c r="B101" s="81" t="s">
        <v>198</v>
      </c>
      <c r="C101" s="106" t="s">
        <v>182</v>
      </c>
      <c r="D101" s="67"/>
      <c r="E101" s="16"/>
      <c r="F101" s="16">
        <v>4</v>
      </c>
      <c r="G101" s="16">
        <v>1206</v>
      </c>
      <c r="H101" s="146">
        <f>G101*F101/1000</f>
        <v>4.8239999999999998</v>
      </c>
      <c r="I101" s="16">
        <v>0</v>
      </c>
    </row>
    <row r="102" spans="1:9" ht="31.5" hidden="1" customHeight="1">
      <c r="A102" s="38"/>
      <c r="B102" s="81" t="s">
        <v>199</v>
      </c>
      <c r="C102" s="106" t="s">
        <v>182</v>
      </c>
      <c r="D102" s="67"/>
      <c r="E102" s="16"/>
      <c r="F102" s="16">
        <v>2</v>
      </c>
      <c r="G102" s="16">
        <v>1187</v>
      </c>
      <c r="H102" s="146">
        <f t="shared" si="9"/>
        <v>2.3740000000000001</v>
      </c>
      <c r="I102" s="16">
        <v>0</v>
      </c>
    </row>
    <row r="103" spans="1:9" ht="15.75" hidden="1" customHeight="1">
      <c r="A103" s="38"/>
      <c r="B103" s="81" t="s">
        <v>200</v>
      </c>
      <c r="C103" s="106" t="s">
        <v>201</v>
      </c>
      <c r="D103" s="18"/>
      <c r="E103" s="23"/>
      <c r="F103" s="16">
        <f>1/100</f>
        <v>0.01</v>
      </c>
      <c r="G103" s="16">
        <v>7033.13</v>
      </c>
      <c r="H103" s="146">
        <f t="shared" si="9"/>
        <v>7.0331299999999999E-2</v>
      </c>
      <c r="I103" s="16">
        <v>0</v>
      </c>
    </row>
    <row r="104" spans="1:9" ht="31.5" hidden="1" customHeight="1">
      <c r="A104" s="38"/>
      <c r="B104" s="81" t="s">
        <v>202</v>
      </c>
      <c r="C104" s="106" t="s">
        <v>127</v>
      </c>
      <c r="D104" s="18"/>
      <c r="E104" s="23"/>
      <c r="F104" s="16">
        <v>1</v>
      </c>
      <c r="G104" s="16">
        <v>2179.33</v>
      </c>
      <c r="H104" s="146">
        <f t="shared" si="9"/>
        <v>2.1793299999999998</v>
      </c>
      <c r="I104" s="16">
        <v>0</v>
      </c>
    </row>
    <row r="105" spans="1:9" ht="15.75" hidden="1" customHeight="1">
      <c r="A105" s="38"/>
      <c r="B105" s="81" t="s">
        <v>203</v>
      </c>
      <c r="C105" s="106" t="s">
        <v>188</v>
      </c>
      <c r="D105" s="18"/>
      <c r="E105" s="23"/>
      <c r="F105" s="16">
        <v>1</v>
      </c>
      <c r="G105" s="16">
        <v>302</v>
      </c>
      <c r="H105" s="146">
        <f t="shared" si="9"/>
        <v>0.30199999999999999</v>
      </c>
      <c r="I105" s="16">
        <v>0</v>
      </c>
    </row>
    <row r="106" spans="1:9" ht="15.75" hidden="1" customHeight="1">
      <c r="A106" s="38"/>
      <c r="B106" s="81" t="s">
        <v>204</v>
      </c>
      <c r="C106" s="168" t="s">
        <v>205</v>
      </c>
      <c r="D106" s="67"/>
      <c r="E106" s="16"/>
      <c r="F106" s="16">
        <v>1</v>
      </c>
      <c r="G106" s="16">
        <v>286.55</v>
      </c>
      <c r="H106" s="146">
        <f>G106*F106/1000</f>
        <v>0.28655000000000003</v>
      </c>
      <c r="I106" s="16">
        <v>0</v>
      </c>
    </row>
    <row r="107" spans="1:9" ht="15.75" hidden="1" customHeight="1">
      <c r="A107" s="38"/>
      <c r="B107" s="81" t="s">
        <v>206</v>
      </c>
      <c r="C107" s="106" t="s">
        <v>182</v>
      </c>
      <c r="D107" s="18"/>
      <c r="E107" s="23"/>
      <c r="F107" s="16">
        <v>10</v>
      </c>
      <c r="G107" s="16">
        <v>83.63</v>
      </c>
      <c r="H107" s="146">
        <f t="shared" si="9"/>
        <v>0.83629999999999993</v>
      </c>
      <c r="I107" s="16">
        <v>0</v>
      </c>
    </row>
    <row r="108" spans="1:9" ht="15.75" hidden="1" customHeight="1">
      <c r="A108" s="38"/>
      <c r="B108" s="81" t="s">
        <v>207</v>
      </c>
      <c r="C108" s="106" t="s">
        <v>127</v>
      </c>
      <c r="D108" s="18"/>
      <c r="E108" s="23"/>
      <c r="F108" s="16">
        <v>1</v>
      </c>
      <c r="G108" s="16">
        <v>149.63999999999999</v>
      </c>
      <c r="H108" s="146">
        <f t="shared" si="9"/>
        <v>0.14964</v>
      </c>
      <c r="I108" s="16">
        <v>0</v>
      </c>
    </row>
    <row r="109" spans="1:9" ht="15.75" hidden="1" customHeight="1">
      <c r="A109" s="38"/>
      <c r="B109" s="148" t="s">
        <v>97</v>
      </c>
      <c r="C109" s="106" t="s">
        <v>127</v>
      </c>
      <c r="D109" s="18"/>
      <c r="E109" s="23"/>
      <c r="F109" s="16">
        <v>1</v>
      </c>
      <c r="G109" s="16">
        <v>179.96</v>
      </c>
      <c r="H109" s="146">
        <f t="shared" si="9"/>
        <v>0.17996000000000001</v>
      </c>
      <c r="I109" s="16">
        <v>0</v>
      </c>
    </row>
    <row r="110" spans="1:9" ht="15.75" hidden="1" customHeight="1">
      <c r="A110" s="38"/>
      <c r="B110" s="148" t="s">
        <v>208</v>
      </c>
      <c r="C110" s="106" t="s">
        <v>188</v>
      </c>
      <c r="D110" s="18"/>
      <c r="E110" s="23"/>
      <c r="F110" s="16">
        <v>1</v>
      </c>
      <c r="G110" s="16">
        <v>60121</v>
      </c>
      <c r="H110" s="146">
        <f t="shared" si="9"/>
        <v>60.121000000000002</v>
      </c>
      <c r="I110" s="16">
        <v>0</v>
      </c>
    </row>
    <row r="111" spans="1:9" ht="15.75" customHeight="1">
      <c r="A111" s="38"/>
      <c r="B111" s="61" t="s">
        <v>50</v>
      </c>
      <c r="C111" s="57"/>
      <c r="D111" s="71"/>
      <c r="E111" s="57">
        <v>1</v>
      </c>
      <c r="F111" s="57"/>
      <c r="G111" s="57"/>
      <c r="H111" s="57"/>
      <c r="I111" s="40">
        <f>SUM(I86:I110)</f>
        <v>0</v>
      </c>
    </row>
    <row r="112" spans="1:9" ht="15.75" customHeight="1">
      <c r="A112" s="38"/>
      <c r="B112" s="67" t="s">
        <v>83</v>
      </c>
      <c r="C112" s="19"/>
      <c r="D112" s="19"/>
      <c r="E112" s="58"/>
      <c r="F112" s="58"/>
      <c r="G112" s="59"/>
      <c r="H112" s="59"/>
      <c r="I112" s="22">
        <v>0</v>
      </c>
    </row>
    <row r="113" spans="1:9" ht="15.75" customHeight="1">
      <c r="A113" s="72"/>
      <c r="B113" s="62" t="s">
        <v>51</v>
      </c>
      <c r="C113" s="46"/>
      <c r="D113" s="46"/>
      <c r="E113" s="46"/>
      <c r="F113" s="46"/>
      <c r="G113" s="46"/>
      <c r="H113" s="46"/>
      <c r="I113" s="60">
        <f>I84+I111</f>
        <v>50936.561082666667</v>
      </c>
    </row>
    <row r="114" spans="1:9" ht="15.75" customHeight="1">
      <c r="A114" s="124" t="s">
        <v>236</v>
      </c>
      <c r="B114" s="124"/>
      <c r="C114" s="124"/>
      <c r="D114" s="124"/>
      <c r="E114" s="124"/>
      <c r="F114" s="124"/>
      <c r="G114" s="124"/>
      <c r="H114" s="124"/>
      <c r="I114" s="124"/>
    </row>
    <row r="115" spans="1:9" ht="15.75" customHeight="1">
      <c r="A115" s="113"/>
      <c r="B115" s="125" t="s">
        <v>237</v>
      </c>
      <c r="C115" s="125"/>
      <c r="D115" s="125"/>
      <c r="E115" s="125"/>
      <c r="F115" s="125"/>
      <c r="G115" s="125"/>
      <c r="H115" s="145"/>
      <c r="I115" s="3"/>
    </row>
    <row r="116" spans="1:9" ht="15.75" customHeight="1">
      <c r="A116" s="109"/>
      <c r="B116" s="126" t="s">
        <v>6</v>
      </c>
      <c r="C116" s="126"/>
      <c r="D116" s="126"/>
      <c r="E116" s="126"/>
      <c r="F116" s="126"/>
      <c r="G116" s="126"/>
      <c r="H116" s="33"/>
      <c r="I116" s="5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5.75" customHeight="1">
      <c r="A118" s="127" t="s">
        <v>7</v>
      </c>
      <c r="B118" s="127"/>
      <c r="C118" s="127"/>
      <c r="D118" s="127"/>
      <c r="E118" s="127"/>
      <c r="F118" s="127"/>
      <c r="G118" s="127"/>
      <c r="H118" s="127"/>
      <c r="I118" s="127"/>
    </row>
    <row r="119" spans="1:9" ht="15.75" customHeight="1">
      <c r="A119" s="127" t="s">
        <v>8</v>
      </c>
      <c r="B119" s="127"/>
      <c r="C119" s="127"/>
      <c r="D119" s="127"/>
      <c r="E119" s="127"/>
      <c r="F119" s="127"/>
      <c r="G119" s="127"/>
      <c r="H119" s="127"/>
      <c r="I119" s="127"/>
    </row>
    <row r="120" spans="1:9" ht="15.75">
      <c r="A120" s="120" t="s">
        <v>62</v>
      </c>
      <c r="B120" s="120"/>
      <c r="C120" s="120"/>
      <c r="D120" s="120"/>
      <c r="E120" s="120"/>
      <c r="F120" s="120"/>
      <c r="G120" s="120"/>
      <c r="H120" s="120"/>
      <c r="I120" s="120"/>
    </row>
    <row r="121" spans="1:9" ht="15.75" customHeight="1">
      <c r="A121" s="11"/>
    </row>
    <row r="122" spans="1:9" ht="15.75" customHeight="1">
      <c r="A122" s="129" t="s">
        <v>9</v>
      </c>
      <c r="B122" s="129"/>
      <c r="C122" s="129"/>
      <c r="D122" s="129"/>
      <c r="E122" s="129"/>
      <c r="F122" s="129"/>
      <c r="G122" s="129"/>
      <c r="H122" s="129"/>
      <c r="I122" s="129"/>
    </row>
    <row r="123" spans="1:9" ht="15.75" customHeight="1">
      <c r="A123" s="4"/>
    </row>
    <row r="124" spans="1:9" ht="15.75" customHeight="1">
      <c r="B124" s="110" t="s">
        <v>10</v>
      </c>
      <c r="C124" s="140" t="s">
        <v>174</v>
      </c>
      <c r="D124" s="140"/>
      <c r="E124" s="140"/>
      <c r="F124" s="143"/>
      <c r="I124" s="108"/>
    </row>
    <row r="125" spans="1:9" ht="15.75" customHeight="1">
      <c r="A125" s="109"/>
      <c r="C125" s="126" t="s">
        <v>11</v>
      </c>
      <c r="D125" s="126"/>
      <c r="E125" s="126"/>
      <c r="F125" s="33"/>
      <c r="I125" s="107" t="s">
        <v>12</v>
      </c>
    </row>
    <row r="126" spans="1:9" ht="15.75" customHeight="1">
      <c r="A126" s="34"/>
      <c r="C126" s="12"/>
      <c r="D126" s="12"/>
      <c r="G126" s="12"/>
      <c r="H126" s="12"/>
    </row>
    <row r="127" spans="1:9" ht="15.75" customHeight="1">
      <c r="B127" s="110" t="s">
        <v>13</v>
      </c>
      <c r="C127" s="130"/>
      <c r="D127" s="130"/>
      <c r="E127" s="130"/>
      <c r="F127" s="144"/>
      <c r="I127" s="108"/>
    </row>
    <row r="128" spans="1:9">
      <c r="A128" s="109"/>
      <c r="C128" s="131" t="s">
        <v>11</v>
      </c>
      <c r="D128" s="131"/>
      <c r="E128" s="131"/>
      <c r="F128" s="109"/>
      <c r="I128" s="107" t="s">
        <v>12</v>
      </c>
    </row>
    <row r="129" spans="1:9" ht="15.75" customHeight="1">
      <c r="A129" s="4" t="s">
        <v>14</v>
      </c>
    </row>
    <row r="130" spans="1:9" ht="15.75" customHeight="1">
      <c r="A130" s="132" t="s">
        <v>15</v>
      </c>
      <c r="B130" s="132"/>
      <c r="C130" s="132"/>
      <c r="D130" s="132"/>
      <c r="E130" s="132"/>
      <c r="F130" s="132"/>
      <c r="G130" s="132"/>
      <c r="H130" s="132"/>
      <c r="I130" s="132"/>
    </row>
    <row r="131" spans="1:9" ht="45" customHeight="1">
      <c r="A131" s="128" t="s">
        <v>16</v>
      </c>
      <c r="B131" s="128"/>
      <c r="C131" s="128"/>
      <c r="D131" s="128"/>
      <c r="E131" s="128"/>
      <c r="F131" s="128"/>
      <c r="G131" s="128"/>
      <c r="H131" s="128"/>
      <c r="I131" s="128"/>
    </row>
    <row r="132" spans="1:9" ht="30" customHeight="1">
      <c r="A132" s="128" t="s">
        <v>17</v>
      </c>
      <c r="B132" s="128"/>
      <c r="C132" s="128"/>
      <c r="D132" s="128"/>
      <c r="E132" s="128"/>
      <c r="F132" s="128"/>
      <c r="G132" s="128"/>
      <c r="H132" s="128"/>
      <c r="I132" s="128"/>
    </row>
    <row r="133" spans="1:9" ht="30" customHeight="1">
      <c r="A133" s="128" t="s">
        <v>21</v>
      </c>
      <c r="B133" s="128"/>
      <c r="C133" s="128"/>
      <c r="D133" s="128"/>
      <c r="E133" s="128"/>
      <c r="F133" s="128"/>
      <c r="G133" s="128"/>
      <c r="H133" s="128"/>
      <c r="I133" s="128"/>
    </row>
    <row r="134" spans="1:9" ht="15" customHeight="1">
      <c r="A134" s="128" t="s">
        <v>20</v>
      </c>
      <c r="B134" s="128"/>
      <c r="C134" s="128"/>
      <c r="D134" s="128"/>
      <c r="E134" s="128"/>
      <c r="F134" s="128"/>
      <c r="G134" s="128"/>
      <c r="H134" s="128"/>
      <c r="I134" s="128"/>
    </row>
  </sheetData>
  <autoFilter ref="I12:I61"/>
  <mergeCells count="28">
    <mergeCell ref="A131:I131"/>
    <mergeCell ref="A132:I132"/>
    <mergeCell ref="A133:I133"/>
    <mergeCell ref="A134:I134"/>
    <mergeCell ref="A122:I122"/>
    <mergeCell ref="C124:E124"/>
    <mergeCell ref="C125:E125"/>
    <mergeCell ref="C127:E127"/>
    <mergeCell ref="C128:E128"/>
    <mergeCell ref="A130:I130"/>
    <mergeCell ref="A114:I114"/>
    <mergeCell ref="B115:G115"/>
    <mergeCell ref="B116:G116"/>
    <mergeCell ref="A118:I118"/>
    <mergeCell ref="A119:I119"/>
    <mergeCell ref="A120:I120"/>
    <mergeCell ref="A15:I15"/>
    <mergeCell ref="A29:I29"/>
    <mergeCell ref="A45:I45"/>
    <mergeCell ref="A55:I55"/>
    <mergeCell ref="R66:U66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'05.16'!Заголовки_для_печати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2017-05-15T13:43:54Z</cp:lastPrinted>
  <dcterms:created xsi:type="dcterms:W3CDTF">2016-03-25T08:33:47Z</dcterms:created>
  <dcterms:modified xsi:type="dcterms:W3CDTF">2017-05-15T13:43:56Z</dcterms:modified>
</cp:coreProperties>
</file>