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-45" windowWidth="15480" windowHeight="11280" activeTab="11"/>
  </bookViews>
  <sheets>
    <sheet name="01.19" sheetId="27" r:id="rId1"/>
    <sheet name="02.19" sheetId="28" r:id="rId2"/>
    <sheet name="03.19" sheetId="29" r:id="rId3"/>
    <sheet name="04.19" sheetId="30" r:id="rId4"/>
    <sheet name="05.19" sheetId="31" r:id="rId5"/>
    <sheet name="06.19" sheetId="32" r:id="rId6"/>
    <sheet name="07.19" sheetId="33" r:id="rId7"/>
    <sheet name="08.19" sheetId="34" r:id="rId8"/>
    <sheet name="09.19" sheetId="25" r:id="rId9"/>
    <sheet name="10.19" sheetId="26" r:id="rId10"/>
    <sheet name="11.19" sheetId="35" r:id="rId11"/>
    <sheet name="12.19" sheetId="36" r:id="rId12"/>
  </sheets>
  <definedNames>
    <definedName name="_xlnm._FilterDatabase" localSheetId="0" hidden="1">'01.19'!$I$12:$I$55</definedName>
    <definedName name="_xlnm._FilterDatabase" localSheetId="1" hidden="1">'02.19'!$I$12:$I$55</definedName>
    <definedName name="_xlnm._FilterDatabase" localSheetId="2" hidden="1">'03.19'!$I$12:$I$56</definedName>
    <definedName name="_xlnm._FilterDatabase" localSheetId="3" hidden="1">'04.19'!$I$12:$I$56</definedName>
    <definedName name="_xlnm._FilterDatabase" localSheetId="4" hidden="1">'05.19'!$I$12:$I$54</definedName>
    <definedName name="_xlnm._FilterDatabase" localSheetId="5" hidden="1">'06.19'!$I$12:$I$54</definedName>
    <definedName name="_xlnm._FilterDatabase" localSheetId="6" hidden="1">'07.19'!$I$12:$I$55</definedName>
    <definedName name="_xlnm._FilterDatabase" localSheetId="7" hidden="1">'08.19'!$I$12:$I$54</definedName>
    <definedName name="_xlnm._FilterDatabase" localSheetId="8" hidden="1">'09.19'!$I$12:$I$54</definedName>
    <definedName name="_xlnm._FilterDatabase" localSheetId="9" hidden="1">'10.19'!$I$12:$I$54</definedName>
    <definedName name="_xlnm._FilterDatabase" localSheetId="10" hidden="1">'11.19'!$I$12:$I$56</definedName>
    <definedName name="_xlnm._FilterDatabase" localSheetId="11" hidden="1">'12.19'!$I$12:$I$56</definedName>
    <definedName name="_xlnm.Print_Area" localSheetId="0">'01.19'!$A$1:$I$111</definedName>
    <definedName name="_xlnm.Print_Area" localSheetId="1">'02.19'!$A$1:$I$113</definedName>
    <definedName name="_xlnm.Print_Area" localSheetId="2">'03.19'!$A$1:$I$114</definedName>
    <definedName name="_xlnm.Print_Area" localSheetId="3">'04.19'!$A$1:$I$115</definedName>
    <definedName name="_xlnm.Print_Area" localSheetId="4">'05.19'!$A$1:$I$114</definedName>
    <definedName name="_xlnm.Print_Area" localSheetId="5">'06.19'!$A$1:$I$110</definedName>
    <definedName name="_xlnm.Print_Area" localSheetId="6">'07.19'!$A$1:$I$111</definedName>
    <definedName name="_xlnm.Print_Area" localSheetId="7">'08.19'!$A$1:$I$108</definedName>
    <definedName name="_xlnm.Print_Area" localSheetId="8">'09.19'!$A$1:$I$110</definedName>
    <definedName name="_xlnm.Print_Area" localSheetId="9">'10.19'!$A$1:$I$115</definedName>
    <definedName name="_xlnm.Print_Area" localSheetId="10">'11.19'!$A$1:$I$112</definedName>
    <definedName name="_xlnm.Print_Area" localSheetId="11">'12.19'!$A$1:$I$111</definedName>
  </definedNames>
  <calcPr calcId="124519"/>
</workbook>
</file>

<file path=xl/calcChain.xml><?xml version="1.0" encoding="utf-8"?>
<calcChain xmlns="http://schemas.openxmlformats.org/spreadsheetml/2006/main">
  <c r="I85" i="36"/>
  <c r="I87"/>
  <c r="H87"/>
  <c r="I43"/>
  <c r="H43"/>
  <c r="F42"/>
  <c r="H42" s="1"/>
  <c r="F41"/>
  <c r="I41" s="1"/>
  <c r="F40"/>
  <c r="H40" s="1"/>
  <c r="F39"/>
  <c r="I39" s="1"/>
  <c r="I38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9" i="35"/>
  <c r="I88"/>
  <c r="I87"/>
  <c r="I38"/>
  <c r="F27"/>
  <c r="H27" s="1"/>
  <c r="H26"/>
  <c r="F26"/>
  <c r="I26" s="1"/>
  <c r="F25"/>
  <c r="H25" s="1"/>
  <c r="H24"/>
  <c r="F24"/>
  <c r="I24" s="1"/>
  <c r="F23"/>
  <c r="H23" s="1"/>
  <c r="H22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H17" i="36" l="1"/>
  <c r="H20"/>
  <c r="H24"/>
  <c r="H39"/>
  <c r="H22"/>
  <c r="H41"/>
  <c r="I40"/>
  <c r="I42"/>
  <c r="I18"/>
  <c r="H18"/>
  <c r="I16"/>
  <c r="I19"/>
  <c r="I21"/>
  <c r="I23"/>
  <c r="I25"/>
  <c r="H26"/>
  <c r="I27"/>
  <c r="I18" i="35"/>
  <c r="H18"/>
  <c r="I16"/>
  <c r="I19"/>
  <c r="I21"/>
  <c r="I23"/>
  <c r="I25"/>
  <c r="I27"/>
  <c r="I92" i="26" l="1"/>
  <c r="I91"/>
  <c r="I90"/>
  <c r="I89"/>
  <c r="I88"/>
  <c r="I87"/>
  <c r="I86"/>
  <c r="I85"/>
  <c r="F31"/>
  <c r="H31" s="1"/>
  <c r="F30"/>
  <c r="I30" s="1"/>
  <c r="F27"/>
  <c r="H27" s="1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E18"/>
  <c r="F18" s="1"/>
  <c r="I18" s="1"/>
  <c r="F17"/>
  <c r="I17" s="1"/>
  <c r="F16"/>
  <c r="I16" s="1"/>
  <c r="I83" i="25"/>
  <c r="I79"/>
  <c r="I86"/>
  <c r="I85"/>
  <c r="I87" s="1"/>
  <c r="F31"/>
  <c r="H31" s="1"/>
  <c r="F30"/>
  <c r="I30" s="1"/>
  <c r="F27"/>
  <c r="H27" s="1"/>
  <c r="E18"/>
  <c r="F18" s="1"/>
  <c r="F17"/>
  <c r="I17" s="1"/>
  <c r="F16"/>
  <c r="I16" s="1"/>
  <c r="F31" i="34"/>
  <c r="H31" s="1"/>
  <c r="F30"/>
  <c r="I30" s="1"/>
  <c r="F27"/>
  <c r="H27" s="1"/>
  <c r="E18"/>
  <c r="F18" s="1"/>
  <c r="F17"/>
  <c r="I17" s="1"/>
  <c r="F16"/>
  <c r="H16" s="1"/>
  <c r="I86" i="33"/>
  <c r="H19" i="26" l="1"/>
  <c r="H23"/>
  <c r="H16"/>
  <c r="H21"/>
  <c r="H25"/>
  <c r="H30"/>
  <c r="I31"/>
  <c r="H17"/>
  <c r="H18"/>
  <c r="H20"/>
  <c r="H22"/>
  <c r="H24"/>
  <c r="H26"/>
  <c r="I27"/>
  <c r="H17" i="25"/>
  <c r="H30"/>
  <c r="I31"/>
  <c r="I27"/>
  <c r="H18"/>
  <c r="I18"/>
  <c r="H16"/>
  <c r="H17" i="34"/>
  <c r="H30"/>
  <c r="I31"/>
  <c r="I27"/>
  <c r="H18"/>
  <c r="I18"/>
  <c r="I16"/>
  <c r="I57" i="33"/>
  <c r="I87"/>
  <c r="I88"/>
  <c r="I62"/>
  <c r="I83" i="32"/>
  <c r="F27"/>
  <c r="H27" s="1"/>
  <c r="F26"/>
  <c r="I26" s="1"/>
  <c r="F25"/>
  <c r="H25" s="1"/>
  <c r="H24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4" i="31"/>
  <c r="E18"/>
  <c r="F18" s="1"/>
  <c r="F17"/>
  <c r="I17" s="1"/>
  <c r="F16"/>
  <c r="I16" s="1"/>
  <c r="F27"/>
  <c r="H27" s="1"/>
  <c r="F27" i="30"/>
  <c r="H27" s="1"/>
  <c r="H26"/>
  <c r="F26"/>
  <c r="I26" s="1"/>
  <c r="F25"/>
  <c r="H25" s="1"/>
  <c r="H24"/>
  <c r="F24"/>
  <c r="I24" s="1"/>
  <c r="F23"/>
  <c r="H23" s="1"/>
  <c r="H22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F27" i="29"/>
  <c r="H27" s="1"/>
  <c r="H26"/>
  <c r="F26"/>
  <c r="I26" s="1"/>
  <c r="F25"/>
  <c r="H25" s="1"/>
  <c r="H24"/>
  <c r="F24"/>
  <c r="I24" s="1"/>
  <c r="F23"/>
  <c r="H23" s="1"/>
  <c r="H22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F27" i="28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27" i="27"/>
  <c r="H27" s="1"/>
  <c r="F26"/>
  <c r="I26" s="1"/>
  <c r="F25"/>
  <c r="H25" s="1"/>
  <c r="F24"/>
  <c r="I24" s="1"/>
  <c r="F23"/>
  <c r="H23" s="1"/>
  <c r="H22"/>
  <c r="F22"/>
  <c r="I22" s="1"/>
  <c r="F21"/>
  <c r="H21" s="1"/>
  <c r="F20"/>
  <c r="I20" s="1"/>
  <c r="F19"/>
  <c r="H19" s="1"/>
  <c r="E18"/>
  <c r="F18" s="1"/>
  <c r="H17"/>
  <c r="F17"/>
  <c r="I17" s="1"/>
  <c r="F16"/>
  <c r="H16" s="1"/>
  <c r="F27" i="33"/>
  <c r="I61" i="32"/>
  <c r="I86"/>
  <c r="I85"/>
  <c r="I87" s="1"/>
  <c r="I52" i="31"/>
  <c r="I90"/>
  <c r="I87"/>
  <c r="I86"/>
  <c r="I91" s="1"/>
  <c r="I56"/>
  <c r="I92" i="30"/>
  <c r="I91"/>
  <c r="I90"/>
  <c r="I89"/>
  <c r="I88"/>
  <c r="I87"/>
  <c r="I38"/>
  <c r="I90" i="29"/>
  <c r="I89"/>
  <c r="I88"/>
  <c r="I87"/>
  <c r="I91" s="1"/>
  <c r="I57"/>
  <c r="I38"/>
  <c r="I73" i="28"/>
  <c r="I72"/>
  <c r="I53"/>
  <c r="I89"/>
  <c r="I88"/>
  <c r="I87"/>
  <c r="I86"/>
  <c r="I90" s="1"/>
  <c r="I37"/>
  <c r="H17" i="32" l="1"/>
  <c r="H20"/>
  <c r="H22"/>
  <c r="H26"/>
  <c r="I18"/>
  <c r="H18"/>
  <c r="I16"/>
  <c r="I19"/>
  <c r="I21"/>
  <c r="I23"/>
  <c r="I25"/>
  <c r="I27"/>
  <c r="H17" i="31"/>
  <c r="H18"/>
  <c r="I18"/>
  <c r="H16"/>
  <c r="I27"/>
  <c r="I18" i="30"/>
  <c r="H18"/>
  <c r="I16"/>
  <c r="I19"/>
  <c r="I21"/>
  <c r="I23"/>
  <c r="I25"/>
  <c r="I27"/>
  <c r="I18" i="29"/>
  <c r="H18"/>
  <c r="I16"/>
  <c r="I19"/>
  <c r="I21"/>
  <c r="I23"/>
  <c r="I25"/>
  <c r="I27"/>
  <c r="I18" i="28"/>
  <c r="H18"/>
  <c r="I16"/>
  <c r="H17"/>
  <c r="I19"/>
  <c r="H20"/>
  <c r="I21"/>
  <c r="H22"/>
  <c r="I23"/>
  <c r="H24"/>
  <c r="I25"/>
  <c r="H26"/>
  <c r="I27"/>
  <c r="I18" i="27"/>
  <c r="H18"/>
  <c r="I16"/>
  <c r="I19"/>
  <c r="H20"/>
  <c r="I21"/>
  <c r="I23"/>
  <c r="H24"/>
  <c r="I25"/>
  <c r="H26"/>
  <c r="I27"/>
  <c r="I37"/>
  <c r="I87" l="1"/>
  <c r="I86"/>
  <c r="I88" s="1"/>
  <c r="I61" i="36"/>
  <c r="H61"/>
  <c r="I43" i="35" l="1"/>
  <c r="I56" i="28" l="1"/>
  <c r="I80" i="33" l="1"/>
  <c r="I79" i="32" l="1"/>
  <c r="H87" i="30" l="1"/>
  <c r="I61"/>
  <c r="I43"/>
  <c r="F61" i="29"/>
  <c r="I43"/>
  <c r="I42" i="28"/>
  <c r="I42" i="27"/>
  <c r="H87" i="28" l="1"/>
  <c r="F60"/>
  <c r="H87" i="27"/>
  <c r="H86"/>
  <c r="F60"/>
  <c r="H60" s="1"/>
  <c r="E84" i="36" l="1"/>
  <c r="F84" s="1"/>
  <c r="I84" s="1"/>
  <c r="F83"/>
  <c r="I83" s="1"/>
  <c r="I81"/>
  <c r="H81"/>
  <c r="H79"/>
  <c r="I78"/>
  <c r="I77"/>
  <c r="H77"/>
  <c r="F77"/>
  <c r="H76"/>
  <c r="I75"/>
  <c r="H75"/>
  <c r="H74"/>
  <c r="H73"/>
  <c r="F73"/>
  <c r="F71"/>
  <c r="H71" s="1"/>
  <c r="I70"/>
  <c r="H70"/>
  <c r="F69"/>
  <c r="H69" s="1"/>
  <c r="F68"/>
  <c r="H68" s="1"/>
  <c r="F67"/>
  <c r="H67" s="1"/>
  <c r="F66"/>
  <c r="H66" s="1"/>
  <c r="F65"/>
  <c r="H65" s="1"/>
  <c r="F64"/>
  <c r="H64" s="1"/>
  <c r="I63"/>
  <c r="H63"/>
  <c r="F63"/>
  <c r="F60"/>
  <c r="H60" s="1"/>
  <c r="I58"/>
  <c r="H58"/>
  <c r="F57"/>
  <c r="I57" s="1"/>
  <c r="I54"/>
  <c r="H54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F45"/>
  <c r="I45" s="1"/>
  <c r="H38"/>
  <c r="H36"/>
  <c r="H35"/>
  <c r="F34"/>
  <c r="H34" s="1"/>
  <c r="E34"/>
  <c r="F33"/>
  <c r="H33" s="1"/>
  <c r="F32"/>
  <c r="I32" s="1"/>
  <c r="F31"/>
  <c r="H31" s="1"/>
  <c r="F28"/>
  <c r="I28" s="1"/>
  <c r="H88" i="35"/>
  <c r="H87"/>
  <c r="E84"/>
  <c r="F84" s="1"/>
  <c r="F83"/>
  <c r="H83" s="1"/>
  <c r="I81"/>
  <c r="H81"/>
  <c r="H79"/>
  <c r="I78"/>
  <c r="I77"/>
  <c r="F77"/>
  <c r="H77" s="1"/>
  <c r="H76"/>
  <c r="I75"/>
  <c r="H75"/>
  <c r="H74"/>
  <c r="F73"/>
  <c r="H73" s="1"/>
  <c r="F71"/>
  <c r="H71" s="1"/>
  <c r="I70"/>
  <c r="H70"/>
  <c r="F69"/>
  <c r="H69" s="1"/>
  <c r="F68"/>
  <c r="H68" s="1"/>
  <c r="F67"/>
  <c r="H67" s="1"/>
  <c r="F66"/>
  <c r="H66" s="1"/>
  <c r="F65"/>
  <c r="H65" s="1"/>
  <c r="F64"/>
  <c r="H64" s="1"/>
  <c r="I63"/>
  <c r="F63"/>
  <c r="H63" s="1"/>
  <c r="H61"/>
  <c r="F60"/>
  <c r="H60" s="1"/>
  <c r="I58"/>
  <c r="H58"/>
  <c r="F57"/>
  <c r="H57" s="1"/>
  <c r="I54"/>
  <c r="H54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F45"/>
  <c r="H45" s="1"/>
  <c r="H43"/>
  <c r="F42"/>
  <c r="I42" s="1"/>
  <c r="F41"/>
  <c r="H41" s="1"/>
  <c r="F40"/>
  <c r="I40" s="1"/>
  <c r="F39"/>
  <c r="H39" s="1"/>
  <c r="H38"/>
  <c r="H36"/>
  <c r="H35"/>
  <c r="F34"/>
  <c r="I34" s="1"/>
  <c r="E34"/>
  <c r="F33"/>
  <c r="I33" s="1"/>
  <c r="F32"/>
  <c r="H32" s="1"/>
  <c r="F31"/>
  <c r="I31" s="1"/>
  <c r="F28"/>
  <c r="H28" s="1"/>
  <c r="F88" i="26"/>
  <c r="H88" s="1"/>
  <c r="H87"/>
  <c r="H86"/>
  <c r="I73"/>
  <c r="I56"/>
  <c r="H86" i="25"/>
  <c r="I61"/>
  <c r="F52"/>
  <c r="I61" i="34"/>
  <c r="E82"/>
  <c r="F82" s="1"/>
  <c r="F81"/>
  <c r="I81" s="1"/>
  <c r="H79"/>
  <c r="H77"/>
  <c r="I76"/>
  <c r="I75"/>
  <c r="H75"/>
  <c r="F75"/>
  <c r="H74"/>
  <c r="I73"/>
  <c r="H73"/>
  <c r="H72"/>
  <c r="H71"/>
  <c r="F71"/>
  <c r="F69"/>
  <c r="H69" s="1"/>
  <c r="I68"/>
  <c r="H68"/>
  <c r="F67"/>
  <c r="I67" s="1"/>
  <c r="F66"/>
  <c r="H66" s="1"/>
  <c r="F65"/>
  <c r="I65" s="1"/>
  <c r="F64"/>
  <c r="H64" s="1"/>
  <c r="F63"/>
  <c r="I63" s="1"/>
  <c r="F62"/>
  <c r="H62" s="1"/>
  <c r="F61"/>
  <c r="H61" s="1"/>
  <c r="H59"/>
  <c r="I59"/>
  <c r="F58"/>
  <c r="H58" s="1"/>
  <c r="H56"/>
  <c r="F55"/>
  <c r="I55" s="1"/>
  <c r="H52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F43"/>
  <c r="H43" s="1"/>
  <c r="I41"/>
  <c r="H41"/>
  <c r="F40"/>
  <c r="I40" s="1"/>
  <c r="F39"/>
  <c r="H39" s="1"/>
  <c r="F38"/>
  <c r="I38" s="1"/>
  <c r="F37"/>
  <c r="H37" s="1"/>
  <c r="I36"/>
  <c r="H36"/>
  <c r="H34"/>
  <c r="H33"/>
  <c r="F32"/>
  <c r="I32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H50" l="1"/>
  <c r="H46"/>
  <c r="H65"/>
  <c r="H57" i="36"/>
  <c r="H80" s="1"/>
  <c r="I88"/>
  <c r="H49"/>
  <c r="H51"/>
  <c r="H28"/>
  <c r="I31"/>
  <c r="H32"/>
  <c r="I33"/>
  <c r="I34"/>
  <c r="H45"/>
  <c r="I46"/>
  <c r="H47"/>
  <c r="I48"/>
  <c r="I50"/>
  <c r="I52"/>
  <c r="I71"/>
  <c r="H83"/>
  <c r="H84"/>
  <c r="H85" s="1"/>
  <c r="H42" i="35"/>
  <c r="H34"/>
  <c r="I57"/>
  <c r="H80"/>
  <c r="H33"/>
  <c r="H31"/>
  <c r="H48"/>
  <c r="H52"/>
  <c r="H40"/>
  <c r="H46"/>
  <c r="H50"/>
  <c r="H84"/>
  <c r="H85" s="1"/>
  <c r="I84"/>
  <c r="I28"/>
  <c r="I32"/>
  <c r="I39"/>
  <c r="I41"/>
  <c r="I45"/>
  <c r="I47"/>
  <c r="I49"/>
  <c r="I51"/>
  <c r="I61"/>
  <c r="I85" s="1"/>
  <c r="I71"/>
  <c r="I83"/>
  <c r="H19" i="34"/>
  <c r="H23"/>
  <c r="H32"/>
  <c r="H38"/>
  <c r="H44"/>
  <c r="H48"/>
  <c r="H55"/>
  <c r="H63"/>
  <c r="H67"/>
  <c r="H21"/>
  <c r="H25"/>
  <c r="H40"/>
  <c r="I82"/>
  <c r="H82"/>
  <c r="H83" s="1"/>
  <c r="I20"/>
  <c r="I22"/>
  <c r="I24"/>
  <c r="I26"/>
  <c r="I37"/>
  <c r="I39"/>
  <c r="I43"/>
  <c r="I45"/>
  <c r="I47"/>
  <c r="I49"/>
  <c r="I52"/>
  <c r="I83" s="1"/>
  <c r="I64"/>
  <c r="I66"/>
  <c r="I69"/>
  <c r="H81"/>
  <c r="I90" i="36" l="1"/>
  <c r="I91" i="35"/>
  <c r="I87" i="34"/>
  <c r="H78"/>
  <c r="H86" i="33" l="1"/>
  <c r="E83"/>
  <c r="F83" s="1"/>
  <c r="F82"/>
  <c r="I82" s="1"/>
  <c r="H80"/>
  <c r="H78"/>
  <c r="I77"/>
  <c r="I76"/>
  <c r="F76"/>
  <c r="H76" s="1"/>
  <c r="H75"/>
  <c r="I74"/>
  <c r="H74"/>
  <c r="H73"/>
  <c r="F72"/>
  <c r="H72" s="1"/>
  <c r="F70"/>
  <c r="I70" s="1"/>
  <c r="I69"/>
  <c r="H69"/>
  <c r="F68"/>
  <c r="I68" s="1"/>
  <c r="F67"/>
  <c r="I67" s="1"/>
  <c r="F66"/>
  <c r="I66" s="1"/>
  <c r="F65"/>
  <c r="I65" s="1"/>
  <c r="F64"/>
  <c r="I64" s="1"/>
  <c r="F63"/>
  <c r="H63" s="1"/>
  <c r="F62"/>
  <c r="H62" s="1"/>
  <c r="H60"/>
  <c r="I60"/>
  <c r="F59"/>
  <c r="H59" s="1"/>
  <c r="H57"/>
  <c r="F56"/>
  <c r="I56" s="1"/>
  <c r="F53"/>
  <c r="I53" s="1"/>
  <c r="I52"/>
  <c r="H52"/>
  <c r="F51"/>
  <c r="I51" s="1"/>
  <c r="F50"/>
  <c r="I50" s="1"/>
  <c r="F49"/>
  <c r="I49" s="1"/>
  <c r="F48"/>
  <c r="I48" s="1"/>
  <c r="F47"/>
  <c r="I47" s="1"/>
  <c r="F46"/>
  <c r="I46" s="1"/>
  <c r="F45"/>
  <c r="I45" s="1"/>
  <c r="F44"/>
  <c r="I44" s="1"/>
  <c r="I42"/>
  <c r="H42"/>
  <c r="F41"/>
  <c r="I41" s="1"/>
  <c r="F40"/>
  <c r="I40" s="1"/>
  <c r="F39"/>
  <c r="I39" s="1"/>
  <c r="F38"/>
  <c r="I38" s="1"/>
  <c r="I37"/>
  <c r="H37"/>
  <c r="H35"/>
  <c r="H34"/>
  <c r="F33"/>
  <c r="H33" s="1"/>
  <c r="F32"/>
  <c r="I32" s="1"/>
  <c r="F31"/>
  <c r="H31" s="1"/>
  <c r="F28"/>
  <c r="I28" s="1"/>
  <c r="H27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86" i="32"/>
  <c r="I73"/>
  <c r="H85"/>
  <c r="E82"/>
  <c r="F82" s="1"/>
  <c r="F81"/>
  <c r="H81" s="1"/>
  <c r="H79"/>
  <c r="H77"/>
  <c r="I76"/>
  <c r="I75"/>
  <c r="F75"/>
  <c r="H75" s="1"/>
  <c r="H74"/>
  <c r="H73"/>
  <c r="H72"/>
  <c r="F71"/>
  <c r="H71" s="1"/>
  <c r="F69"/>
  <c r="I69" s="1"/>
  <c r="I68"/>
  <c r="H68"/>
  <c r="F67"/>
  <c r="H67" s="1"/>
  <c r="F66"/>
  <c r="I66" s="1"/>
  <c r="F65"/>
  <c r="H65" s="1"/>
  <c r="F64"/>
  <c r="I64" s="1"/>
  <c r="F63"/>
  <c r="H63" s="1"/>
  <c r="F62"/>
  <c r="H62" s="1"/>
  <c r="F61"/>
  <c r="H61" s="1"/>
  <c r="H59"/>
  <c r="F58"/>
  <c r="H58" s="1"/>
  <c r="H56"/>
  <c r="F55"/>
  <c r="H55" s="1"/>
  <c r="F52"/>
  <c r="I52" s="1"/>
  <c r="I51"/>
  <c r="H51"/>
  <c r="F50"/>
  <c r="H50" s="1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F37"/>
  <c r="I37" s="1"/>
  <c r="I36"/>
  <c r="H36"/>
  <c r="H34"/>
  <c r="H33"/>
  <c r="F32"/>
  <c r="H32" s="1"/>
  <c r="F31"/>
  <c r="I31" s="1"/>
  <c r="F30"/>
  <c r="H30" s="1"/>
  <c r="H89" i="31"/>
  <c r="H88"/>
  <c r="H87"/>
  <c r="H86"/>
  <c r="E83"/>
  <c r="F83" s="1"/>
  <c r="F82"/>
  <c r="I82" s="1"/>
  <c r="H80"/>
  <c r="H78"/>
  <c r="I77"/>
  <c r="I76"/>
  <c r="F76"/>
  <c r="H76" s="1"/>
  <c r="H75"/>
  <c r="H74"/>
  <c r="H73"/>
  <c r="F72"/>
  <c r="H72" s="1"/>
  <c r="F70"/>
  <c r="I70" s="1"/>
  <c r="I68"/>
  <c r="H68"/>
  <c r="F67"/>
  <c r="H67" s="1"/>
  <c r="F66"/>
  <c r="H66" s="1"/>
  <c r="F65"/>
  <c r="H65" s="1"/>
  <c r="F64"/>
  <c r="H64" s="1"/>
  <c r="F63"/>
  <c r="H63" s="1"/>
  <c r="F62"/>
  <c r="H62" s="1"/>
  <c r="I61"/>
  <c r="F61"/>
  <c r="H61" s="1"/>
  <c r="I59"/>
  <c r="F58"/>
  <c r="H58" s="1"/>
  <c r="H56"/>
  <c r="F55"/>
  <c r="I55" s="1"/>
  <c r="I51"/>
  <c r="H51"/>
  <c r="F50"/>
  <c r="H50" s="1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F37"/>
  <c r="I37" s="1"/>
  <c r="I36"/>
  <c r="H36"/>
  <c r="H34"/>
  <c r="H33"/>
  <c r="F32"/>
  <c r="H32" s="1"/>
  <c r="F31"/>
  <c r="I31" s="1"/>
  <c r="F30"/>
  <c r="H30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E84" i="30"/>
  <c r="F84" s="1"/>
  <c r="I84" s="1"/>
  <c r="F83"/>
  <c r="I83" s="1"/>
  <c r="H81"/>
  <c r="H79"/>
  <c r="I78"/>
  <c r="I77"/>
  <c r="H77"/>
  <c r="F77"/>
  <c r="H76"/>
  <c r="H75"/>
  <c r="H74"/>
  <c r="F73"/>
  <c r="H73" s="1"/>
  <c r="H71"/>
  <c r="F71"/>
  <c r="I71" s="1"/>
  <c r="I70"/>
  <c r="H70"/>
  <c r="H69"/>
  <c r="F69"/>
  <c r="H68"/>
  <c r="F68"/>
  <c r="H67"/>
  <c r="F67"/>
  <c r="H66"/>
  <c r="F66"/>
  <c r="H65"/>
  <c r="F65"/>
  <c r="H64"/>
  <c r="F64"/>
  <c r="I63"/>
  <c r="F63"/>
  <c r="H63" s="1"/>
  <c r="H61"/>
  <c r="F61"/>
  <c r="H60"/>
  <c r="F60"/>
  <c r="H58"/>
  <c r="F57"/>
  <c r="I57" s="1"/>
  <c r="F54"/>
  <c r="I54" s="1"/>
  <c r="I53"/>
  <c r="H53"/>
  <c r="F52"/>
  <c r="I52" s="1"/>
  <c r="F51"/>
  <c r="I51" s="1"/>
  <c r="F50"/>
  <c r="I50" s="1"/>
  <c r="F49"/>
  <c r="I49" s="1"/>
  <c r="F48"/>
  <c r="I48" s="1"/>
  <c r="F47"/>
  <c r="I47" s="1"/>
  <c r="F46"/>
  <c r="I46" s="1"/>
  <c r="F45"/>
  <c r="I45" s="1"/>
  <c r="H43"/>
  <c r="F42"/>
  <c r="I42" s="1"/>
  <c r="F41"/>
  <c r="I41" s="1"/>
  <c r="H40"/>
  <c r="F40"/>
  <c r="I40" s="1"/>
  <c r="F39"/>
  <c r="I39" s="1"/>
  <c r="H38"/>
  <c r="H36"/>
  <c r="H35"/>
  <c r="F34"/>
  <c r="H34" s="1"/>
  <c r="E34"/>
  <c r="F33"/>
  <c r="H33" s="1"/>
  <c r="F32"/>
  <c r="I32" s="1"/>
  <c r="F31"/>
  <c r="H31" s="1"/>
  <c r="F28"/>
  <c r="I28" s="1"/>
  <c r="H87" i="29"/>
  <c r="E84"/>
  <c r="F84" s="1"/>
  <c r="H84" s="1"/>
  <c r="H85" s="1"/>
  <c r="F83"/>
  <c r="H83" s="1"/>
  <c r="H81"/>
  <c r="H79"/>
  <c r="I78"/>
  <c r="I77"/>
  <c r="H77"/>
  <c r="F77"/>
  <c r="H76"/>
  <c r="H75"/>
  <c r="H74"/>
  <c r="F73"/>
  <c r="H73" s="1"/>
  <c r="H71"/>
  <c r="F71"/>
  <c r="I71" s="1"/>
  <c r="I70"/>
  <c r="H70"/>
  <c r="H69"/>
  <c r="F69"/>
  <c r="H68"/>
  <c r="F68"/>
  <c r="H67"/>
  <c r="F67"/>
  <c r="H66"/>
  <c r="F66"/>
  <c r="H65"/>
  <c r="F65"/>
  <c r="H64"/>
  <c r="F64"/>
  <c r="I63"/>
  <c r="F63"/>
  <c r="H63" s="1"/>
  <c r="H61"/>
  <c r="I61"/>
  <c r="H60"/>
  <c r="F60"/>
  <c r="H58"/>
  <c r="F57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F45"/>
  <c r="H45" s="1"/>
  <c r="H43"/>
  <c r="F42"/>
  <c r="I42" s="1"/>
  <c r="F41"/>
  <c r="H41" s="1"/>
  <c r="F40"/>
  <c r="I40" s="1"/>
  <c r="F39"/>
  <c r="H39" s="1"/>
  <c r="H38"/>
  <c r="H36"/>
  <c r="H35"/>
  <c r="F34"/>
  <c r="I34" s="1"/>
  <c r="E34"/>
  <c r="F33"/>
  <c r="I33" s="1"/>
  <c r="F32"/>
  <c r="H32" s="1"/>
  <c r="F31"/>
  <c r="I31" s="1"/>
  <c r="F28"/>
  <c r="H28" s="1"/>
  <c r="H86" i="28"/>
  <c r="E83"/>
  <c r="F83" s="1"/>
  <c r="I83" s="1"/>
  <c r="F82"/>
  <c r="I82" s="1"/>
  <c r="H80"/>
  <c r="H78"/>
  <c r="I77"/>
  <c r="I76"/>
  <c r="H76"/>
  <c r="F76"/>
  <c r="H75"/>
  <c r="H74"/>
  <c r="H73"/>
  <c r="F72"/>
  <c r="H72" s="1"/>
  <c r="H70"/>
  <c r="F70"/>
  <c r="I70" s="1"/>
  <c r="I69"/>
  <c r="H69"/>
  <c r="F68"/>
  <c r="H68" s="1"/>
  <c r="F67"/>
  <c r="H67" s="1"/>
  <c r="F66"/>
  <c r="H66" s="1"/>
  <c r="F65"/>
  <c r="H65" s="1"/>
  <c r="F64"/>
  <c r="H64" s="1"/>
  <c r="F63"/>
  <c r="H63" s="1"/>
  <c r="I62"/>
  <c r="F62"/>
  <c r="H62" s="1"/>
  <c r="H60"/>
  <c r="I60"/>
  <c r="F59"/>
  <c r="H59" s="1"/>
  <c r="H57"/>
  <c r="F56"/>
  <c r="I52"/>
  <c r="H52"/>
  <c r="F51"/>
  <c r="I51" s="1"/>
  <c r="F50"/>
  <c r="I50" s="1"/>
  <c r="F49"/>
  <c r="H49" s="1"/>
  <c r="F48"/>
  <c r="I48" s="1"/>
  <c r="F47"/>
  <c r="H47" s="1"/>
  <c r="F46"/>
  <c r="I46" s="1"/>
  <c r="F45"/>
  <c r="H45" s="1"/>
  <c r="F44"/>
  <c r="I44" s="1"/>
  <c r="H42"/>
  <c r="F41"/>
  <c r="I41" s="1"/>
  <c r="F40"/>
  <c r="I40" s="1"/>
  <c r="F39"/>
  <c r="I39" s="1"/>
  <c r="F38"/>
  <c r="I38" s="1"/>
  <c r="H37"/>
  <c r="H35"/>
  <c r="H34"/>
  <c r="F33"/>
  <c r="I33" s="1"/>
  <c r="E33"/>
  <c r="F32"/>
  <c r="I32" s="1"/>
  <c r="F31"/>
  <c r="I31" s="1"/>
  <c r="F30"/>
  <c r="H30" s="1"/>
  <c r="I62" i="27"/>
  <c r="F59"/>
  <c r="H59" s="1"/>
  <c r="H57"/>
  <c r="F56"/>
  <c r="I56" s="1"/>
  <c r="F53"/>
  <c r="I24" i="31" l="1"/>
  <c r="H19"/>
  <c r="I19"/>
  <c r="I26"/>
  <c r="I63"/>
  <c r="H52" i="29"/>
  <c r="H41" i="28"/>
  <c r="H33"/>
  <c r="H46"/>
  <c r="H56"/>
  <c r="H56" i="27"/>
  <c r="H47" i="33"/>
  <c r="H41"/>
  <c r="H51"/>
  <c r="H39"/>
  <c r="H45"/>
  <c r="H49"/>
  <c r="H56"/>
  <c r="H64" i="32"/>
  <c r="H42" i="30"/>
  <c r="H57"/>
  <c r="H80" s="1"/>
  <c r="H57" i="29"/>
  <c r="H80" s="1"/>
  <c r="H79" i="28"/>
  <c r="H31"/>
  <c r="H32"/>
  <c r="H39"/>
  <c r="H48"/>
  <c r="H51"/>
  <c r="H64" i="33"/>
  <c r="H68"/>
  <c r="H66"/>
  <c r="I83"/>
  <c r="H83"/>
  <c r="H84" s="1"/>
  <c r="I18"/>
  <c r="H18"/>
  <c r="I16"/>
  <c r="H17"/>
  <c r="I19"/>
  <c r="H20"/>
  <c r="I21"/>
  <c r="H22"/>
  <c r="I23"/>
  <c r="H24"/>
  <c r="I25"/>
  <c r="H26"/>
  <c r="I27"/>
  <c r="H28"/>
  <c r="I31"/>
  <c r="H32"/>
  <c r="I33"/>
  <c r="H38"/>
  <c r="H40"/>
  <c r="H44"/>
  <c r="H46"/>
  <c r="H48"/>
  <c r="H50"/>
  <c r="H53"/>
  <c r="H65"/>
  <c r="H67"/>
  <c r="H70"/>
  <c r="H82"/>
  <c r="H37" i="32"/>
  <c r="H52"/>
  <c r="H69"/>
  <c r="H39"/>
  <c r="H66"/>
  <c r="H78" s="1"/>
  <c r="H45"/>
  <c r="H49"/>
  <c r="H43"/>
  <c r="H47"/>
  <c r="H82"/>
  <c r="H83" s="1"/>
  <c r="I82"/>
  <c r="I30"/>
  <c r="H31"/>
  <c r="I32"/>
  <c r="I38"/>
  <c r="I40"/>
  <c r="I44"/>
  <c r="I46"/>
  <c r="I48"/>
  <c r="I50"/>
  <c r="I55"/>
  <c r="I59"/>
  <c r="I63"/>
  <c r="I65"/>
  <c r="I67"/>
  <c r="I81"/>
  <c r="I66" i="31"/>
  <c r="I64"/>
  <c r="H59"/>
  <c r="I22"/>
  <c r="I25"/>
  <c r="I23"/>
  <c r="I67"/>
  <c r="I65"/>
  <c r="H70"/>
  <c r="H55"/>
  <c r="I83"/>
  <c r="H83"/>
  <c r="H84" s="1"/>
  <c r="I20"/>
  <c r="H21"/>
  <c r="I30"/>
  <c r="H31"/>
  <c r="I32"/>
  <c r="H37"/>
  <c r="I38"/>
  <c r="H39"/>
  <c r="I40"/>
  <c r="H43"/>
  <c r="I44"/>
  <c r="H45"/>
  <c r="I46"/>
  <c r="H47"/>
  <c r="I48"/>
  <c r="H49"/>
  <c r="I50"/>
  <c r="H52"/>
  <c r="H82"/>
  <c r="H50" i="30"/>
  <c r="H46"/>
  <c r="H48"/>
  <c r="H52"/>
  <c r="I85"/>
  <c r="H28"/>
  <c r="I31"/>
  <c r="H32"/>
  <c r="I33"/>
  <c r="I34"/>
  <c r="H39"/>
  <c r="H41"/>
  <c r="H45"/>
  <c r="H47"/>
  <c r="H49"/>
  <c r="H51"/>
  <c r="H54"/>
  <c r="H83"/>
  <c r="H84"/>
  <c r="H85" s="1"/>
  <c r="H50" i="29"/>
  <c r="H48"/>
  <c r="I28"/>
  <c r="H31"/>
  <c r="I32"/>
  <c r="H33"/>
  <c r="H34"/>
  <c r="I39"/>
  <c r="H40"/>
  <c r="I41"/>
  <c r="H42"/>
  <c r="I45"/>
  <c r="H46"/>
  <c r="I47"/>
  <c r="I49"/>
  <c r="I51"/>
  <c r="I54"/>
  <c r="I83"/>
  <c r="I84"/>
  <c r="I30" i="28"/>
  <c r="H38"/>
  <c r="H40"/>
  <c r="H44"/>
  <c r="I45"/>
  <c r="I47"/>
  <c r="I49"/>
  <c r="I84" s="1"/>
  <c r="H50"/>
  <c r="H53"/>
  <c r="H82"/>
  <c r="H83"/>
  <c r="H84" s="1"/>
  <c r="I60" i="27"/>
  <c r="E83"/>
  <c r="F83" s="1"/>
  <c r="F82"/>
  <c r="I82" s="1"/>
  <c r="H80"/>
  <c r="H78"/>
  <c r="I77"/>
  <c r="I76"/>
  <c r="F76"/>
  <c r="H76" s="1"/>
  <c r="H75"/>
  <c r="H74"/>
  <c r="H73"/>
  <c r="F72"/>
  <c r="H72" s="1"/>
  <c r="F70"/>
  <c r="I70" s="1"/>
  <c r="I69"/>
  <c r="H69"/>
  <c r="F68"/>
  <c r="H68" s="1"/>
  <c r="F67"/>
  <c r="H67" s="1"/>
  <c r="F66"/>
  <c r="H66" s="1"/>
  <c r="F65"/>
  <c r="H65" s="1"/>
  <c r="F64"/>
  <c r="H64" s="1"/>
  <c r="F63"/>
  <c r="H63" s="1"/>
  <c r="F62"/>
  <c r="H62" s="1"/>
  <c r="I53"/>
  <c r="H53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4"/>
  <c r="H44" s="1"/>
  <c r="H42"/>
  <c r="F41"/>
  <c r="I41" s="1"/>
  <c r="F40"/>
  <c r="H40" s="1"/>
  <c r="F39"/>
  <c r="I39" s="1"/>
  <c r="F38"/>
  <c r="H38" s="1"/>
  <c r="H37"/>
  <c r="H35"/>
  <c r="H34"/>
  <c r="F33"/>
  <c r="I33" s="1"/>
  <c r="E33"/>
  <c r="F32"/>
  <c r="I32" s="1"/>
  <c r="F31"/>
  <c r="H31" s="1"/>
  <c r="F30"/>
  <c r="I30" s="1"/>
  <c r="I84" i="33" l="1"/>
  <c r="I93" i="31"/>
  <c r="I90" i="33"/>
  <c r="I89" i="32"/>
  <c r="I85" i="29"/>
  <c r="I93" s="1"/>
  <c r="H33" i="27"/>
  <c r="H39"/>
  <c r="H49"/>
  <c r="H79" i="31"/>
  <c r="I92" i="28"/>
  <c r="H79" i="33"/>
  <c r="I94" i="30"/>
  <c r="H45" i="27"/>
  <c r="H30"/>
  <c r="H32"/>
  <c r="H41"/>
  <c r="H47"/>
  <c r="H51"/>
  <c r="H70"/>
  <c r="H79" s="1"/>
  <c r="I83"/>
  <c r="H83"/>
  <c r="H84" s="1"/>
  <c r="I31"/>
  <c r="I38"/>
  <c r="I40"/>
  <c r="I44"/>
  <c r="I46"/>
  <c r="I48"/>
  <c r="I50"/>
  <c r="H82"/>
  <c r="I84" l="1"/>
  <c r="I90" s="1"/>
  <c r="I79" i="26" l="1"/>
  <c r="I61"/>
  <c r="H85"/>
  <c r="E82"/>
  <c r="F82" s="1"/>
  <c r="F81"/>
  <c r="I81" s="1"/>
  <c r="H79"/>
  <c r="H77"/>
  <c r="I76"/>
  <c r="I75"/>
  <c r="F75"/>
  <c r="H75" s="1"/>
  <c r="H74"/>
  <c r="H73"/>
  <c r="H72"/>
  <c r="F71"/>
  <c r="H71" s="1"/>
  <c r="F69"/>
  <c r="H69" s="1"/>
  <c r="I68"/>
  <c r="H68"/>
  <c r="F67"/>
  <c r="H67" s="1"/>
  <c r="F66"/>
  <c r="H66" s="1"/>
  <c r="F65"/>
  <c r="H65" s="1"/>
  <c r="F64"/>
  <c r="H64" s="1"/>
  <c r="F63"/>
  <c r="H63" s="1"/>
  <c r="F62"/>
  <c r="H62" s="1"/>
  <c r="H61"/>
  <c r="F61"/>
  <c r="H59"/>
  <c r="F58"/>
  <c r="H58" s="1"/>
  <c r="H56"/>
  <c r="F55"/>
  <c r="H55" s="1"/>
  <c r="I52"/>
  <c r="H52"/>
  <c r="I51"/>
  <c r="H51"/>
  <c r="F50"/>
  <c r="H50" s="1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F37"/>
  <c r="I37" s="1"/>
  <c r="I36"/>
  <c r="H36"/>
  <c r="H34"/>
  <c r="H33"/>
  <c r="F32"/>
  <c r="H32" s="1"/>
  <c r="H81" l="1"/>
  <c r="H49"/>
  <c r="H78"/>
  <c r="H45"/>
  <c r="H47"/>
  <c r="I82"/>
  <c r="H82"/>
  <c r="H83" s="1"/>
  <c r="I32"/>
  <c r="H37"/>
  <c r="I38"/>
  <c r="H39"/>
  <c r="I40"/>
  <c r="H43"/>
  <c r="I44"/>
  <c r="I46"/>
  <c r="I48"/>
  <c r="I50"/>
  <c r="I59"/>
  <c r="I69"/>
  <c r="I68" i="25"/>
  <c r="I59"/>
  <c r="I75"/>
  <c r="I83" i="26" l="1"/>
  <c r="I94" s="1"/>
  <c r="I52" i="25"/>
  <c r="I51"/>
  <c r="I41"/>
  <c r="H85"/>
  <c r="E82"/>
  <c r="F81"/>
  <c r="H79"/>
  <c r="H77"/>
  <c r="F75"/>
  <c r="H75" s="1"/>
  <c r="H74"/>
  <c r="H73"/>
  <c r="H72"/>
  <c r="F71"/>
  <c r="H71" s="1"/>
  <c r="F69"/>
  <c r="H68"/>
  <c r="F67"/>
  <c r="H67" s="1"/>
  <c r="F66"/>
  <c r="H66" s="1"/>
  <c r="F65"/>
  <c r="H65" s="1"/>
  <c r="F64"/>
  <c r="H64" s="1"/>
  <c r="F63"/>
  <c r="H63" s="1"/>
  <c r="F62"/>
  <c r="H62" s="1"/>
  <c r="F61"/>
  <c r="H61" s="1"/>
  <c r="H59"/>
  <c r="F58"/>
  <c r="H58" s="1"/>
  <c r="H56"/>
  <c r="F55"/>
  <c r="H55" s="1"/>
  <c r="H52"/>
  <c r="H51"/>
  <c r="F50"/>
  <c r="H50" s="1"/>
  <c r="F49"/>
  <c r="H49" s="1"/>
  <c r="F48"/>
  <c r="H48" s="1"/>
  <c r="F47"/>
  <c r="H47" s="1"/>
  <c r="F46"/>
  <c r="H46" s="1"/>
  <c r="F45"/>
  <c r="H45" s="1"/>
  <c r="F44"/>
  <c r="H44" s="1"/>
  <c r="F43"/>
  <c r="H43" s="1"/>
  <c r="H41"/>
  <c r="F40"/>
  <c r="H40" s="1"/>
  <c r="F39"/>
  <c r="H39" s="1"/>
  <c r="F38"/>
  <c r="H38" s="1"/>
  <c r="F37"/>
  <c r="H37" s="1"/>
  <c r="H36"/>
  <c r="H34"/>
  <c r="H33"/>
  <c r="F32"/>
  <c r="H32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I36"/>
  <c r="I37"/>
  <c r="I38"/>
  <c r="I39"/>
  <c r="I40"/>
  <c r="I76"/>
  <c r="H69" l="1"/>
  <c r="I69"/>
  <c r="H81"/>
  <c r="I81"/>
  <c r="I43"/>
  <c r="I47"/>
  <c r="I45"/>
  <c r="I48"/>
  <c r="I46"/>
  <c r="I44"/>
  <c r="I50"/>
  <c r="I49"/>
  <c r="I32"/>
  <c r="I21"/>
  <c r="I20"/>
  <c r="H78"/>
  <c r="F82"/>
  <c r="H82" l="1"/>
  <c r="H83" s="1"/>
  <c r="I82"/>
  <c r="I89" l="1"/>
</calcChain>
</file>

<file path=xl/sharedStrings.xml><?xml version="1.0" encoding="utf-8"?>
<sst xmlns="http://schemas.openxmlformats.org/spreadsheetml/2006/main" count="2595" uniqueCount="250">
  <si>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</si>
  <si>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</si>
  <si>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</si>
  <si>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</si>
  <si>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</si>
  <si>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</si>
  <si>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</si>
  <si>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</si>
  <si>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</si>
  <si>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</si>
  <si>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</si>
  <si>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</si>
  <si>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</si>
  <si>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</si>
  <si>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</si>
  <si>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</si>
  <si>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</si>
  <si>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</si>
  <si>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</si>
  <si>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</si>
  <si>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</si>
  <si>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</si>
  <si>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</si>
  <si>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</si>
  <si>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</si>
  <si>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</si>
  <si>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</si>
  <si>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</si>
  <si>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</si>
  <si>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</si>
  <si>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</si>
  <si>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</si>
  <si>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</si>
  <si>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</si>
  <si>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</si>
  <si>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</si>
  <si>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</si>
  <si>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</si>
  <si>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</si>
  <si>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</si>
  <si>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</si>
  <si>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</si>
  <si>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</si>
  <si>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</si>
  <si>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</si>
  <si>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</si>
  <si>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</si>
  <si>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</si>
  <si>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</si>
  <si>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</si>
  <si>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</si>
  <si>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</si>
  <si>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</si>
  <si>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</si>
  <si>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</si>
  <si>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</si>
  <si>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</si>
  <si>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</si>
  <si>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</si>
  <si>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</si>
  <si>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</si>
  <si>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</si>
  <si>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</si>
  <si>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</si>
  <si>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</si>
  <si>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</si>
  <si>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</si>
  <si>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</si>
  <si>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</si>
  <si>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</si>
  <si>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</si>
  <si>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</si>
  <si>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</si>
  <si>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</si>
  <si>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</si>
  <si>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</si>
  <si>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</si>
  <si>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</si>
  <si>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</si>
  <si>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</si>
  <si>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Подключение и отключение сварочного аппарата</t>
  </si>
  <si>
    <t>место</t>
  </si>
  <si>
    <t xml:space="preserve">II. Уборка земельного участка </t>
  </si>
  <si>
    <t>Влажное подметание лестничных клеток 1 этажа</t>
  </si>
  <si>
    <t>100м2</t>
  </si>
  <si>
    <t>30 раз за сезон</t>
  </si>
  <si>
    <t>155 раз за сезон</t>
  </si>
  <si>
    <t>1000м2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</si>
  <si>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</si>
  <si>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</si>
  <si>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</si>
  <si>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</si>
  <si>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</si>
  <si>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</si>
  <si>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</si>
  <si>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</si>
  <si>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</si>
  <si>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</si>
  <si>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</si>
  <si>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</si>
  <si>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</si>
  <si>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</si>
  <si>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Уборка контейнерной площадки (16 кв.м.)</t>
  </si>
  <si>
    <t>Подметание территории с усовершенствованным покрытием асф.: крыльца, контейнерн. пл., проезд, тротуар</t>
  </si>
  <si>
    <t>Уборка газонов</t>
  </si>
  <si>
    <t>Осмотр шиферной кровли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</si>
  <si>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</si>
  <si>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</si>
  <si>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</si>
  <si>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чердака, подвала от мусора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</si>
  <si>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</si>
  <si>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</si>
  <si>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</si>
  <si>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</si>
  <si>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</si>
  <si>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</si>
  <si>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>Влажное подметание лестничных клеток 2-3 этажа</t>
  </si>
  <si>
    <t>Мытье лестничных  площадок и маршей 1-3 этаж.</t>
  </si>
  <si>
    <t xml:space="preserve"> </t>
  </si>
  <si>
    <t>Сдвигание снега в дни снегопада (крыльца, вход.площадки)</t>
  </si>
  <si>
    <t xml:space="preserve">Подметание снега с крылец, вход. площадок </t>
  </si>
  <si>
    <t>Очистка территории 1-го класса с усовершенствованным покрытием под скребок: ступеньки и площадки крылец, входные площадки</t>
  </si>
  <si>
    <t>24 раз за сезон</t>
  </si>
  <si>
    <t>Пескопосыпка территории: крыльца и вход.площади</t>
  </si>
  <si>
    <t>Работа автовышки</t>
  </si>
  <si>
    <t>маш-час</t>
  </si>
  <si>
    <t>ТО внутренних сетей водопровода и канализации</t>
  </si>
  <si>
    <t>руб/м2 в мес.</t>
  </si>
  <si>
    <t>12 раз в год</t>
  </si>
  <si>
    <t>Смена светодиодных светильников</t>
  </si>
  <si>
    <t>1 шт.</t>
  </si>
  <si>
    <t>Стоимость светодиодного светильника</t>
  </si>
  <si>
    <t>руб.</t>
  </si>
  <si>
    <t>Снятие показаний с общедомовых приборов учёта электрической энергии</t>
  </si>
  <si>
    <t>Прочистка каналов</t>
  </si>
  <si>
    <t>Дератизация</t>
  </si>
  <si>
    <t xml:space="preserve">приемки оказанных услуг и выполненных работ по содержанию и текущему ремонту
общего имущества в многоквартирном доме №49 по ул.Октябрьская пгт.Ярега
</t>
  </si>
  <si>
    <t>генеральный директор Куканов Ю.Л.</t>
  </si>
  <si>
    <t>5 раз в год</t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</si>
  <si>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</si>
  <si>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</si>
  <si>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</si>
  <si>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</si>
  <si>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</si>
  <si>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</si>
  <si>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</si>
  <si>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</si>
  <si>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</si>
  <si>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</si>
  <si>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</si>
  <si>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</si>
  <si>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№9</t>
  </si>
  <si>
    <t>АКТ №10</t>
  </si>
  <si>
    <r>
      <t>1. 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д.49</t>
    </r>
  </si>
  <si>
    <t>II. Уборка земельного участка</t>
  </si>
  <si>
    <t>52 раза в сезон</t>
  </si>
  <si>
    <t>78 раз за сезон</t>
  </si>
  <si>
    <t>Итого затраты за месяц</t>
  </si>
  <si>
    <t>АКТ №8</t>
  </si>
  <si>
    <t>м</t>
  </si>
  <si>
    <t>АКТ №11</t>
  </si>
  <si>
    <t>АКТ №12</t>
  </si>
  <si>
    <t>ООО «Движение»</t>
  </si>
  <si>
    <r>
      <t xml:space="preserve">    Собственники помещений в многоквартирном доме, расположенном по адресу: пгт.Ярега, ул.Октябрьская, д.49,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15.08.2016г.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</si>
  <si>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    Собственники помещений в многоквартирном доме, расположенном по адресу: пгт.Ярега, ул.Октябрьская, д.49,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15.08.2016г. стороны, и ООО «Движение»,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</si>
  <si>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Очистка вручную от снега и наледи люков каналиационных и водопроводных колодцев</t>
  </si>
  <si>
    <t>за период с 01.01.2019 г. по 31.01.2019 г.</t>
  </si>
  <si>
    <t>Поверка тепловычислителя</t>
  </si>
  <si>
    <t>за период с 01.02.2019 г. по 28.02.2019 г.</t>
  </si>
  <si>
    <t>Ремонт групповых щитков на лестничной клетке без ремонта автоматов</t>
  </si>
  <si>
    <t>Очистка канализационной сети внутреенней</t>
  </si>
  <si>
    <t>Внепланвый осмотр электросетей, армазуры и электрооборудования на лестничных клетках</t>
  </si>
  <si>
    <t>за период с 01.03.2019 г. по 31.03.2019 г.</t>
  </si>
  <si>
    <t>Работа ротенбергера</t>
  </si>
  <si>
    <t>час</t>
  </si>
  <si>
    <t>за период с 01.04.2019 г. по 30.04.2019 г.</t>
  </si>
  <si>
    <t>1 раз</t>
  </si>
  <si>
    <t>Настройка тепловычислителя</t>
  </si>
  <si>
    <t>Осмотр кровель из штучных материалов</t>
  </si>
  <si>
    <t>Демонтаж снегоудержателя</t>
  </si>
  <si>
    <t>100 м</t>
  </si>
  <si>
    <t>Ремонт отдельных мест покрытия из асбоцементных листов обыкновенного профиля</t>
  </si>
  <si>
    <t>10 м2</t>
  </si>
  <si>
    <t>за период с 01.05.2019 г. по 31.05.2019 г.</t>
  </si>
  <si>
    <t xml:space="preserve">Свод деревьев </t>
  </si>
  <si>
    <t>1 мЗ</t>
  </si>
  <si>
    <t>Работа автопогрузчика</t>
  </si>
  <si>
    <t>маш/час</t>
  </si>
  <si>
    <t>Водоснабжение и канализация</t>
  </si>
  <si>
    <t>за период с 01.06.2019 г. по 30.06.2019 г.</t>
  </si>
  <si>
    <t xml:space="preserve">Смена сгонов у трубопроводов диаметром до 20 мм </t>
  </si>
  <si>
    <t>1 сгон</t>
  </si>
  <si>
    <t>Железнение крыльца</t>
  </si>
  <si>
    <t>2,5 м2 под.№2</t>
  </si>
  <si>
    <t>Организация и содержание мест накопления ТКО</t>
  </si>
  <si>
    <t>13 раз</t>
  </si>
  <si>
    <t>8 раз</t>
  </si>
  <si>
    <t>2 раза</t>
  </si>
  <si>
    <t>21 раз</t>
  </si>
  <si>
    <t>5 раз</t>
  </si>
  <si>
    <t>25 раз</t>
  </si>
  <si>
    <t>4 раза</t>
  </si>
  <si>
    <t>7 раз</t>
  </si>
  <si>
    <t xml:space="preserve">1 раз </t>
  </si>
  <si>
    <t>2. Всего за период с 01.01.2019 по 31.01.2019 выполнено работ (оказано услуг) на общую сумму: 38793,03 руб.</t>
  </si>
  <si>
    <t>(тридцать восемь тысяч семьсот девяносто три рубля 03 копейки )</t>
  </si>
  <si>
    <t>1 шт</t>
  </si>
  <si>
    <t>2. Всего за период с 01.02.2019 по 28.02.2019 выполнено работ (оказано услуг) на общую сумму: 30207,89 руб.</t>
  </si>
  <si>
    <t>(тридцать тысяч двести семь рублей 89 копеек)</t>
  </si>
  <si>
    <t>2. Всего за период с 01.03.2019 по 31.03.2019 выполнено работ (оказано услуг) на общую сумму: 24978,63 руб.</t>
  </si>
  <si>
    <t>(двадцать четыре тысячи девятьсот семьдесят восемь рублей 63 копейки)</t>
  </si>
  <si>
    <t>(двадцать восемь тысяч семьсот три рубля 45 копеек)</t>
  </si>
  <si>
    <t xml:space="preserve">1 раз      </t>
  </si>
  <si>
    <t xml:space="preserve">1 раз    </t>
  </si>
  <si>
    <t xml:space="preserve">1 раз  </t>
  </si>
  <si>
    <t>2. Всего за период с 01.05.2019 по 31.05.2019 выполнено работ (оказано услуг) на общую сумму: 34661,86 руб.</t>
  </si>
  <si>
    <t>(тридцать четыре тысячи шестьсот шестьдесят один рубль 86 копеек)</t>
  </si>
  <si>
    <t>2. Всего за период с 01.06.2019 по 30.06.2019 выполнено работ (оказано услуг) на общую сумму: 65807,40 руб.</t>
  </si>
  <si>
    <t>(шестьдесят пять тысяч восемьсот семь рублей 40 копеек)</t>
  </si>
  <si>
    <t>3 раза</t>
  </si>
  <si>
    <t>1,5 маш/час</t>
  </si>
  <si>
    <t>за период с 01.07.2019 г. по 31.07.2019 г.</t>
  </si>
  <si>
    <t>2. Всего за период с 01.07.2019 по 31.07.2019 выполнено работ (оказано услуг) на общую сумму: 24545,29  руб.</t>
  </si>
  <si>
    <t>(двадцать четыре тысячи пятьсот сорок пять рублей 29 копеек)</t>
  </si>
  <si>
    <t>за период с 01.08.2019 г. по 31.08.2019 г.</t>
  </si>
  <si>
    <t>2. Всего за период с 01.08.2019 по 31.08.2019 выполнено работ (оказано услуг) на общую сумму: 20788,46 руб.</t>
  </si>
  <si>
    <t>(двадцать тысяч семьсот восемьдесят восемь рублей 46 копеек)</t>
  </si>
  <si>
    <t>за период с 01.09.2019 г. по 30.09.2019 г.</t>
  </si>
  <si>
    <t>Установка хомута диаметром до 50 мм</t>
  </si>
  <si>
    <t>Смена внутренних трубопроводов на полипропиленовые трубы PN 20 Dу 20</t>
  </si>
  <si>
    <t>кв.24</t>
  </si>
  <si>
    <t>2. Всего за период с 01.09.2019 по 30.09.2019 выполнено работ (оказано услуг) на общую сумму: 36075,69 руб.</t>
  </si>
  <si>
    <t>(тридцать шесть тысяч семьдесят пять рублей 69 копеек)</t>
  </si>
  <si>
    <t>за период с 01.10.2019 г. по 31.10.2019 г.</t>
  </si>
  <si>
    <t>Внеплановая проверка вентканалов</t>
  </si>
  <si>
    <t>Смена внутренних трубопроводов на полипропиленовые трубы PN 25 Dу 25</t>
  </si>
  <si>
    <t>Смена внутренних трубопроводов на полипропиленовые трубы PN 25 Dу 20</t>
  </si>
  <si>
    <t>Ремонт цоколя (48 м2)</t>
  </si>
  <si>
    <t>руб</t>
  </si>
  <si>
    <t>2. Всего за период с 01.10.2019 по 31.10.2019 выполнено работ (оказано услуг) на общую сумму: 96219,90 руб.</t>
  </si>
  <si>
    <t>( девяносто шесть тысяч двести девятнадцать рублей 90 копеек)</t>
  </si>
  <si>
    <t>за период с 01.11.2019 г. по 30.11.2019 г.</t>
  </si>
  <si>
    <t>Осмотр водопроводов, канализации, отопления в квартирах</t>
  </si>
  <si>
    <t>100 кв.</t>
  </si>
  <si>
    <t>2. Всего за период с 01.11.2019 по 30.11.2019 выполнено работ (оказано услуг) на общую сумму: 23928,09 руб.</t>
  </si>
  <si>
    <t>(двадцать три тысячи девятьсот двадцать восемь рублей 09 копеек)</t>
  </si>
  <si>
    <t>за период с 01.12.2019 г. по 31.12.2019 г.</t>
  </si>
  <si>
    <t>2. Всего за период с 01.12.2019 по 31.12.2019 выполнено работ (оказано услуг) на общую сумму: 26486,38 руб.</t>
  </si>
  <si>
    <t>(двадцать шесть тысяч четыреста восемьдесят шесть рублей 38 копеек)</t>
  </si>
  <si>
    <t>2. Всего за период с 01.04.2019 по 30.04.2019 выполнено работ (оказано услуг) на общую сумму: 28703.45 руб.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</si>
</sst>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5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right" wrapText="1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4" fillId="0" borderId="0" xfId="0" applyFont="1"/>
    <xf numFmtId="0" fontId="11" fillId="2" borderId="3" xfId="0" applyFont="1" applyFill="1" applyBorder="1" applyAlignment="1">
      <alignment horizontal="left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 wrapText="1"/>
    </xf>
    <xf numFmtId="4" fontId="11" fillId="2" borderId="6" xfId="0" applyNumberFormat="1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4" fontId="11" fillId="4" borderId="8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left" vertical="center" wrapText="1"/>
    </xf>
    <xf numFmtId="14" fontId="11" fillId="2" borderId="8" xfId="0" applyNumberFormat="1" applyFont="1" applyFill="1" applyBorder="1" applyAlignment="1">
      <alignment horizontal="left" vertical="center" wrapText="1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B16" sqref="B16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162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51" t="s">
        <v>142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136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166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84">
        <v>43496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4" t="s">
        <v>163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5" t="s">
        <v>153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6" t="s">
        <v>60</v>
      </c>
      <c r="B14" s="156"/>
      <c r="C14" s="156"/>
      <c r="D14" s="156"/>
      <c r="E14" s="156"/>
      <c r="F14" s="156"/>
      <c r="G14" s="156"/>
      <c r="H14" s="156"/>
      <c r="I14" s="156"/>
      <c r="J14" s="8"/>
      <c r="K14" s="8"/>
      <c r="L14" s="8"/>
      <c r="M14" s="8"/>
    </row>
    <row r="15" spans="1:13" ht="1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0">
        <v>1</v>
      </c>
      <c r="B16" s="62" t="s">
        <v>83</v>
      </c>
      <c r="C16" s="63" t="s">
        <v>84</v>
      </c>
      <c r="D16" s="62" t="s">
        <v>195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26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116</v>
      </c>
      <c r="C17" s="63" t="s">
        <v>84</v>
      </c>
      <c r="D17" s="62" t="s">
        <v>196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117</v>
      </c>
      <c r="C18" s="63" t="s">
        <v>84</v>
      </c>
      <c r="D18" s="62" t="s">
        <v>197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/>
      <c r="B19" s="62" t="s">
        <v>91</v>
      </c>
      <c r="C19" s="63" t="s">
        <v>92</v>
      </c>
      <c r="D19" s="62" t="s">
        <v>93</v>
      </c>
      <c r="E19" s="64">
        <v>21.6</v>
      </c>
      <c r="F19" s="65">
        <f>SUM(E19/10)</f>
        <v>2.16</v>
      </c>
      <c r="G19" s="65">
        <v>211.74</v>
      </c>
      <c r="H19" s="66">
        <f t="shared" si="0"/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4</v>
      </c>
      <c r="B20" s="62" t="s">
        <v>94</v>
      </c>
      <c r="C20" s="63" t="s">
        <v>84</v>
      </c>
      <c r="D20" s="62" t="s">
        <v>43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0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95</v>
      </c>
      <c r="C21" s="63" t="s">
        <v>84</v>
      </c>
      <c r="D21" s="62" t="s">
        <v>43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0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/>
      <c r="B22" s="62" t="s">
        <v>96</v>
      </c>
      <c r="C22" s="63" t="s">
        <v>53</v>
      </c>
      <c r="D22" s="62" t="s">
        <v>93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0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/>
      <c r="B23" s="62" t="s">
        <v>97</v>
      </c>
      <c r="C23" s="63" t="s">
        <v>53</v>
      </c>
      <c r="D23" s="62" t="s">
        <v>93</v>
      </c>
      <c r="E23" s="67">
        <v>17.64</v>
      </c>
      <c r="F23" s="65">
        <f>SUM(E23/100)</f>
        <v>0.1764</v>
      </c>
      <c r="G23" s="65">
        <v>55.1</v>
      </c>
      <c r="H23" s="66">
        <f t="shared" si="0"/>
        <v>9.7196399999999999E-3</v>
      </c>
      <c r="I23" s="13">
        <f t="shared" ref="I23:I26" si="1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62" t="s">
        <v>98</v>
      </c>
      <c r="C24" s="63" t="s">
        <v>53</v>
      </c>
      <c r="D24" s="62" t="s">
        <v>99</v>
      </c>
      <c r="E24" s="64">
        <v>7.2</v>
      </c>
      <c r="F24" s="65">
        <f>E24/100</f>
        <v>7.2000000000000008E-2</v>
      </c>
      <c r="G24" s="65">
        <v>484.94</v>
      </c>
      <c r="H24" s="66">
        <f t="shared" si="0"/>
        <v>3.4915680000000004E-2</v>
      </c>
      <c r="I24" s="13">
        <f t="shared" si="1"/>
        <v>34.915680000000002</v>
      </c>
      <c r="J24" s="23"/>
      <c r="K24" s="8"/>
      <c r="L24" s="8"/>
      <c r="M24" s="8"/>
    </row>
    <row r="25" spans="1:13" ht="15.75" hidden="1" customHeight="1">
      <c r="A25" s="30"/>
      <c r="B25" s="62" t="s">
        <v>100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0"/>
        <v>2.5412939999999998E-2</v>
      </c>
      <c r="I25" s="13">
        <f t="shared" si="1"/>
        <v>25.412939999999999</v>
      </c>
      <c r="J25" s="23"/>
      <c r="K25" s="8"/>
      <c r="L25" s="8"/>
      <c r="M25" s="8"/>
    </row>
    <row r="26" spans="1:13" ht="15.75" hidden="1" customHeight="1">
      <c r="A26" s="30"/>
      <c r="B26" s="62" t="s">
        <v>101</v>
      </c>
      <c r="C26" s="63" t="s">
        <v>53</v>
      </c>
      <c r="D26" s="62" t="s">
        <v>93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0"/>
        <v>7.387740000000001E-2</v>
      </c>
      <c r="I26" s="13">
        <f t="shared" si="1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126" t="s">
        <v>194</v>
      </c>
      <c r="C27" s="127" t="s">
        <v>25</v>
      </c>
      <c r="D27" s="126" t="s">
        <v>198</v>
      </c>
      <c r="E27" s="128">
        <v>2.91</v>
      </c>
      <c r="F27" s="117">
        <f>E27*258</f>
        <v>750.78000000000009</v>
      </c>
      <c r="G27" s="117">
        <v>10.39</v>
      </c>
      <c r="H27" s="66">
        <f>SUM(F27*G27/1000)</f>
        <v>7.8006042000000013</v>
      </c>
      <c r="I27" s="13">
        <f>F27/12*G27</f>
        <v>650.05035000000009</v>
      </c>
      <c r="J27" s="23"/>
      <c r="K27" s="8"/>
    </row>
    <row r="28" spans="1:13" ht="15.75" customHeight="1">
      <c r="A28" s="148" t="s">
        <v>154</v>
      </c>
      <c r="B28" s="149"/>
      <c r="C28" s="149"/>
      <c r="D28" s="149"/>
      <c r="E28" s="149"/>
      <c r="F28" s="149"/>
      <c r="G28" s="149"/>
      <c r="H28" s="149"/>
      <c r="I28" s="150"/>
      <c r="J28" s="24"/>
    </row>
    <row r="29" spans="1:13" ht="15.75" hidden="1" customHeight="1">
      <c r="A29" s="30"/>
      <c r="B29" s="82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hidden="1" customHeight="1">
      <c r="A30" s="30">
        <v>8</v>
      </c>
      <c r="B30" s="62" t="s">
        <v>104</v>
      </c>
      <c r="C30" s="63" t="s">
        <v>87</v>
      </c>
      <c r="D30" s="62" t="s">
        <v>155</v>
      </c>
      <c r="E30" s="65">
        <v>61.5</v>
      </c>
      <c r="F30" s="65">
        <f>SUM(E30*52/1000)</f>
        <v>3.198</v>
      </c>
      <c r="G30" s="65">
        <v>193.97</v>
      </c>
      <c r="H30" s="66">
        <f t="shared" ref="H30:H35" si="2">SUM(F30*G30/1000)</f>
        <v>0.62031605999999995</v>
      </c>
      <c r="I30" s="13">
        <f t="shared" ref="I30:I31" si="3">F30/6*G30</f>
        <v>103.38601</v>
      </c>
      <c r="J30" s="23"/>
      <c r="K30" s="8"/>
      <c r="L30" s="8"/>
      <c r="M30" s="8"/>
    </row>
    <row r="31" spans="1:13" ht="31.5" hidden="1" customHeight="1">
      <c r="A31" s="30">
        <v>9</v>
      </c>
      <c r="B31" s="62" t="s">
        <v>103</v>
      </c>
      <c r="C31" s="63" t="s">
        <v>87</v>
      </c>
      <c r="D31" s="62" t="s">
        <v>156</v>
      </c>
      <c r="E31" s="65">
        <v>35.299999999999997</v>
      </c>
      <c r="F31" s="65">
        <f>SUM(E31*78/1000)</f>
        <v>2.7533999999999996</v>
      </c>
      <c r="G31" s="65">
        <v>321.82</v>
      </c>
      <c r="H31" s="66">
        <f t="shared" si="2"/>
        <v>0.88609918799999987</v>
      </c>
      <c r="I31" s="13">
        <f t="shared" si="3"/>
        <v>147.68319799999998</v>
      </c>
      <c r="J31" s="23"/>
      <c r="K31" s="8"/>
      <c r="L31" s="8"/>
      <c r="M31" s="8"/>
    </row>
    <row r="32" spans="1:13" ht="15.75" hidden="1" customHeight="1">
      <c r="A32" s="30"/>
      <c r="B32" s="62" t="s">
        <v>27</v>
      </c>
      <c r="C32" s="63" t="s">
        <v>87</v>
      </c>
      <c r="D32" s="62" t="s">
        <v>54</v>
      </c>
      <c r="E32" s="65">
        <v>61.5</v>
      </c>
      <c r="F32" s="65">
        <f>SUM(E32/1000)</f>
        <v>6.1499999999999999E-2</v>
      </c>
      <c r="G32" s="65">
        <v>3758.28</v>
      </c>
      <c r="H32" s="66">
        <f t="shared" si="2"/>
        <v>0.23113422</v>
      </c>
      <c r="I32" s="13">
        <f>F32*G32</f>
        <v>231.13422</v>
      </c>
      <c r="J32" s="23"/>
      <c r="K32" s="8"/>
      <c r="L32" s="8"/>
      <c r="M32" s="8"/>
    </row>
    <row r="33" spans="1:14" ht="15.75" hidden="1" customHeight="1">
      <c r="A33" s="30">
        <v>10</v>
      </c>
      <c r="B33" s="62" t="s">
        <v>102</v>
      </c>
      <c r="C33" s="63" t="s">
        <v>31</v>
      </c>
      <c r="D33" s="62" t="s">
        <v>64</v>
      </c>
      <c r="E33" s="69">
        <f>1/3</f>
        <v>0.33333333333333331</v>
      </c>
      <c r="F33" s="65">
        <f>155/3</f>
        <v>51.666666666666664</v>
      </c>
      <c r="G33" s="65">
        <v>70.540000000000006</v>
      </c>
      <c r="H33" s="66">
        <f t="shared" si="2"/>
        <v>3.6445666666666665</v>
      </c>
      <c r="I33" s="13">
        <f>F33/6*G33</f>
        <v>607.42777777777781</v>
      </c>
      <c r="J33" s="23"/>
      <c r="K33" s="8"/>
      <c r="L33" s="8"/>
      <c r="M33" s="8"/>
    </row>
    <row r="34" spans="1:14" ht="15.75" hidden="1" customHeight="1">
      <c r="A34" s="30"/>
      <c r="B34" s="62" t="s">
        <v>65</v>
      </c>
      <c r="C34" s="63" t="s">
        <v>33</v>
      </c>
      <c r="D34" s="62" t="s">
        <v>67</v>
      </c>
      <c r="E34" s="64"/>
      <c r="F34" s="65">
        <v>1</v>
      </c>
      <c r="G34" s="65">
        <v>238.07</v>
      </c>
      <c r="H34" s="66">
        <f t="shared" si="2"/>
        <v>0.23807</v>
      </c>
      <c r="I34" s="13">
        <v>0</v>
      </c>
      <c r="J34" s="24"/>
    </row>
    <row r="35" spans="1:14" ht="15.75" hidden="1" customHeight="1">
      <c r="A35" s="30"/>
      <c r="B35" s="62" t="s">
        <v>66</v>
      </c>
      <c r="C35" s="63" t="s">
        <v>32</v>
      </c>
      <c r="D35" s="62" t="s">
        <v>67</v>
      </c>
      <c r="E35" s="64"/>
      <c r="F35" s="65">
        <v>1</v>
      </c>
      <c r="G35" s="65">
        <v>1413.96</v>
      </c>
      <c r="H35" s="66">
        <f t="shared" si="2"/>
        <v>1.4139600000000001</v>
      </c>
      <c r="I35" s="13">
        <v>0</v>
      </c>
      <c r="J35" s="24"/>
    </row>
    <row r="36" spans="1:14" ht="15.75" customHeight="1">
      <c r="A36" s="30"/>
      <c r="B36" s="82" t="s">
        <v>5</v>
      </c>
      <c r="C36" s="63"/>
      <c r="D36" s="62"/>
      <c r="E36" s="64"/>
      <c r="F36" s="65"/>
      <c r="G36" s="65"/>
      <c r="H36" s="66" t="s">
        <v>118</v>
      </c>
      <c r="I36" s="13"/>
      <c r="J36" s="24"/>
      <c r="L36" s="19"/>
      <c r="M36" s="20"/>
      <c r="N36" s="21"/>
    </row>
    <row r="37" spans="1:14" ht="15.75" customHeight="1">
      <c r="A37" s="30">
        <v>5</v>
      </c>
      <c r="B37" s="62" t="s">
        <v>26</v>
      </c>
      <c r="C37" s="63" t="s">
        <v>32</v>
      </c>
      <c r="D37" s="62"/>
      <c r="E37" s="64"/>
      <c r="F37" s="65">
        <v>3</v>
      </c>
      <c r="G37" s="65">
        <v>1900.37</v>
      </c>
      <c r="H37" s="66">
        <f t="shared" ref="H37:H42" si="4">SUM(F37*G37/1000)</f>
        <v>5.7011099999999999</v>
      </c>
      <c r="I37" s="13">
        <f>G37*2.68</f>
        <v>5092.9916000000003</v>
      </c>
      <c r="J37" s="24"/>
      <c r="L37" s="19"/>
      <c r="M37" s="20"/>
      <c r="N37" s="21"/>
    </row>
    <row r="38" spans="1:14" ht="31.5" customHeight="1">
      <c r="A38" s="30">
        <v>6</v>
      </c>
      <c r="B38" s="62" t="s">
        <v>119</v>
      </c>
      <c r="C38" s="63" t="s">
        <v>29</v>
      </c>
      <c r="D38" s="62" t="s">
        <v>199</v>
      </c>
      <c r="E38" s="64">
        <v>35.299999999999997</v>
      </c>
      <c r="F38" s="65">
        <f>E38*30/1000</f>
        <v>1.0589999999999999</v>
      </c>
      <c r="G38" s="65">
        <v>2616.4899999999998</v>
      </c>
      <c r="H38" s="66">
        <f t="shared" si="4"/>
        <v>2.77086291</v>
      </c>
      <c r="I38" s="13">
        <f t="shared" ref="I38:I40" si="5">F38/6*G38</f>
        <v>461.81048499999991</v>
      </c>
      <c r="J38" s="24"/>
      <c r="L38" s="19"/>
      <c r="M38" s="20"/>
      <c r="N38" s="21"/>
    </row>
    <row r="39" spans="1:14" ht="15.75" customHeight="1">
      <c r="A39" s="30">
        <v>7</v>
      </c>
      <c r="B39" s="62" t="s">
        <v>120</v>
      </c>
      <c r="C39" s="63" t="s">
        <v>29</v>
      </c>
      <c r="D39" s="62" t="s">
        <v>200</v>
      </c>
      <c r="E39" s="64">
        <v>35.299999999999997</v>
      </c>
      <c r="F39" s="65">
        <f>SUM(E39*155/1000)</f>
        <v>5.4714999999999998</v>
      </c>
      <c r="G39" s="65">
        <v>436.45</v>
      </c>
      <c r="H39" s="66">
        <f t="shared" si="4"/>
        <v>2.3880361749999999</v>
      </c>
      <c r="I39" s="13">
        <f t="shared" si="5"/>
        <v>398.00602916666662</v>
      </c>
      <c r="J39" s="24"/>
      <c r="L39" s="19"/>
      <c r="M39" s="20"/>
      <c r="N39" s="21"/>
    </row>
    <row r="40" spans="1:14" ht="47.25" customHeight="1">
      <c r="A40" s="30">
        <v>8</v>
      </c>
      <c r="B40" s="62" t="s">
        <v>121</v>
      </c>
      <c r="C40" s="63" t="s">
        <v>87</v>
      </c>
      <c r="D40" s="62" t="s">
        <v>201</v>
      </c>
      <c r="E40" s="64">
        <v>35.299999999999997</v>
      </c>
      <c r="F40" s="65">
        <f>SUM(E40*24/1000)</f>
        <v>0.84719999999999995</v>
      </c>
      <c r="G40" s="65">
        <v>7221.21</v>
      </c>
      <c r="H40" s="66">
        <f t="shared" si="4"/>
        <v>6.1178091119999998</v>
      </c>
      <c r="I40" s="13">
        <f t="shared" si="5"/>
        <v>1019.6348519999999</v>
      </c>
      <c r="J40" s="24"/>
      <c r="L40" s="19"/>
      <c r="M40" s="20"/>
      <c r="N40" s="21"/>
    </row>
    <row r="41" spans="1:14" ht="15.75" customHeight="1">
      <c r="A41" s="30">
        <v>9</v>
      </c>
      <c r="B41" s="62" t="s">
        <v>123</v>
      </c>
      <c r="C41" s="63" t="s">
        <v>87</v>
      </c>
      <c r="D41" s="62" t="s">
        <v>202</v>
      </c>
      <c r="E41" s="64">
        <v>35.299999999999997</v>
      </c>
      <c r="F41" s="65">
        <f>SUM(E41*45/1000)</f>
        <v>1.5884999999999998</v>
      </c>
      <c r="G41" s="65">
        <v>533.45000000000005</v>
      </c>
      <c r="H41" s="66">
        <f t="shared" si="4"/>
        <v>0.84738532499999997</v>
      </c>
      <c r="I41" s="13">
        <f>F41/7.5*G41</f>
        <v>112.98470999999999</v>
      </c>
      <c r="J41" s="24"/>
      <c r="L41" s="19"/>
      <c r="M41" s="20"/>
      <c r="N41" s="21"/>
    </row>
    <row r="42" spans="1:14" ht="15.75" customHeight="1">
      <c r="A42" s="30">
        <v>10</v>
      </c>
      <c r="B42" s="62" t="s">
        <v>69</v>
      </c>
      <c r="C42" s="63" t="s">
        <v>33</v>
      </c>
      <c r="D42" s="62"/>
      <c r="E42" s="64"/>
      <c r="F42" s="65">
        <v>0.3</v>
      </c>
      <c r="G42" s="65">
        <v>992.97</v>
      </c>
      <c r="H42" s="66">
        <f t="shared" si="4"/>
        <v>0.29789100000000002</v>
      </c>
      <c r="I42" s="13">
        <f>F42/7.5*G42</f>
        <v>39.718800000000002</v>
      </c>
      <c r="J42" s="24"/>
      <c r="L42" s="19"/>
      <c r="M42" s="20"/>
      <c r="N42" s="21"/>
    </row>
    <row r="43" spans="1:14" ht="15.75" customHeight="1">
      <c r="A43" s="148" t="s">
        <v>139</v>
      </c>
      <c r="B43" s="149"/>
      <c r="C43" s="149"/>
      <c r="D43" s="149"/>
      <c r="E43" s="149"/>
      <c r="F43" s="149"/>
      <c r="G43" s="149"/>
      <c r="H43" s="149"/>
      <c r="I43" s="150"/>
      <c r="J43" s="24"/>
      <c r="L43" s="19"/>
      <c r="M43" s="20"/>
      <c r="N43" s="21"/>
    </row>
    <row r="44" spans="1:14" ht="15.75" hidden="1" customHeight="1">
      <c r="A44" s="30">
        <v>11</v>
      </c>
      <c r="B44" s="62" t="s">
        <v>105</v>
      </c>
      <c r="C44" s="63" t="s">
        <v>87</v>
      </c>
      <c r="D44" s="62" t="s">
        <v>43</v>
      </c>
      <c r="E44" s="64">
        <v>907.4</v>
      </c>
      <c r="F44" s="65">
        <f>SUM(E44*2/1000)</f>
        <v>1.8148</v>
      </c>
      <c r="G44" s="13">
        <v>1283.46</v>
      </c>
      <c r="H44" s="66">
        <f t="shared" ref="H44:H53" si="6">SUM(F44*G44/1000)</f>
        <v>2.3292232079999997</v>
      </c>
      <c r="I44" s="13">
        <f>F44/2*G44</f>
        <v>1164.6116039999999</v>
      </c>
      <c r="J44" s="24"/>
      <c r="L44" s="19"/>
      <c r="M44" s="20"/>
      <c r="N44" s="21"/>
    </row>
    <row r="45" spans="1:14" ht="15.75" hidden="1" customHeight="1">
      <c r="A45" s="30">
        <v>12</v>
      </c>
      <c r="B45" s="62" t="s">
        <v>36</v>
      </c>
      <c r="C45" s="63" t="s">
        <v>87</v>
      </c>
      <c r="D45" s="62" t="s">
        <v>43</v>
      </c>
      <c r="E45" s="64">
        <v>27</v>
      </c>
      <c r="F45" s="65">
        <f>SUM(E45*2/1000)</f>
        <v>5.3999999999999999E-2</v>
      </c>
      <c r="G45" s="13">
        <v>4192.6400000000003</v>
      </c>
      <c r="H45" s="66">
        <f t="shared" si="6"/>
        <v>0.22640256000000003</v>
      </c>
      <c r="I45" s="13">
        <f t="shared" ref="I45:I52" si="7">F45/2*G45</f>
        <v>113.20128000000001</v>
      </c>
      <c r="J45" s="24"/>
      <c r="L45" s="19"/>
      <c r="M45" s="20"/>
      <c r="N45" s="21"/>
    </row>
    <row r="46" spans="1:14" ht="15.75" hidden="1" customHeight="1">
      <c r="A46" s="30">
        <v>13</v>
      </c>
      <c r="B46" s="62" t="s">
        <v>37</v>
      </c>
      <c r="C46" s="63" t="s">
        <v>87</v>
      </c>
      <c r="D46" s="62" t="s">
        <v>43</v>
      </c>
      <c r="E46" s="64">
        <v>772</v>
      </c>
      <c r="F46" s="65">
        <f>SUM(E46*2/1000)</f>
        <v>1.544</v>
      </c>
      <c r="G46" s="13">
        <v>1711.28</v>
      </c>
      <c r="H46" s="66">
        <f t="shared" si="6"/>
        <v>2.6422163200000002</v>
      </c>
      <c r="I46" s="13">
        <f t="shared" si="7"/>
        <v>1321.10816</v>
      </c>
      <c r="J46" s="24"/>
      <c r="L46" s="19"/>
      <c r="M46" s="20"/>
      <c r="N46" s="21"/>
    </row>
    <row r="47" spans="1:14" ht="15.75" hidden="1" customHeight="1">
      <c r="A47" s="30">
        <v>14</v>
      </c>
      <c r="B47" s="62" t="s">
        <v>38</v>
      </c>
      <c r="C47" s="63" t="s">
        <v>87</v>
      </c>
      <c r="D47" s="62" t="s">
        <v>43</v>
      </c>
      <c r="E47" s="64">
        <v>959.4</v>
      </c>
      <c r="F47" s="65">
        <f>SUM(E47*2/1000)</f>
        <v>1.9188000000000001</v>
      </c>
      <c r="G47" s="13">
        <v>1179.73</v>
      </c>
      <c r="H47" s="66">
        <f t="shared" si="6"/>
        <v>2.2636659240000001</v>
      </c>
      <c r="I47" s="13">
        <f t="shared" si="7"/>
        <v>1131.832962</v>
      </c>
      <c r="J47" s="24"/>
      <c r="L47" s="19"/>
      <c r="M47" s="20"/>
      <c r="N47" s="21"/>
    </row>
    <row r="48" spans="1:14" ht="15.75" hidden="1" customHeight="1">
      <c r="A48" s="30">
        <v>15</v>
      </c>
      <c r="B48" s="62" t="s">
        <v>34</v>
      </c>
      <c r="C48" s="63" t="s">
        <v>35</v>
      </c>
      <c r="D48" s="62" t="s">
        <v>43</v>
      </c>
      <c r="E48" s="64">
        <v>66.02</v>
      </c>
      <c r="F48" s="65">
        <f>SUM(E48*2/100)</f>
        <v>1.3204</v>
      </c>
      <c r="G48" s="13">
        <v>90.61</v>
      </c>
      <c r="H48" s="66">
        <f t="shared" si="6"/>
        <v>0.11964144400000001</v>
      </c>
      <c r="I48" s="13">
        <f t="shared" si="7"/>
        <v>59.820722000000004</v>
      </c>
      <c r="J48" s="24"/>
      <c r="L48" s="19"/>
      <c r="M48" s="20"/>
      <c r="N48" s="21"/>
    </row>
    <row r="49" spans="1:22" ht="15.75" customHeight="1">
      <c r="A49" s="30">
        <v>11</v>
      </c>
      <c r="B49" s="62" t="s">
        <v>57</v>
      </c>
      <c r="C49" s="63" t="s">
        <v>87</v>
      </c>
      <c r="D49" s="62" t="s">
        <v>176</v>
      </c>
      <c r="E49" s="64">
        <v>1536.4</v>
      </c>
      <c r="F49" s="65">
        <f>SUM(E49*5/1000)</f>
        <v>7.6820000000000004</v>
      </c>
      <c r="G49" s="13">
        <v>1711.28</v>
      </c>
      <c r="H49" s="66">
        <f t="shared" si="6"/>
        <v>13.14605296</v>
      </c>
      <c r="I49" s="13">
        <f>F49/5*G49</f>
        <v>2629.2105919999999</v>
      </c>
      <c r="J49" s="24"/>
      <c r="L49" s="19"/>
      <c r="M49" s="20"/>
      <c r="N49" s="21"/>
    </row>
    <row r="50" spans="1:22" ht="32.25" hidden="1" customHeight="1">
      <c r="A50" s="30"/>
      <c r="B50" s="62" t="s">
        <v>88</v>
      </c>
      <c r="C50" s="63" t="s">
        <v>87</v>
      </c>
      <c r="D50" s="62" t="s">
        <v>43</v>
      </c>
      <c r="E50" s="64">
        <v>1536.4</v>
      </c>
      <c r="F50" s="65">
        <f>SUM(E50*2/1000)</f>
        <v>3.0728</v>
      </c>
      <c r="G50" s="13">
        <v>1510.06</v>
      </c>
      <c r="H50" s="66">
        <f t="shared" si="6"/>
        <v>4.6401123680000005</v>
      </c>
      <c r="I50" s="13">
        <f t="shared" si="7"/>
        <v>2320.056184</v>
      </c>
      <c r="J50" s="24"/>
      <c r="L50" s="19"/>
      <c r="M50" s="20"/>
      <c r="N50" s="21"/>
    </row>
    <row r="51" spans="1:22" ht="32.25" hidden="1" customHeight="1">
      <c r="A51" s="30"/>
      <c r="B51" s="62" t="s">
        <v>89</v>
      </c>
      <c r="C51" s="63" t="s">
        <v>39</v>
      </c>
      <c r="D51" s="62" t="s">
        <v>43</v>
      </c>
      <c r="E51" s="64">
        <v>9</v>
      </c>
      <c r="F51" s="65">
        <f>SUM(E51*2/100)</f>
        <v>0.18</v>
      </c>
      <c r="G51" s="13">
        <v>3850.4</v>
      </c>
      <c r="H51" s="66">
        <f t="shared" si="6"/>
        <v>0.69307200000000002</v>
      </c>
      <c r="I51" s="13">
        <f t="shared" si="7"/>
        <v>346.536</v>
      </c>
      <c r="J51" s="24"/>
      <c r="L51" s="19"/>
      <c r="M51" s="20"/>
      <c r="N51" s="21"/>
    </row>
    <row r="52" spans="1:22" ht="15.75" hidden="1" customHeight="1">
      <c r="A52" s="30"/>
      <c r="B52" s="62" t="s">
        <v>40</v>
      </c>
      <c r="C52" s="63" t="s">
        <v>41</v>
      </c>
      <c r="D52" s="62" t="s">
        <v>43</v>
      </c>
      <c r="E52" s="64">
        <v>1</v>
      </c>
      <c r="F52" s="65">
        <v>0.02</v>
      </c>
      <c r="G52" s="13">
        <v>7033.13</v>
      </c>
      <c r="H52" s="66">
        <f t="shared" si="6"/>
        <v>0.1406626</v>
      </c>
      <c r="I52" s="13">
        <f t="shared" si="7"/>
        <v>70.331299999999999</v>
      </c>
      <c r="J52" s="24"/>
      <c r="L52" s="19"/>
      <c r="M52" s="20"/>
      <c r="N52" s="21"/>
    </row>
    <row r="53" spans="1:22" ht="15.75" hidden="1" customHeight="1">
      <c r="A53" s="30">
        <v>13</v>
      </c>
      <c r="B53" s="62" t="s">
        <v>42</v>
      </c>
      <c r="C53" s="63" t="s">
        <v>106</v>
      </c>
      <c r="D53" s="62" t="s">
        <v>70</v>
      </c>
      <c r="E53" s="64">
        <v>53</v>
      </c>
      <c r="F53" s="65">
        <f>53*3</f>
        <v>159</v>
      </c>
      <c r="G53" s="13">
        <v>81.73</v>
      </c>
      <c r="H53" s="66">
        <f t="shared" si="6"/>
        <v>12.995070000000002</v>
      </c>
      <c r="I53" s="13">
        <f>F53/3*G53</f>
        <v>4331.6900000000005</v>
      </c>
      <c r="J53" s="24"/>
      <c r="L53" s="19"/>
    </row>
    <row r="54" spans="1:22" ht="15.75" customHeight="1">
      <c r="A54" s="148" t="s">
        <v>140</v>
      </c>
      <c r="B54" s="149"/>
      <c r="C54" s="149"/>
      <c r="D54" s="149"/>
      <c r="E54" s="149"/>
      <c r="F54" s="149"/>
      <c r="G54" s="149"/>
      <c r="H54" s="149"/>
      <c r="I54" s="150"/>
    </row>
    <row r="55" spans="1:22" ht="15.75" hidden="1" customHeight="1">
      <c r="A55" s="30"/>
      <c r="B55" s="82" t="s">
        <v>44</v>
      </c>
      <c r="C55" s="63"/>
      <c r="D55" s="62"/>
      <c r="E55" s="64"/>
      <c r="F55" s="65"/>
      <c r="G55" s="65"/>
      <c r="H55" s="66"/>
      <c r="I55" s="13"/>
    </row>
    <row r="56" spans="1:22" ht="31.5" hidden="1" customHeight="1">
      <c r="A56" s="30">
        <v>14</v>
      </c>
      <c r="B56" s="62" t="s">
        <v>107</v>
      </c>
      <c r="C56" s="63" t="s">
        <v>84</v>
      </c>
      <c r="D56" s="62" t="s">
        <v>108</v>
      </c>
      <c r="E56" s="64">
        <v>11.5</v>
      </c>
      <c r="F56" s="65">
        <f>SUM(E56*6/100)</f>
        <v>0.69</v>
      </c>
      <c r="G56" s="13">
        <v>2306.62</v>
      </c>
      <c r="H56" s="66">
        <f>SUM(F56*G56/1000)</f>
        <v>1.5915677999999998</v>
      </c>
      <c r="I56" s="13">
        <f>F56/6*G56</f>
        <v>265.26129999999995</v>
      </c>
    </row>
    <row r="57" spans="1:22" ht="15.75" hidden="1" customHeight="1">
      <c r="A57" s="30"/>
      <c r="B57" s="62" t="s">
        <v>124</v>
      </c>
      <c r="C57" s="63" t="s">
        <v>125</v>
      </c>
      <c r="D57" s="62" t="s">
        <v>67</v>
      </c>
      <c r="E57" s="64"/>
      <c r="F57" s="65">
        <v>2</v>
      </c>
      <c r="G57" s="85">
        <v>1501</v>
      </c>
      <c r="H57" s="66">
        <f>SUM(F57*G57/1000)</f>
        <v>3.0019999999999998</v>
      </c>
      <c r="I57" s="13">
        <v>0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15.75" customHeight="1">
      <c r="A58" s="30"/>
      <c r="B58" s="82" t="s">
        <v>45</v>
      </c>
      <c r="C58" s="63"/>
      <c r="D58" s="62"/>
      <c r="E58" s="64"/>
      <c r="F58" s="65"/>
      <c r="G58" s="86"/>
      <c r="H58" s="66"/>
      <c r="I58" s="13"/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5.75" hidden="1" customHeight="1">
      <c r="A59" s="30"/>
      <c r="B59" s="62" t="s">
        <v>109</v>
      </c>
      <c r="C59" s="63" t="s">
        <v>84</v>
      </c>
      <c r="D59" s="62" t="s">
        <v>54</v>
      </c>
      <c r="E59" s="64">
        <v>148</v>
      </c>
      <c r="F59" s="66">
        <f>E59/100</f>
        <v>1.48</v>
      </c>
      <c r="G59" s="13">
        <v>987.51</v>
      </c>
      <c r="H59" s="71">
        <f>F59*G59/1000</f>
        <v>1.4615148</v>
      </c>
      <c r="I59" s="13">
        <v>0</v>
      </c>
      <c r="J59" s="3"/>
      <c r="K59" s="3"/>
      <c r="L59" s="3"/>
      <c r="M59" s="3"/>
      <c r="N59" s="3"/>
      <c r="O59" s="3"/>
      <c r="P59" s="3"/>
      <c r="Q59" s="3"/>
      <c r="S59" s="3"/>
      <c r="T59" s="3"/>
      <c r="U59" s="3"/>
    </row>
    <row r="60" spans="1:22" ht="15.75" customHeight="1">
      <c r="A60" s="30">
        <v>12</v>
      </c>
      <c r="B60" s="114" t="s">
        <v>135</v>
      </c>
      <c r="C60" s="115" t="s">
        <v>25</v>
      </c>
      <c r="D60" s="114" t="s">
        <v>176</v>
      </c>
      <c r="E60" s="116">
        <v>110</v>
      </c>
      <c r="F60" s="117">
        <f>E60*12</f>
        <v>1320</v>
      </c>
      <c r="G60" s="118">
        <v>1.4</v>
      </c>
      <c r="H60" s="119">
        <f>F60*G60/1000</f>
        <v>1.8479999999999999</v>
      </c>
      <c r="I60" s="13">
        <f>F60/12*G60</f>
        <v>154</v>
      </c>
      <c r="J60" s="5"/>
      <c r="K60" s="5"/>
      <c r="L60" s="5"/>
      <c r="M60" s="5"/>
      <c r="N60" s="5"/>
      <c r="O60" s="5"/>
      <c r="P60" s="5"/>
      <c r="Q60" s="5"/>
      <c r="R60" s="141"/>
      <c r="S60" s="141"/>
      <c r="T60" s="141"/>
      <c r="U60" s="141"/>
    </row>
    <row r="61" spans="1:22" ht="15.75" customHeight="1">
      <c r="A61" s="30"/>
      <c r="B61" s="83" t="s">
        <v>46</v>
      </c>
      <c r="C61" s="72"/>
      <c r="D61" s="73"/>
      <c r="E61" s="74"/>
      <c r="F61" s="75"/>
      <c r="G61" s="75"/>
      <c r="H61" s="76" t="s">
        <v>118</v>
      </c>
      <c r="I61" s="13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2" ht="15.75" hidden="1" customHeight="1">
      <c r="A62" s="30">
        <v>16</v>
      </c>
      <c r="B62" s="14" t="s">
        <v>47</v>
      </c>
      <c r="C62" s="16" t="s">
        <v>106</v>
      </c>
      <c r="D62" s="14" t="s">
        <v>67</v>
      </c>
      <c r="E62" s="18">
        <v>2</v>
      </c>
      <c r="F62" s="65">
        <f>E62</f>
        <v>2</v>
      </c>
      <c r="G62" s="13">
        <v>276.74</v>
      </c>
      <c r="H62" s="61">
        <f t="shared" ref="H62:H78" si="8">SUM(F62*G62/1000)</f>
        <v>0.55347999999999997</v>
      </c>
      <c r="I62" s="13">
        <f>G62</f>
        <v>276.74</v>
      </c>
    </row>
    <row r="63" spans="1:22" ht="15.75" hidden="1" customHeight="1">
      <c r="A63" s="30"/>
      <c r="B63" s="14" t="s">
        <v>48</v>
      </c>
      <c r="C63" s="16" t="s">
        <v>106</v>
      </c>
      <c r="D63" s="14" t="s">
        <v>67</v>
      </c>
      <c r="E63" s="18">
        <v>1</v>
      </c>
      <c r="F63" s="65">
        <f>E63</f>
        <v>1</v>
      </c>
      <c r="G63" s="13">
        <v>94.89</v>
      </c>
      <c r="H63" s="61">
        <f t="shared" si="8"/>
        <v>9.4890000000000002E-2</v>
      </c>
      <c r="I63" s="13">
        <v>0</v>
      </c>
    </row>
    <row r="64" spans="1:22" ht="15.75" hidden="1" customHeight="1">
      <c r="A64" s="30"/>
      <c r="B64" s="14" t="s">
        <v>49</v>
      </c>
      <c r="C64" s="16" t="s">
        <v>110</v>
      </c>
      <c r="D64" s="14" t="s">
        <v>54</v>
      </c>
      <c r="E64" s="64">
        <v>6307</v>
      </c>
      <c r="F64" s="13">
        <f>SUM(E64/100)</f>
        <v>63.07</v>
      </c>
      <c r="G64" s="13">
        <v>263.99</v>
      </c>
      <c r="H64" s="61">
        <f t="shared" si="8"/>
        <v>16.649849300000003</v>
      </c>
      <c r="I64" s="13">
        <v>0</v>
      </c>
    </row>
    <row r="65" spans="1:9" ht="15.75" hidden="1" customHeight="1">
      <c r="A65" s="30"/>
      <c r="B65" s="14" t="s">
        <v>50</v>
      </c>
      <c r="C65" s="16" t="s">
        <v>111</v>
      </c>
      <c r="D65" s="14"/>
      <c r="E65" s="64">
        <v>6307</v>
      </c>
      <c r="F65" s="13">
        <f>SUM(E65/1000)</f>
        <v>6.3070000000000004</v>
      </c>
      <c r="G65" s="13">
        <v>205.57</v>
      </c>
      <c r="H65" s="61">
        <f t="shared" si="8"/>
        <v>1.29652999</v>
      </c>
      <c r="I65" s="13">
        <v>0</v>
      </c>
    </row>
    <row r="66" spans="1:9" ht="15.75" hidden="1" customHeight="1">
      <c r="A66" s="30"/>
      <c r="B66" s="14" t="s">
        <v>51</v>
      </c>
      <c r="C66" s="16" t="s">
        <v>76</v>
      </c>
      <c r="D66" s="14" t="s">
        <v>54</v>
      </c>
      <c r="E66" s="64">
        <v>1003</v>
      </c>
      <c r="F66" s="13">
        <f>SUM(E66/100)</f>
        <v>10.029999999999999</v>
      </c>
      <c r="G66" s="13">
        <v>2581.5300000000002</v>
      </c>
      <c r="H66" s="61">
        <f t="shared" si="8"/>
        <v>25.892745900000001</v>
      </c>
      <c r="I66" s="13">
        <v>0</v>
      </c>
    </row>
    <row r="67" spans="1:9" ht="15.75" hidden="1" customHeight="1">
      <c r="A67" s="30"/>
      <c r="B67" s="77" t="s">
        <v>112</v>
      </c>
      <c r="C67" s="16" t="s">
        <v>33</v>
      </c>
      <c r="D67" s="14"/>
      <c r="E67" s="64">
        <v>6.6</v>
      </c>
      <c r="F67" s="13">
        <f>SUM(E67)</f>
        <v>6.6</v>
      </c>
      <c r="G67" s="13">
        <v>47.75</v>
      </c>
      <c r="H67" s="61">
        <f t="shared" si="8"/>
        <v>0.31514999999999999</v>
      </c>
      <c r="I67" s="13">
        <v>0</v>
      </c>
    </row>
    <row r="68" spans="1:9" ht="15.75" hidden="1" customHeight="1">
      <c r="A68" s="30"/>
      <c r="B68" s="77" t="s">
        <v>113</v>
      </c>
      <c r="C68" s="16" t="s">
        <v>33</v>
      </c>
      <c r="D68" s="14"/>
      <c r="E68" s="64">
        <v>6.6</v>
      </c>
      <c r="F68" s="13">
        <f>SUM(E68)</f>
        <v>6.6</v>
      </c>
      <c r="G68" s="13">
        <v>44.27</v>
      </c>
      <c r="H68" s="61">
        <f t="shared" si="8"/>
        <v>0.292182</v>
      </c>
      <c r="I68" s="13">
        <v>0</v>
      </c>
    </row>
    <row r="69" spans="1:9" ht="15.75" hidden="1" customHeight="1">
      <c r="A69" s="30">
        <v>19</v>
      </c>
      <c r="B69" s="14" t="s">
        <v>58</v>
      </c>
      <c r="C69" s="16" t="s">
        <v>59</v>
      </c>
      <c r="D69" s="14" t="s">
        <v>54</v>
      </c>
      <c r="E69" s="18">
        <v>3</v>
      </c>
      <c r="F69" s="65">
        <v>3</v>
      </c>
      <c r="G69" s="13">
        <v>62.07</v>
      </c>
      <c r="H69" s="61">
        <f t="shared" si="8"/>
        <v>0.18621000000000001</v>
      </c>
      <c r="I69" s="13">
        <f>F69*G69</f>
        <v>186.21</v>
      </c>
    </row>
    <row r="70" spans="1:9" ht="15.75" customHeight="1">
      <c r="A70" s="30">
        <v>13</v>
      </c>
      <c r="B70" s="14" t="s">
        <v>126</v>
      </c>
      <c r="C70" s="30" t="s">
        <v>127</v>
      </c>
      <c r="D70" s="14"/>
      <c r="E70" s="18">
        <v>1536.4</v>
      </c>
      <c r="F70" s="56">
        <f>E70*12</f>
        <v>18436.800000000003</v>
      </c>
      <c r="G70" s="13">
        <v>2.16</v>
      </c>
      <c r="H70" s="61">
        <f t="shared" si="8"/>
        <v>39.823488000000012</v>
      </c>
      <c r="I70" s="13">
        <f>F70/12*G70</f>
        <v>3318.6240000000007</v>
      </c>
    </row>
    <row r="71" spans="1:9" ht="15.75" customHeight="1">
      <c r="A71" s="30"/>
      <c r="B71" s="93" t="s">
        <v>71</v>
      </c>
      <c r="C71" s="16"/>
      <c r="D71" s="14"/>
      <c r="E71" s="18"/>
      <c r="F71" s="13"/>
      <c r="G71" s="13"/>
      <c r="H71" s="61" t="s">
        <v>118</v>
      </c>
      <c r="I71" s="13"/>
    </row>
    <row r="72" spans="1:9" ht="15.75" hidden="1" customHeight="1">
      <c r="A72" s="30"/>
      <c r="B72" s="14" t="s">
        <v>129</v>
      </c>
      <c r="C72" s="16" t="s">
        <v>130</v>
      </c>
      <c r="D72" s="14" t="s">
        <v>67</v>
      </c>
      <c r="E72" s="18">
        <v>1</v>
      </c>
      <c r="F72" s="13">
        <f>E72</f>
        <v>1</v>
      </c>
      <c r="G72" s="13">
        <v>976.4</v>
      </c>
      <c r="H72" s="61">
        <f t="shared" ref="H72:H73" si="9">SUM(F72*G72/1000)</f>
        <v>0.97639999999999993</v>
      </c>
      <c r="I72" s="13">
        <v>0</v>
      </c>
    </row>
    <row r="73" spans="1:9" ht="15.75" hidden="1" customHeight="1">
      <c r="A73" s="30"/>
      <c r="B73" s="14" t="s">
        <v>131</v>
      </c>
      <c r="C73" s="16" t="s">
        <v>132</v>
      </c>
      <c r="D73" s="14"/>
      <c r="E73" s="18">
        <v>1</v>
      </c>
      <c r="F73" s="13">
        <v>1</v>
      </c>
      <c r="G73" s="13">
        <v>650</v>
      </c>
      <c r="H73" s="61">
        <f t="shared" si="9"/>
        <v>0.65</v>
      </c>
      <c r="I73" s="13">
        <v>0</v>
      </c>
    </row>
    <row r="74" spans="1:9" ht="15.75" hidden="1" customHeight="1">
      <c r="A74" s="30"/>
      <c r="B74" s="14" t="s">
        <v>72</v>
      </c>
      <c r="C74" s="16" t="s">
        <v>74</v>
      </c>
      <c r="D74" s="14"/>
      <c r="E74" s="18">
        <v>3</v>
      </c>
      <c r="F74" s="13">
        <v>0.3</v>
      </c>
      <c r="G74" s="13">
        <v>624.16999999999996</v>
      </c>
      <c r="H74" s="61">
        <f t="shared" si="8"/>
        <v>0.18725099999999997</v>
      </c>
      <c r="I74" s="13">
        <v>0</v>
      </c>
    </row>
    <row r="75" spans="1:9" ht="15.75" hidden="1" customHeight="1">
      <c r="A75" s="30"/>
      <c r="B75" s="14" t="s">
        <v>73</v>
      </c>
      <c r="C75" s="16" t="s">
        <v>31</v>
      </c>
      <c r="D75" s="14"/>
      <c r="E75" s="18">
        <v>1</v>
      </c>
      <c r="F75" s="56">
        <v>1</v>
      </c>
      <c r="G75" s="13">
        <v>1061.4100000000001</v>
      </c>
      <c r="H75" s="61">
        <f>F75*G75/1000</f>
        <v>1.0614100000000002</v>
      </c>
      <c r="I75" s="13">
        <v>0</v>
      </c>
    </row>
    <row r="76" spans="1:9" ht="15.75" customHeight="1">
      <c r="A76" s="30">
        <v>14</v>
      </c>
      <c r="B76" s="46" t="s">
        <v>133</v>
      </c>
      <c r="C76" s="47" t="s">
        <v>106</v>
      </c>
      <c r="D76" s="14" t="s">
        <v>203</v>
      </c>
      <c r="E76" s="18">
        <v>1</v>
      </c>
      <c r="F76" s="13">
        <f>E76*12</f>
        <v>12</v>
      </c>
      <c r="G76" s="13">
        <v>50.69</v>
      </c>
      <c r="H76" s="61">
        <f>G76*F76/1000</f>
        <v>0.60827999999999993</v>
      </c>
      <c r="I76" s="13">
        <f>G76</f>
        <v>50.69</v>
      </c>
    </row>
    <row r="77" spans="1:9" ht="15.75" hidden="1" customHeight="1">
      <c r="A77" s="30"/>
      <c r="B77" s="79" t="s">
        <v>75</v>
      </c>
      <c r="C77" s="16"/>
      <c r="D77" s="14"/>
      <c r="E77" s="18"/>
      <c r="F77" s="13"/>
      <c r="G77" s="13" t="s">
        <v>118</v>
      </c>
      <c r="H77" s="61" t="s">
        <v>118</v>
      </c>
      <c r="I77" s="13" t="str">
        <f>G77</f>
        <v xml:space="preserve"> </v>
      </c>
    </row>
    <row r="78" spans="1:9" ht="15.75" hidden="1" customHeight="1">
      <c r="A78" s="30"/>
      <c r="B78" s="43" t="s">
        <v>134</v>
      </c>
      <c r="C78" s="16" t="s">
        <v>76</v>
      </c>
      <c r="D78" s="14"/>
      <c r="E78" s="18"/>
      <c r="F78" s="13">
        <v>0.1</v>
      </c>
      <c r="G78" s="13">
        <v>3433.69</v>
      </c>
      <c r="H78" s="61">
        <f t="shared" si="8"/>
        <v>0.34336900000000004</v>
      </c>
      <c r="I78" s="13">
        <v>0</v>
      </c>
    </row>
    <row r="79" spans="1:9" ht="15.75" hidden="1" customHeight="1">
      <c r="A79" s="30"/>
      <c r="B79" s="55" t="s">
        <v>90</v>
      </c>
      <c r="C79" s="79"/>
      <c r="D79" s="31"/>
      <c r="E79" s="32"/>
      <c r="F79" s="68"/>
      <c r="G79" s="68"/>
      <c r="H79" s="80">
        <f>SUM(H56:H78)</f>
        <v>96.834317790000014</v>
      </c>
      <c r="I79" s="13"/>
    </row>
    <row r="80" spans="1:9" ht="15.75" hidden="1" customHeight="1">
      <c r="A80" s="30"/>
      <c r="B80" s="62" t="s">
        <v>114</v>
      </c>
      <c r="C80" s="16"/>
      <c r="D80" s="14"/>
      <c r="E80" s="57"/>
      <c r="F80" s="13">
        <v>1</v>
      </c>
      <c r="G80" s="35">
        <v>6105.8</v>
      </c>
      <c r="H80" s="61">
        <f>G80*F80/1000</f>
        <v>6.1058000000000003</v>
      </c>
      <c r="I80" s="13">
        <v>0</v>
      </c>
    </row>
    <row r="81" spans="1:9" ht="15.75" customHeight="1">
      <c r="A81" s="148" t="s">
        <v>141</v>
      </c>
      <c r="B81" s="149"/>
      <c r="C81" s="149"/>
      <c r="D81" s="149"/>
      <c r="E81" s="149"/>
      <c r="F81" s="149"/>
      <c r="G81" s="149"/>
      <c r="H81" s="149"/>
      <c r="I81" s="150"/>
    </row>
    <row r="82" spans="1:9" ht="15.75" customHeight="1">
      <c r="A82" s="30">
        <v>15</v>
      </c>
      <c r="B82" s="62" t="s">
        <v>115</v>
      </c>
      <c r="C82" s="16" t="s">
        <v>55</v>
      </c>
      <c r="D82" s="81"/>
      <c r="E82" s="13">
        <v>1536.4</v>
      </c>
      <c r="F82" s="13">
        <f>SUM(E82*12)</f>
        <v>18436.800000000003</v>
      </c>
      <c r="G82" s="13">
        <v>2.95</v>
      </c>
      <c r="H82" s="61">
        <f>SUM(F82*G82/1000)</f>
        <v>54.388560000000012</v>
      </c>
      <c r="I82" s="13">
        <f>F82/12*G82</f>
        <v>4532.380000000001</v>
      </c>
    </row>
    <row r="83" spans="1:9" ht="31.5" customHeight="1">
      <c r="A83" s="30">
        <v>16</v>
      </c>
      <c r="B83" s="14" t="s">
        <v>77</v>
      </c>
      <c r="C83" s="16"/>
      <c r="D83" s="81"/>
      <c r="E83" s="64">
        <f>E82</f>
        <v>1536.4</v>
      </c>
      <c r="F83" s="13">
        <f>E83*12</f>
        <v>18436.800000000003</v>
      </c>
      <c r="G83" s="13">
        <v>3.05</v>
      </c>
      <c r="H83" s="61">
        <f>F83*G83/1000</f>
        <v>56.232240000000004</v>
      </c>
      <c r="I83" s="13">
        <f>F83/12*G83</f>
        <v>4686.0200000000004</v>
      </c>
    </row>
    <row r="84" spans="1:9" ht="15.75" customHeight="1">
      <c r="A84" s="30"/>
      <c r="B84" s="36" t="s">
        <v>79</v>
      </c>
      <c r="C84" s="79"/>
      <c r="D84" s="78"/>
      <c r="E84" s="68"/>
      <c r="F84" s="68"/>
      <c r="G84" s="68"/>
      <c r="H84" s="80">
        <f>H83</f>
        <v>56.232240000000004</v>
      </c>
      <c r="I84" s="68">
        <f>I83+I82+I76+I70+I60+I49+I42+I41+I40+I39+I38+I37+I27+I18+I17+I16</f>
        <v>28847.846928166673</v>
      </c>
    </row>
    <row r="85" spans="1:9" ht="15.75" customHeight="1">
      <c r="A85" s="134" t="s">
        <v>61</v>
      </c>
      <c r="B85" s="135"/>
      <c r="C85" s="135"/>
      <c r="D85" s="135"/>
      <c r="E85" s="135"/>
      <c r="F85" s="135"/>
      <c r="G85" s="135"/>
      <c r="H85" s="135"/>
      <c r="I85" s="136"/>
    </row>
    <row r="86" spans="1:9" ht="15.75" customHeight="1">
      <c r="A86" s="30">
        <v>17</v>
      </c>
      <c r="B86" s="111" t="s">
        <v>167</v>
      </c>
      <c r="C86" s="112"/>
      <c r="D86" s="14"/>
      <c r="E86" s="18"/>
      <c r="F86" s="13">
        <v>10</v>
      </c>
      <c r="G86" s="34">
        <v>9874.18</v>
      </c>
      <c r="H86" s="61">
        <f t="shared" ref="H86:H87" si="10">G86*F86/1000</f>
        <v>98.741799999999998</v>
      </c>
      <c r="I86" s="120">
        <f>G86*1</f>
        <v>9874.18</v>
      </c>
    </row>
    <row r="87" spans="1:9" ht="30.75" customHeight="1">
      <c r="A87" s="30">
        <v>18</v>
      </c>
      <c r="B87" s="111" t="s">
        <v>165</v>
      </c>
      <c r="C87" s="112" t="s">
        <v>29</v>
      </c>
      <c r="D87" s="43"/>
      <c r="E87" s="13"/>
      <c r="F87" s="13">
        <v>52</v>
      </c>
      <c r="G87" s="34">
        <v>19757.060000000001</v>
      </c>
      <c r="H87" s="13">
        <f t="shared" si="10"/>
        <v>1027.3671200000001</v>
      </c>
      <c r="I87" s="13">
        <f>G87*0.599*6/1000</f>
        <v>71.006873640000009</v>
      </c>
    </row>
    <row r="88" spans="1:9" ht="15.75" customHeight="1">
      <c r="A88" s="30"/>
      <c r="B88" s="41" t="s">
        <v>52</v>
      </c>
      <c r="C88" s="37"/>
      <c r="D88" s="44"/>
      <c r="E88" s="37">
        <v>1</v>
      </c>
      <c r="F88" s="37"/>
      <c r="G88" s="37"/>
      <c r="H88" s="37"/>
      <c r="I88" s="32">
        <f>SUM(I86:I87)</f>
        <v>9945.1868736400011</v>
      </c>
    </row>
    <row r="89" spans="1:9" ht="15.75" customHeight="1">
      <c r="A89" s="30"/>
      <c r="B89" s="43" t="s">
        <v>78</v>
      </c>
      <c r="C89" s="15"/>
      <c r="D89" s="15"/>
      <c r="E89" s="38"/>
      <c r="F89" s="38"/>
      <c r="G89" s="39"/>
      <c r="H89" s="39"/>
      <c r="I89" s="17">
        <v>0</v>
      </c>
    </row>
    <row r="90" spans="1:9">
      <c r="A90" s="45"/>
      <c r="B90" s="42" t="s">
        <v>157</v>
      </c>
      <c r="C90" s="33"/>
      <c r="D90" s="33"/>
      <c r="E90" s="33"/>
      <c r="F90" s="33"/>
      <c r="G90" s="33"/>
      <c r="H90" s="33"/>
      <c r="I90" s="40">
        <f>I84+I88</f>
        <v>38793.033801806676</v>
      </c>
    </row>
    <row r="91" spans="1:9" ht="15.75">
      <c r="A91" s="143" t="s">
        <v>204</v>
      </c>
      <c r="B91" s="143"/>
      <c r="C91" s="143"/>
      <c r="D91" s="143"/>
      <c r="E91" s="143"/>
      <c r="F91" s="143"/>
      <c r="G91" s="143"/>
      <c r="H91" s="143"/>
      <c r="I91" s="143"/>
    </row>
    <row r="92" spans="1:9" ht="15.75" customHeight="1">
      <c r="A92" s="54"/>
      <c r="B92" s="144" t="s">
        <v>205</v>
      </c>
      <c r="C92" s="144"/>
      <c r="D92" s="144"/>
      <c r="E92" s="144"/>
      <c r="F92" s="144"/>
      <c r="G92" s="144"/>
      <c r="H92" s="60"/>
      <c r="I92" s="3"/>
    </row>
    <row r="93" spans="1:9">
      <c r="A93" s="91"/>
      <c r="B93" s="139" t="s">
        <v>6</v>
      </c>
      <c r="C93" s="139"/>
      <c r="D93" s="139"/>
      <c r="E93" s="139"/>
      <c r="F93" s="139"/>
      <c r="G93" s="139"/>
      <c r="H93" s="25"/>
      <c r="I93" s="5"/>
    </row>
    <row r="94" spans="1:9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45" t="s">
        <v>7</v>
      </c>
      <c r="B95" s="145"/>
      <c r="C95" s="145"/>
      <c r="D95" s="145"/>
      <c r="E95" s="145"/>
      <c r="F95" s="145"/>
      <c r="G95" s="145"/>
      <c r="H95" s="145"/>
      <c r="I95" s="145"/>
    </row>
    <row r="96" spans="1:9" ht="15.75" customHeight="1">
      <c r="A96" s="145" t="s">
        <v>8</v>
      </c>
      <c r="B96" s="145"/>
      <c r="C96" s="145"/>
      <c r="D96" s="145"/>
      <c r="E96" s="145"/>
      <c r="F96" s="145"/>
      <c r="G96" s="145"/>
      <c r="H96" s="145"/>
      <c r="I96" s="145"/>
    </row>
    <row r="97" spans="1:9" ht="15.75">
      <c r="A97" s="146" t="s">
        <v>62</v>
      </c>
      <c r="B97" s="146"/>
      <c r="C97" s="146"/>
      <c r="D97" s="146"/>
      <c r="E97" s="146"/>
      <c r="F97" s="146"/>
      <c r="G97" s="146"/>
      <c r="H97" s="146"/>
      <c r="I97" s="146"/>
    </row>
    <row r="98" spans="1:9" ht="15.75">
      <c r="A98" s="11"/>
    </row>
    <row r="99" spans="1:9" ht="15.75">
      <c r="A99" s="137" t="s">
        <v>9</v>
      </c>
      <c r="B99" s="137"/>
      <c r="C99" s="137"/>
      <c r="D99" s="137"/>
      <c r="E99" s="137"/>
      <c r="F99" s="137"/>
      <c r="G99" s="137"/>
      <c r="H99" s="137"/>
      <c r="I99" s="137"/>
    </row>
    <row r="100" spans="1:9" ht="15.75">
      <c r="A100" s="4"/>
    </row>
    <row r="101" spans="1:9" ht="15.75">
      <c r="B101" s="88" t="s">
        <v>10</v>
      </c>
      <c r="C101" s="138" t="s">
        <v>137</v>
      </c>
      <c r="D101" s="138"/>
      <c r="E101" s="138"/>
      <c r="F101" s="58"/>
      <c r="I101" s="90"/>
    </row>
    <row r="102" spans="1:9">
      <c r="A102" s="91"/>
      <c r="C102" s="139" t="s">
        <v>11</v>
      </c>
      <c r="D102" s="139"/>
      <c r="E102" s="139"/>
      <c r="F102" s="25"/>
      <c r="I102" s="89" t="s">
        <v>12</v>
      </c>
    </row>
    <row r="103" spans="1:9" ht="15.75">
      <c r="A103" s="26"/>
      <c r="C103" s="12"/>
      <c r="D103" s="12"/>
      <c r="G103" s="12"/>
      <c r="H103" s="12"/>
    </row>
    <row r="104" spans="1:9" ht="15.75" customHeight="1">
      <c r="B104" s="88" t="s">
        <v>13</v>
      </c>
      <c r="C104" s="140"/>
      <c r="D104" s="140"/>
      <c r="E104" s="140"/>
      <c r="F104" s="59"/>
      <c r="I104" s="90"/>
    </row>
    <row r="105" spans="1:9" ht="15.75" customHeight="1">
      <c r="A105" s="91"/>
      <c r="C105" s="141" t="s">
        <v>11</v>
      </c>
      <c r="D105" s="141"/>
      <c r="E105" s="141"/>
      <c r="F105" s="91"/>
      <c r="I105" s="89" t="s">
        <v>12</v>
      </c>
    </row>
    <row r="106" spans="1:9" ht="15.75" customHeight="1">
      <c r="A106" s="4" t="s">
        <v>14</v>
      </c>
    </row>
    <row r="107" spans="1:9">
      <c r="A107" s="142" t="s">
        <v>15</v>
      </c>
      <c r="B107" s="142"/>
      <c r="C107" s="142"/>
      <c r="D107" s="142"/>
      <c r="E107" s="142"/>
      <c r="F107" s="142"/>
      <c r="G107" s="142"/>
      <c r="H107" s="142"/>
      <c r="I107" s="142"/>
    </row>
    <row r="108" spans="1:9" ht="45" customHeight="1">
      <c r="A108" s="133" t="s">
        <v>16</v>
      </c>
      <c r="B108" s="133"/>
      <c r="C108" s="133"/>
      <c r="D108" s="133"/>
      <c r="E108" s="133"/>
      <c r="F108" s="133"/>
      <c r="G108" s="133"/>
      <c r="H108" s="133"/>
      <c r="I108" s="133"/>
    </row>
    <row r="109" spans="1:9" ht="30" customHeight="1">
      <c r="A109" s="133" t="s">
        <v>17</v>
      </c>
      <c r="B109" s="133"/>
      <c r="C109" s="133"/>
      <c r="D109" s="133"/>
      <c r="E109" s="133"/>
      <c r="F109" s="133"/>
      <c r="G109" s="133"/>
      <c r="H109" s="133"/>
      <c r="I109" s="133"/>
    </row>
    <row r="110" spans="1:9" ht="30" customHeight="1">
      <c r="A110" s="133" t="s">
        <v>21</v>
      </c>
      <c r="B110" s="133"/>
      <c r="C110" s="133"/>
      <c r="D110" s="133"/>
      <c r="E110" s="133"/>
      <c r="F110" s="133"/>
      <c r="G110" s="133"/>
      <c r="H110" s="133"/>
      <c r="I110" s="133"/>
    </row>
    <row r="111" spans="1:9" ht="15" customHeight="1">
      <c r="A111" s="133" t="s">
        <v>20</v>
      </c>
      <c r="B111" s="133"/>
      <c r="C111" s="133"/>
      <c r="D111" s="133"/>
      <c r="E111" s="133"/>
      <c r="F111" s="133"/>
      <c r="G111" s="133"/>
      <c r="H111" s="133"/>
      <c r="I111" s="133"/>
    </row>
  </sheetData>
  <autoFilter ref="I12:I55"/>
  <mergeCells count="29">
    <mergeCell ref="R60:U60"/>
    <mergeCell ref="A81:I81"/>
    <mergeCell ref="A3:I3"/>
    <mergeCell ref="A4:I4"/>
    <mergeCell ref="A5:I5"/>
    <mergeCell ref="A8:I8"/>
    <mergeCell ref="A10:I10"/>
    <mergeCell ref="A14:I14"/>
    <mergeCell ref="A97:I97"/>
    <mergeCell ref="A15:I15"/>
    <mergeCell ref="A28:I28"/>
    <mergeCell ref="A43:I43"/>
    <mergeCell ref="A54:I54"/>
    <mergeCell ref="A108:I108"/>
    <mergeCell ref="A109:I109"/>
    <mergeCell ref="A110:I110"/>
    <mergeCell ref="A111:I111"/>
    <mergeCell ref="A85:I85"/>
    <mergeCell ref="A99:I99"/>
    <mergeCell ref="C101:E101"/>
    <mergeCell ref="C102:E102"/>
    <mergeCell ref="C104:E104"/>
    <mergeCell ref="C105:E105"/>
    <mergeCell ref="A107:I107"/>
    <mergeCell ref="A91:I91"/>
    <mergeCell ref="B92:G92"/>
    <mergeCell ref="B93:G93"/>
    <mergeCell ref="A95:I95"/>
    <mergeCell ref="A96:I96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B16" sqref="B16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162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51" t="s">
        <v>152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136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233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49"/>
      <c r="C6" s="49"/>
      <c r="D6" s="49"/>
      <c r="E6" s="49"/>
      <c r="F6" s="49"/>
      <c r="G6" s="49"/>
      <c r="H6" s="49"/>
      <c r="I6" s="84">
        <v>43769</v>
      </c>
      <c r="J6" s="2"/>
      <c r="K6" s="2"/>
      <c r="L6" s="2"/>
      <c r="M6" s="2"/>
    </row>
    <row r="7" spans="1:13" ht="15.75">
      <c r="B7" s="50"/>
      <c r="C7" s="50"/>
      <c r="D7" s="5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4" t="s">
        <v>164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5" t="s">
        <v>153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6" t="s">
        <v>60</v>
      </c>
      <c r="B14" s="156"/>
      <c r="C14" s="156"/>
      <c r="D14" s="156"/>
      <c r="E14" s="156"/>
      <c r="F14" s="156"/>
      <c r="G14" s="156"/>
      <c r="H14" s="156"/>
      <c r="I14" s="156"/>
      <c r="J14" s="8"/>
      <c r="K14" s="8"/>
      <c r="L14" s="8"/>
      <c r="M14" s="8"/>
    </row>
    <row r="15" spans="1:13" ht="1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0">
        <v>1</v>
      </c>
      <c r="B16" s="62" t="s">
        <v>83</v>
      </c>
      <c r="C16" s="63" t="s">
        <v>84</v>
      </c>
      <c r="D16" s="62" t="s">
        <v>195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18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116</v>
      </c>
      <c r="C17" s="63" t="s">
        <v>84</v>
      </c>
      <c r="D17" s="62" t="s">
        <v>196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117</v>
      </c>
      <c r="C18" s="63" t="s">
        <v>84</v>
      </c>
      <c r="D18" s="62" t="s">
        <v>197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/>
      <c r="B19" s="62" t="s">
        <v>91</v>
      </c>
      <c r="C19" s="63" t="s">
        <v>92</v>
      </c>
      <c r="D19" s="62" t="s">
        <v>93</v>
      </c>
      <c r="E19" s="64">
        <v>21.6</v>
      </c>
      <c r="F19" s="65">
        <f>SUM(E19/10)</f>
        <v>2.16</v>
      </c>
      <c r="G19" s="65">
        <v>211.74</v>
      </c>
      <c r="H19" s="66">
        <f t="shared" ref="H19:H26" si="1">SUM(F19*G19/1000)</f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4</v>
      </c>
      <c r="B20" s="62" t="s">
        <v>94</v>
      </c>
      <c r="C20" s="63" t="s">
        <v>84</v>
      </c>
      <c r="D20" s="62" t="s">
        <v>43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1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95</v>
      </c>
      <c r="C21" s="63" t="s">
        <v>84</v>
      </c>
      <c r="D21" s="62" t="s">
        <v>43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1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/>
      <c r="B22" s="62" t="s">
        <v>96</v>
      </c>
      <c r="C22" s="63" t="s">
        <v>53</v>
      </c>
      <c r="D22" s="62" t="s">
        <v>93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1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/>
      <c r="B23" s="62" t="s">
        <v>97</v>
      </c>
      <c r="C23" s="63" t="s">
        <v>53</v>
      </c>
      <c r="D23" s="62" t="s">
        <v>93</v>
      </c>
      <c r="E23" s="67">
        <v>17.64</v>
      </c>
      <c r="F23" s="65">
        <f>SUM(E23/100)</f>
        <v>0.1764</v>
      </c>
      <c r="G23" s="65">
        <v>55.1</v>
      </c>
      <c r="H23" s="66">
        <f t="shared" si="1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62" t="s">
        <v>98</v>
      </c>
      <c r="C24" s="63" t="s">
        <v>53</v>
      </c>
      <c r="D24" s="62" t="s">
        <v>99</v>
      </c>
      <c r="E24" s="64">
        <v>7.2</v>
      </c>
      <c r="F24" s="65">
        <f>E24/100</f>
        <v>7.2000000000000008E-2</v>
      </c>
      <c r="G24" s="65">
        <v>484.94</v>
      </c>
      <c r="H24" s="66">
        <f t="shared" si="1"/>
        <v>3.4915680000000004E-2</v>
      </c>
      <c r="I24" s="13">
        <f t="shared" si="2"/>
        <v>34.915680000000002</v>
      </c>
      <c r="J24" s="23"/>
      <c r="K24" s="8"/>
      <c r="L24" s="8"/>
      <c r="M24" s="8"/>
    </row>
    <row r="25" spans="1:13" ht="15.75" hidden="1" customHeight="1">
      <c r="A25" s="30"/>
      <c r="B25" s="62" t="s">
        <v>100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1"/>
        <v>2.5412939999999998E-2</v>
      </c>
      <c r="I25" s="13">
        <f t="shared" si="2"/>
        <v>25.412939999999999</v>
      </c>
      <c r="J25" s="23"/>
      <c r="K25" s="8"/>
      <c r="L25" s="8"/>
      <c r="M25" s="8"/>
    </row>
    <row r="26" spans="1:13" ht="15.75" hidden="1" customHeight="1">
      <c r="A26" s="30"/>
      <c r="B26" s="62" t="s">
        <v>101</v>
      </c>
      <c r="C26" s="63" t="s">
        <v>53</v>
      </c>
      <c r="D26" s="62" t="s">
        <v>93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1"/>
        <v>7.387740000000001E-2</v>
      </c>
      <c r="I26" s="13">
        <f t="shared" si="2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126" t="s">
        <v>194</v>
      </c>
      <c r="C27" s="127" t="s">
        <v>25</v>
      </c>
      <c r="D27" s="126" t="s">
        <v>198</v>
      </c>
      <c r="E27" s="128">
        <v>2.91</v>
      </c>
      <c r="F27" s="117">
        <f>E27*258</f>
        <v>750.78000000000009</v>
      </c>
      <c r="G27" s="117">
        <v>10.39</v>
      </c>
      <c r="H27" s="66">
        <f>SUM(F27*G27/1000)</f>
        <v>7.8006042000000013</v>
      </c>
      <c r="I27" s="13">
        <f>F27/12*G27</f>
        <v>650.05035000000009</v>
      </c>
      <c r="J27" s="23"/>
      <c r="K27" s="8"/>
    </row>
    <row r="28" spans="1:13" ht="15.75" customHeight="1">
      <c r="A28" s="148" t="s">
        <v>154</v>
      </c>
      <c r="B28" s="149"/>
      <c r="C28" s="149"/>
      <c r="D28" s="149"/>
      <c r="E28" s="149"/>
      <c r="F28" s="149"/>
      <c r="G28" s="149"/>
      <c r="H28" s="149"/>
      <c r="I28" s="150"/>
      <c r="J28" s="24"/>
    </row>
    <row r="29" spans="1:13" ht="15.75" customHeight="1">
      <c r="A29" s="30"/>
      <c r="B29" s="82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customHeight="1">
      <c r="A30" s="30">
        <v>5</v>
      </c>
      <c r="B30" s="62" t="s">
        <v>104</v>
      </c>
      <c r="C30" s="63" t="s">
        <v>87</v>
      </c>
      <c r="D30" s="62" t="s">
        <v>196</v>
      </c>
      <c r="E30" s="65">
        <v>61.5</v>
      </c>
      <c r="F30" s="65">
        <f>SUM(E30*52/1000)</f>
        <v>3.198</v>
      </c>
      <c r="G30" s="65">
        <v>193.97</v>
      </c>
      <c r="H30" s="66">
        <f t="shared" ref="H30:H31" si="3">SUM(F30*G30/1000)</f>
        <v>0.62031605999999995</v>
      </c>
      <c r="I30" s="13">
        <f t="shared" ref="I30:I31" si="4">F30/6*G30</f>
        <v>103.38601</v>
      </c>
      <c r="J30" s="23"/>
      <c r="K30" s="8"/>
      <c r="L30" s="8"/>
      <c r="M30" s="8"/>
    </row>
    <row r="31" spans="1:13" ht="31.5" customHeight="1">
      <c r="A31" s="30">
        <v>6</v>
      </c>
      <c r="B31" s="62" t="s">
        <v>103</v>
      </c>
      <c r="C31" s="63" t="s">
        <v>87</v>
      </c>
      <c r="D31" s="62" t="s">
        <v>195</v>
      </c>
      <c r="E31" s="65">
        <v>35.299999999999997</v>
      </c>
      <c r="F31" s="65">
        <f>SUM(E31*78/1000)</f>
        <v>2.7533999999999996</v>
      </c>
      <c r="G31" s="65">
        <v>321.82</v>
      </c>
      <c r="H31" s="66">
        <f t="shared" si="3"/>
        <v>0.88609918799999987</v>
      </c>
      <c r="I31" s="13">
        <f t="shared" si="4"/>
        <v>147.68319799999998</v>
      </c>
      <c r="J31" s="23"/>
      <c r="K31" s="8"/>
      <c r="L31" s="8"/>
      <c r="M31" s="8"/>
    </row>
    <row r="32" spans="1:13" ht="15.75" hidden="1" customHeight="1">
      <c r="A32" s="30"/>
      <c r="B32" s="62" t="s">
        <v>27</v>
      </c>
      <c r="C32" s="63" t="s">
        <v>87</v>
      </c>
      <c r="D32" s="62" t="s">
        <v>54</v>
      </c>
      <c r="E32" s="65">
        <v>61.5</v>
      </c>
      <c r="F32" s="65">
        <f>SUM(E32/1000)</f>
        <v>6.1499999999999999E-2</v>
      </c>
      <c r="G32" s="65">
        <v>3758.28</v>
      </c>
      <c r="H32" s="66">
        <f t="shared" ref="H32:H34" si="5">SUM(F32*G32/1000)</f>
        <v>0.23113422</v>
      </c>
      <c r="I32" s="13">
        <f>F32*G32</f>
        <v>231.13422</v>
      </c>
      <c r="J32" s="23"/>
      <c r="K32" s="8"/>
      <c r="L32" s="8"/>
      <c r="M32" s="8"/>
    </row>
    <row r="33" spans="1:14" ht="15.75" hidden="1" customHeight="1">
      <c r="A33" s="30"/>
      <c r="B33" s="62" t="s">
        <v>65</v>
      </c>
      <c r="C33" s="63" t="s">
        <v>33</v>
      </c>
      <c r="D33" s="62" t="s">
        <v>67</v>
      </c>
      <c r="E33" s="64"/>
      <c r="F33" s="65">
        <v>1</v>
      </c>
      <c r="G33" s="65">
        <v>238.07</v>
      </c>
      <c r="H33" s="66">
        <f t="shared" si="5"/>
        <v>0.23807</v>
      </c>
      <c r="I33" s="13">
        <v>0</v>
      </c>
      <c r="J33" s="24"/>
    </row>
    <row r="34" spans="1:14" ht="15.75" hidden="1" customHeight="1">
      <c r="A34" s="30"/>
      <c r="B34" s="62" t="s">
        <v>66</v>
      </c>
      <c r="C34" s="63" t="s">
        <v>32</v>
      </c>
      <c r="D34" s="62" t="s">
        <v>67</v>
      </c>
      <c r="E34" s="64"/>
      <c r="F34" s="65">
        <v>1</v>
      </c>
      <c r="G34" s="65">
        <v>1413.96</v>
      </c>
      <c r="H34" s="66">
        <f t="shared" si="5"/>
        <v>1.4139600000000001</v>
      </c>
      <c r="I34" s="13">
        <v>0</v>
      </c>
      <c r="J34" s="24"/>
    </row>
    <row r="35" spans="1:14" ht="15.75" hidden="1" customHeight="1">
      <c r="A35" s="30"/>
      <c r="B35" s="82" t="s">
        <v>5</v>
      </c>
      <c r="C35" s="63"/>
      <c r="D35" s="62"/>
      <c r="E35" s="64"/>
      <c r="F35" s="65"/>
      <c r="G35" s="65"/>
      <c r="H35" s="66" t="s">
        <v>118</v>
      </c>
      <c r="I35" s="13"/>
      <c r="J35" s="24"/>
      <c r="L35" s="19"/>
      <c r="M35" s="20"/>
      <c r="N35" s="21"/>
    </row>
    <row r="36" spans="1:14" ht="15.75" hidden="1" customHeight="1">
      <c r="A36" s="30"/>
      <c r="B36" s="62" t="s">
        <v>26</v>
      </c>
      <c r="C36" s="63" t="s">
        <v>32</v>
      </c>
      <c r="D36" s="62"/>
      <c r="E36" s="64"/>
      <c r="F36" s="65">
        <v>3</v>
      </c>
      <c r="G36" s="65">
        <v>1900.37</v>
      </c>
      <c r="H36" s="66">
        <f t="shared" ref="H36:H41" si="6">SUM(F36*G36/1000)</f>
        <v>5.7011099999999999</v>
      </c>
      <c r="I36" s="13">
        <f t="shared" ref="I36:I41" si="7">F36/6*G36</f>
        <v>950.18499999999995</v>
      </c>
      <c r="J36" s="24"/>
      <c r="L36" s="19"/>
      <c r="M36" s="20"/>
      <c r="N36" s="21"/>
    </row>
    <row r="37" spans="1:14" ht="31.5" hidden="1" customHeight="1">
      <c r="A37" s="30"/>
      <c r="B37" s="62" t="s">
        <v>119</v>
      </c>
      <c r="C37" s="63" t="s">
        <v>29</v>
      </c>
      <c r="D37" s="62" t="s">
        <v>85</v>
      </c>
      <c r="E37" s="64">
        <v>35.299999999999997</v>
      </c>
      <c r="F37" s="65">
        <f>E37*30/1000</f>
        <v>1.0589999999999999</v>
      </c>
      <c r="G37" s="65">
        <v>2616.4899999999998</v>
      </c>
      <c r="H37" s="66">
        <f t="shared" si="6"/>
        <v>2.77086291</v>
      </c>
      <c r="I37" s="13">
        <f t="shared" si="7"/>
        <v>461.81048499999991</v>
      </c>
      <c r="J37" s="24"/>
      <c r="L37" s="19"/>
      <c r="M37" s="20"/>
      <c r="N37" s="21"/>
    </row>
    <row r="38" spans="1:14" ht="15.75" hidden="1" customHeight="1">
      <c r="A38" s="30"/>
      <c r="B38" s="62" t="s">
        <v>120</v>
      </c>
      <c r="C38" s="63" t="s">
        <v>29</v>
      </c>
      <c r="D38" s="62" t="s">
        <v>86</v>
      </c>
      <c r="E38" s="64">
        <v>35.299999999999997</v>
      </c>
      <c r="F38" s="65">
        <f>SUM(E38*155/1000)</f>
        <v>5.4714999999999998</v>
      </c>
      <c r="G38" s="65">
        <v>436.45</v>
      </c>
      <c r="H38" s="66">
        <f t="shared" si="6"/>
        <v>2.3880361749999999</v>
      </c>
      <c r="I38" s="13">
        <f t="shared" si="7"/>
        <v>398.00602916666662</v>
      </c>
      <c r="J38" s="24"/>
      <c r="L38" s="19"/>
      <c r="M38" s="20"/>
      <c r="N38" s="21"/>
    </row>
    <row r="39" spans="1:14" ht="47.25" hidden="1" customHeight="1">
      <c r="A39" s="30"/>
      <c r="B39" s="62" t="s">
        <v>121</v>
      </c>
      <c r="C39" s="63" t="s">
        <v>87</v>
      </c>
      <c r="D39" s="62" t="s">
        <v>122</v>
      </c>
      <c r="E39" s="64">
        <v>35.299999999999997</v>
      </c>
      <c r="F39" s="65">
        <f>SUM(E39*24/1000)</f>
        <v>0.84719999999999995</v>
      </c>
      <c r="G39" s="65">
        <v>7221.21</v>
      </c>
      <c r="H39" s="66">
        <f t="shared" si="6"/>
        <v>6.1178091119999998</v>
      </c>
      <c r="I39" s="13">
        <f t="shared" si="7"/>
        <v>1019.6348519999999</v>
      </c>
      <c r="J39" s="24"/>
      <c r="L39" s="19"/>
      <c r="M39" s="20"/>
      <c r="N39" s="21"/>
    </row>
    <row r="40" spans="1:14" ht="15.75" hidden="1" customHeight="1">
      <c r="A40" s="30"/>
      <c r="B40" s="62" t="s">
        <v>123</v>
      </c>
      <c r="C40" s="63" t="s">
        <v>87</v>
      </c>
      <c r="D40" s="62" t="s">
        <v>68</v>
      </c>
      <c r="E40" s="64">
        <v>35.299999999999997</v>
      </c>
      <c r="F40" s="65">
        <f>SUM(E40*45/1000)</f>
        <v>1.5884999999999998</v>
      </c>
      <c r="G40" s="65">
        <v>533.45000000000005</v>
      </c>
      <c r="H40" s="66">
        <f t="shared" si="6"/>
        <v>0.84738532499999997</v>
      </c>
      <c r="I40" s="13">
        <f t="shared" si="7"/>
        <v>141.23088749999999</v>
      </c>
      <c r="J40" s="24"/>
      <c r="L40" s="19"/>
      <c r="M40" s="20"/>
      <c r="N40" s="21"/>
    </row>
    <row r="41" spans="1:14" ht="15.75" hidden="1" customHeight="1">
      <c r="A41" s="30"/>
      <c r="B41" s="62" t="s">
        <v>69</v>
      </c>
      <c r="C41" s="63" t="s">
        <v>33</v>
      </c>
      <c r="D41" s="62"/>
      <c r="E41" s="64"/>
      <c r="F41" s="65">
        <v>0.3</v>
      </c>
      <c r="G41" s="65">
        <v>992.97</v>
      </c>
      <c r="H41" s="66">
        <f t="shared" si="6"/>
        <v>0.29789100000000002</v>
      </c>
      <c r="I41" s="13">
        <f t="shared" si="7"/>
        <v>49.648499999999999</v>
      </c>
      <c r="J41" s="24"/>
      <c r="L41" s="19"/>
      <c r="M41" s="20"/>
      <c r="N41" s="21"/>
    </row>
    <row r="42" spans="1:14" ht="23.25" hidden="1" customHeight="1">
      <c r="A42" s="148" t="s">
        <v>139</v>
      </c>
      <c r="B42" s="149"/>
      <c r="C42" s="149"/>
      <c r="D42" s="149"/>
      <c r="E42" s="149"/>
      <c r="F42" s="149"/>
      <c r="G42" s="149"/>
      <c r="H42" s="149"/>
      <c r="I42" s="150"/>
      <c r="J42" s="24"/>
      <c r="L42" s="19"/>
      <c r="M42" s="20"/>
      <c r="N42" s="21"/>
    </row>
    <row r="43" spans="1:14" ht="30" hidden="1" customHeight="1">
      <c r="A43" s="30">
        <v>11</v>
      </c>
      <c r="B43" s="62" t="s">
        <v>105</v>
      </c>
      <c r="C43" s="63" t="s">
        <v>87</v>
      </c>
      <c r="D43" s="62" t="s">
        <v>43</v>
      </c>
      <c r="E43" s="64">
        <v>907.4</v>
      </c>
      <c r="F43" s="65">
        <f>SUM(E43*2/1000)</f>
        <v>1.8148</v>
      </c>
      <c r="G43" s="13">
        <v>1283.46</v>
      </c>
      <c r="H43" s="66">
        <f t="shared" ref="H43:H52" si="8">SUM(F43*G43/1000)</f>
        <v>2.3292232079999997</v>
      </c>
      <c r="I43" s="13">
        <f>F43/2*G43</f>
        <v>1164.6116039999999</v>
      </c>
      <c r="J43" s="24"/>
      <c r="L43" s="19"/>
      <c r="M43" s="20"/>
      <c r="N43" s="21"/>
    </row>
    <row r="44" spans="1:14" ht="31.5" hidden="1" customHeight="1">
      <c r="A44" s="30">
        <v>12</v>
      </c>
      <c r="B44" s="62" t="s">
        <v>36</v>
      </c>
      <c r="C44" s="63" t="s">
        <v>87</v>
      </c>
      <c r="D44" s="62" t="s">
        <v>43</v>
      </c>
      <c r="E44" s="64">
        <v>27</v>
      </c>
      <c r="F44" s="65">
        <f>SUM(E44*2/1000)</f>
        <v>5.3999999999999999E-2</v>
      </c>
      <c r="G44" s="13">
        <v>4192.6400000000003</v>
      </c>
      <c r="H44" s="66">
        <f t="shared" si="8"/>
        <v>0.22640256000000003</v>
      </c>
      <c r="I44" s="13">
        <f t="shared" ref="I44:I51" si="9">F44/2*G44</f>
        <v>113.20128000000001</v>
      </c>
      <c r="J44" s="24"/>
      <c r="L44" s="19"/>
      <c r="M44" s="20"/>
      <c r="N44" s="21"/>
    </row>
    <row r="45" spans="1:14" ht="36.75" hidden="1" customHeight="1">
      <c r="A45" s="30">
        <v>13</v>
      </c>
      <c r="B45" s="62" t="s">
        <v>37</v>
      </c>
      <c r="C45" s="63" t="s">
        <v>87</v>
      </c>
      <c r="D45" s="62" t="s">
        <v>43</v>
      </c>
      <c r="E45" s="64">
        <v>772</v>
      </c>
      <c r="F45" s="65">
        <f>SUM(E45*2/1000)</f>
        <v>1.544</v>
      </c>
      <c r="G45" s="13">
        <v>1711.28</v>
      </c>
      <c r="H45" s="66">
        <f t="shared" si="8"/>
        <v>2.6422163200000002</v>
      </c>
      <c r="I45" s="13">
        <f t="shared" si="9"/>
        <v>1321.10816</v>
      </c>
      <c r="J45" s="24"/>
      <c r="L45" s="19"/>
      <c r="M45" s="20"/>
      <c r="N45" s="21"/>
    </row>
    <row r="46" spans="1:14" ht="29.25" hidden="1" customHeight="1">
      <c r="A46" s="30">
        <v>14</v>
      </c>
      <c r="B46" s="62" t="s">
        <v>38</v>
      </c>
      <c r="C46" s="63" t="s">
        <v>87</v>
      </c>
      <c r="D46" s="62" t="s">
        <v>43</v>
      </c>
      <c r="E46" s="64">
        <v>959.4</v>
      </c>
      <c r="F46" s="65">
        <f>SUM(E46*2/1000)</f>
        <v>1.9188000000000001</v>
      </c>
      <c r="G46" s="13">
        <v>1179.73</v>
      </c>
      <c r="H46" s="66">
        <f t="shared" si="8"/>
        <v>2.2636659240000001</v>
      </c>
      <c r="I46" s="13">
        <f t="shared" si="9"/>
        <v>1131.832962</v>
      </c>
      <c r="J46" s="24"/>
      <c r="L46" s="19"/>
      <c r="M46" s="20"/>
      <c r="N46" s="21"/>
    </row>
    <row r="47" spans="1:14" ht="27.75" hidden="1" customHeight="1">
      <c r="A47" s="30">
        <v>15</v>
      </c>
      <c r="B47" s="62" t="s">
        <v>34</v>
      </c>
      <c r="C47" s="63" t="s">
        <v>35</v>
      </c>
      <c r="D47" s="62" t="s">
        <v>43</v>
      </c>
      <c r="E47" s="64">
        <v>66.02</v>
      </c>
      <c r="F47" s="65">
        <f>SUM(E47*2/100)</f>
        <v>1.3204</v>
      </c>
      <c r="G47" s="13">
        <v>90.61</v>
      </c>
      <c r="H47" s="66">
        <f t="shared" si="8"/>
        <v>0.11964144400000001</v>
      </c>
      <c r="I47" s="13">
        <f t="shared" si="9"/>
        <v>59.820722000000004</v>
      </c>
      <c r="J47" s="24"/>
      <c r="L47" s="19"/>
      <c r="M47" s="20"/>
      <c r="N47" s="21"/>
    </row>
    <row r="48" spans="1:14" ht="27" hidden="1" customHeight="1">
      <c r="A48" s="30">
        <v>16</v>
      </c>
      <c r="B48" s="62" t="s">
        <v>57</v>
      </c>
      <c r="C48" s="63" t="s">
        <v>87</v>
      </c>
      <c r="D48" s="62" t="s">
        <v>138</v>
      </c>
      <c r="E48" s="64">
        <v>1536.4</v>
      </c>
      <c r="F48" s="65">
        <f>SUM(E48*5/1000)</f>
        <v>7.6820000000000004</v>
      </c>
      <c r="G48" s="13">
        <v>1711.28</v>
      </c>
      <c r="H48" s="66">
        <f t="shared" si="8"/>
        <v>13.14605296</v>
      </c>
      <c r="I48" s="13">
        <f>F48/5*G48</f>
        <v>2629.2105919999999</v>
      </c>
      <c r="J48" s="24"/>
      <c r="L48" s="19"/>
      <c r="M48" s="20"/>
      <c r="N48" s="21"/>
    </row>
    <row r="49" spans="1:22" ht="36.75" hidden="1" customHeight="1">
      <c r="A49" s="30">
        <v>9</v>
      </c>
      <c r="B49" s="62" t="s">
        <v>88</v>
      </c>
      <c r="C49" s="63" t="s">
        <v>87</v>
      </c>
      <c r="D49" s="62" t="s">
        <v>43</v>
      </c>
      <c r="E49" s="64">
        <v>1536.4</v>
      </c>
      <c r="F49" s="65">
        <f>SUM(E49*2/1000)</f>
        <v>3.0728</v>
      </c>
      <c r="G49" s="13">
        <v>1510.06</v>
      </c>
      <c r="H49" s="66">
        <f t="shared" si="8"/>
        <v>4.6401123680000005</v>
      </c>
      <c r="I49" s="13">
        <f t="shared" si="9"/>
        <v>2320.056184</v>
      </c>
      <c r="J49" s="24"/>
      <c r="L49" s="19"/>
      <c r="M49" s="20"/>
      <c r="N49" s="21"/>
    </row>
    <row r="50" spans="1:22" ht="29.25" hidden="1" customHeight="1">
      <c r="A50" s="30">
        <v>10</v>
      </c>
      <c r="B50" s="62" t="s">
        <v>89</v>
      </c>
      <c r="C50" s="63" t="s">
        <v>39</v>
      </c>
      <c r="D50" s="62" t="s">
        <v>43</v>
      </c>
      <c r="E50" s="64">
        <v>9</v>
      </c>
      <c r="F50" s="65">
        <f>SUM(E50*2/100)</f>
        <v>0.18</v>
      </c>
      <c r="G50" s="13">
        <v>3850.4</v>
      </c>
      <c r="H50" s="66">
        <f t="shared" si="8"/>
        <v>0.69307200000000002</v>
      </c>
      <c r="I50" s="13">
        <f t="shared" si="9"/>
        <v>346.536</v>
      </c>
      <c r="J50" s="24"/>
      <c r="L50" s="19"/>
      <c r="M50" s="20"/>
      <c r="N50" s="21"/>
    </row>
    <row r="51" spans="1:22" ht="16.5" hidden="1" customHeight="1">
      <c r="A51" s="30">
        <v>11</v>
      </c>
      <c r="B51" s="62" t="s">
        <v>40</v>
      </c>
      <c r="C51" s="63" t="s">
        <v>41</v>
      </c>
      <c r="D51" s="62" t="s">
        <v>43</v>
      </c>
      <c r="E51" s="64">
        <v>1</v>
      </c>
      <c r="F51" s="65">
        <v>0.02</v>
      </c>
      <c r="G51" s="13">
        <v>7033.13</v>
      </c>
      <c r="H51" s="66">
        <f t="shared" si="8"/>
        <v>0.1406626</v>
      </c>
      <c r="I51" s="13">
        <f t="shared" si="9"/>
        <v>70.331299999999999</v>
      </c>
      <c r="J51" s="24"/>
      <c r="L51" s="19"/>
      <c r="M51" s="20"/>
      <c r="N51" s="21"/>
    </row>
    <row r="52" spans="1:22" ht="18" hidden="1" customHeight="1">
      <c r="A52" s="30"/>
      <c r="B52" s="62" t="s">
        <v>42</v>
      </c>
      <c r="C52" s="63" t="s">
        <v>106</v>
      </c>
      <c r="D52" s="62" t="s">
        <v>54</v>
      </c>
      <c r="E52" s="64">
        <v>53</v>
      </c>
      <c r="F52" s="65">
        <v>53</v>
      </c>
      <c r="G52" s="13">
        <v>81.73</v>
      </c>
      <c r="H52" s="66">
        <f t="shared" si="8"/>
        <v>4.3316900000000009</v>
      </c>
      <c r="I52" s="13">
        <f>F52/3*G52</f>
        <v>1443.8966666666668</v>
      </c>
      <c r="J52" s="24"/>
      <c r="L52" s="19"/>
    </row>
    <row r="53" spans="1:22" ht="15.75" customHeight="1">
      <c r="A53" s="148" t="s">
        <v>145</v>
      </c>
      <c r="B53" s="149"/>
      <c r="C53" s="149"/>
      <c r="D53" s="149"/>
      <c r="E53" s="149"/>
      <c r="F53" s="149"/>
      <c r="G53" s="149"/>
      <c r="H53" s="149"/>
      <c r="I53" s="150"/>
    </row>
    <row r="54" spans="1:22" ht="15.75" hidden="1" customHeight="1">
      <c r="A54" s="30"/>
      <c r="B54" s="82" t="s">
        <v>44</v>
      </c>
      <c r="C54" s="63"/>
      <c r="D54" s="62"/>
      <c r="E54" s="64"/>
      <c r="F54" s="65"/>
      <c r="G54" s="65"/>
      <c r="H54" s="66"/>
      <c r="I54" s="13"/>
    </row>
    <row r="55" spans="1:22" ht="31.5" hidden="1" customHeight="1">
      <c r="A55" s="30"/>
      <c r="B55" s="62" t="s">
        <v>107</v>
      </c>
      <c r="C55" s="63" t="s">
        <v>84</v>
      </c>
      <c r="D55" s="62" t="s">
        <v>108</v>
      </c>
      <c r="E55" s="64">
        <v>11.5</v>
      </c>
      <c r="F55" s="65">
        <f>SUM(E55*6/100)</f>
        <v>0.69</v>
      </c>
      <c r="G55" s="13">
        <v>2306.62</v>
      </c>
      <c r="H55" s="66">
        <f>SUM(F55*G55/1000)</f>
        <v>1.5915677999999998</v>
      </c>
      <c r="I55" s="13">
        <v>0</v>
      </c>
    </row>
    <row r="56" spans="1:22" ht="15.75" hidden="1" customHeight="1">
      <c r="A56" s="30">
        <v>9</v>
      </c>
      <c r="B56" s="62" t="s">
        <v>124</v>
      </c>
      <c r="C56" s="63" t="s">
        <v>125</v>
      </c>
      <c r="D56" s="62" t="s">
        <v>67</v>
      </c>
      <c r="E56" s="64"/>
      <c r="F56" s="65">
        <v>2</v>
      </c>
      <c r="G56" s="85">
        <v>1501</v>
      </c>
      <c r="H56" s="66">
        <f>SUM(F56*G56/1000)</f>
        <v>3.0019999999999998</v>
      </c>
      <c r="I56" s="13">
        <f>G56*(4+1)</f>
        <v>7505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9"/>
    </row>
    <row r="57" spans="1:22" ht="15.75" customHeight="1">
      <c r="A57" s="30"/>
      <c r="B57" s="82" t="s">
        <v>45</v>
      </c>
      <c r="C57" s="63"/>
      <c r="D57" s="62"/>
      <c r="E57" s="64"/>
      <c r="F57" s="65"/>
      <c r="G57" s="86"/>
      <c r="H57" s="66"/>
      <c r="I57" s="13"/>
      <c r="J57" s="26"/>
      <c r="K57" s="26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2" ht="15.75" hidden="1" customHeight="1">
      <c r="A58" s="30"/>
      <c r="B58" s="62" t="s">
        <v>109</v>
      </c>
      <c r="C58" s="63" t="s">
        <v>84</v>
      </c>
      <c r="D58" s="62" t="s">
        <v>54</v>
      </c>
      <c r="E58" s="64">
        <v>148</v>
      </c>
      <c r="F58" s="66">
        <f>E58/100</f>
        <v>1.48</v>
      </c>
      <c r="G58" s="13">
        <v>987.51</v>
      </c>
      <c r="H58" s="71">
        <f>F58*G58/1000</f>
        <v>1.4615148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S58" s="3"/>
      <c r="T58" s="3"/>
      <c r="U58" s="3"/>
    </row>
    <row r="59" spans="1:22" ht="15.75" customHeight="1">
      <c r="A59" s="30">
        <v>7</v>
      </c>
      <c r="B59" s="73" t="s">
        <v>135</v>
      </c>
      <c r="C59" s="72" t="s">
        <v>25</v>
      </c>
      <c r="D59" s="73" t="s">
        <v>176</v>
      </c>
      <c r="E59" s="74">
        <v>140.5</v>
      </c>
      <c r="F59" s="65">
        <v>1320</v>
      </c>
      <c r="G59" s="87">
        <v>1.4</v>
      </c>
      <c r="H59" s="71">
        <f>F59*G59/1000</f>
        <v>1.8479999999999999</v>
      </c>
      <c r="I59" s="13">
        <f>F59/12*G59</f>
        <v>154</v>
      </c>
      <c r="J59" s="5"/>
      <c r="K59" s="5"/>
      <c r="L59" s="5"/>
      <c r="M59" s="5"/>
      <c r="N59" s="5"/>
      <c r="O59" s="5"/>
      <c r="P59" s="5"/>
      <c r="Q59" s="5"/>
      <c r="R59" s="141"/>
      <c r="S59" s="141"/>
      <c r="T59" s="141"/>
      <c r="U59" s="141"/>
    </row>
    <row r="60" spans="1:22" ht="15.75" customHeight="1">
      <c r="A60" s="30"/>
      <c r="B60" s="83" t="s">
        <v>46</v>
      </c>
      <c r="C60" s="72"/>
      <c r="D60" s="73"/>
      <c r="E60" s="74"/>
      <c r="F60" s="75"/>
      <c r="G60" s="75"/>
      <c r="H60" s="76" t="s">
        <v>118</v>
      </c>
      <c r="I60" s="13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2" ht="15.75" hidden="1" customHeight="1">
      <c r="A61" s="30">
        <v>11</v>
      </c>
      <c r="B61" s="14" t="s">
        <v>47</v>
      </c>
      <c r="C61" s="16" t="s">
        <v>106</v>
      </c>
      <c r="D61" s="14" t="s">
        <v>67</v>
      </c>
      <c r="E61" s="18">
        <v>2</v>
      </c>
      <c r="F61" s="65">
        <f>E61</f>
        <v>2</v>
      </c>
      <c r="G61" s="13">
        <v>276.74</v>
      </c>
      <c r="H61" s="61">
        <f t="shared" ref="H61:H77" si="10">SUM(F61*G61/1000)</f>
        <v>0.55347999999999997</v>
      </c>
      <c r="I61" s="13">
        <f>G61</f>
        <v>276.74</v>
      </c>
    </row>
    <row r="62" spans="1:22" ht="15.75" hidden="1" customHeight="1">
      <c r="A62" s="30"/>
      <c r="B62" s="14" t="s">
        <v>48</v>
      </c>
      <c r="C62" s="16" t="s">
        <v>106</v>
      </c>
      <c r="D62" s="14" t="s">
        <v>67</v>
      </c>
      <c r="E62" s="18">
        <v>1</v>
      </c>
      <c r="F62" s="65">
        <f>E62</f>
        <v>1</v>
      </c>
      <c r="G62" s="13">
        <v>94.89</v>
      </c>
      <c r="H62" s="61">
        <f t="shared" si="10"/>
        <v>9.4890000000000002E-2</v>
      </c>
      <c r="I62" s="13">
        <v>0</v>
      </c>
    </row>
    <row r="63" spans="1:22" ht="15.75" hidden="1" customHeight="1">
      <c r="A63" s="30"/>
      <c r="B63" s="14" t="s">
        <v>49</v>
      </c>
      <c r="C63" s="16" t="s">
        <v>110</v>
      </c>
      <c r="D63" s="14" t="s">
        <v>54</v>
      </c>
      <c r="E63" s="64">
        <v>6307</v>
      </c>
      <c r="F63" s="13">
        <f>SUM(E63/100)</f>
        <v>63.07</v>
      </c>
      <c r="G63" s="13">
        <v>263.99</v>
      </c>
      <c r="H63" s="61">
        <f t="shared" si="10"/>
        <v>16.649849300000003</v>
      </c>
      <c r="I63" s="13">
        <v>0</v>
      </c>
    </row>
    <row r="64" spans="1:22" ht="15.75" hidden="1" customHeight="1">
      <c r="A64" s="30"/>
      <c r="B64" s="14" t="s">
        <v>50</v>
      </c>
      <c r="C64" s="16" t="s">
        <v>111</v>
      </c>
      <c r="D64" s="14"/>
      <c r="E64" s="64">
        <v>6307</v>
      </c>
      <c r="F64" s="13">
        <f>SUM(E64/1000)</f>
        <v>6.3070000000000004</v>
      </c>
      <c r="G64" s="13">
        <v>205.57</v>
      </c>
      <c r="H64" s="61">
        <f t="shared" si="10"/>
        <v>1.29652999</v>
      </c>
      <c r="I64" s="13">
        <v>0</v>
      </c>
    </row>
    <row r="65" spans="1:9" ht="15.75" hidden="1" customHeight="1">
      <c r="A65" s="30"/>
      <c r="B65" s="14" t="s">
        <v>51</v>
      </c>
      <c r="C65" s="16" t="s">
        <v>76</v>
      </c>
      <c r="D65" s="14" t="s">
        <v>54</v>
      </c>
      <c r="E65" s="64">
        <v>1003</v>
      </c>
      <c r="F65" s="13">
        <f>SUM(E65/100)</f>
        <v>10.029999999999999</v>
      </c>
      <c r="G65" s="13">
        <v>2581.5300000000002</v>
      </c>
      <c r="H65" s="61">
        <f t="shared" si="10"/>
        <v>25.892745900000001</v>
      </c>
      <c r="I65" s="13">
        <v>0</v>
      </c>
    </row>
    <row r="66" spans="1:9" ht="15.75" hidden="1" customHeight="1">
      <c r="A66" s="30"/>
      <c r="B66" s="77" t="s">
        <v>112</v>
      </c>
      <c r="C66" s="16" t="s">
        <v>33</v>
      </c>
      <c r="D66" s="14"/>
      <c r="E66" s="64">
        <v>6.6</v>
      </c>
      <c r="F66" s="13">
        <f>SUM(E66)</f>
        <v>6.6</v>
      </c>
      <c r="G66" s="13">
        <v>47.75</v>
      </c>
      <c r="H66" s="61">
        <f t="shared" si="10"/>
        <v>0.31514999999999999</v>
      </c>
      <c r="I66" s="13">
        <v>0</v>
      </c>
    </row>
    <row r="67" spans="1:9" ht="15.75" hidden="1" customHeight="1">
      <c r="A67" s="30"/>
      <c r="B67" s="77" t="s">
        <v>113</v>
      </c>
      <c r="C67" s="16" t="s">
        <v>33</v>
      </c>
      <c r="D67" s="14"/>
      <c r="E67" s="64">
        <v>6.6</v>
      </c>
      <c r="F67" s="13">
        <f>SUM(E67)</f>
        <v>6.6</v>
      </c>
      <c r="G67" s="13">
        <v>44.27</v>
      </c>
      <c r="H67" s="61">
        <f t="shared" si="10"/>
        <v>0.292182</v>
      </c>
      <c r="I67" s="13">
        <v>0</v>
      </c>
    </row>
    <row r="68" spans="1:9" ht="15.75" hidden="1" customHeight="1">
      <c r="A68" s="30">
        <v>19</v>
      </c>
      <c r="B68" s="14" t="s">
        <v>58</v>
      </c>
      <c r="C68" s="16" t="s">
        <v>59</v>
      </c>
      <c r="D68" s="14" t="s">
        <v>54</v>
      </c>
      <c r="E68" s="18">
        <v>3</v>
      </c>
      <c r="F68" s="65">
        <v>3</v>
      </c>
      <c r="G68" s="13">
        <v>62.07</v>
      </c>
      <c r="H68" s="61">
        <f t="shared" si="10"/>
        <v>0.18621000000000001</v>
      </c>
      <c r="I68" s="13">
        <f>F68*G68</f>
        <v>186.21</v>
      </c>
    </row>
    <row r="69" spans="1:9" ht="15.75" customHeight="1">
      <c r="A69" s="30">
        <v>8</v>
      </c>
      <c r="B69" s="14" t="s">
        <v>126</v>
      </c>
      <c r="C69" s="30" t="s">
        <v>127</v>
      </c>
      <c r="D69" s="14"/>
      <c r="E69" s="18">
        <v>1536.4</v>
      </c>
      <c r="F69" s="56">
        <f>E69*12</f>
        <v>18436.800000000003</v>
      </c>
      <c r="G69" s="13">
        <v>2.16</v>
      </c>
      <c r="H69" s="61">
        <f t="shared" si="10"/>
        <v>39.823488000000012</v>
      </c>
      <c r="I69" s="13">
        <f>F69/12*G69</f>
        <v>3318.6240000000007</v>
      </c>
    </row>
    <row r="70" spans="1:9" ht="15.75" customHeight="1">
      <c r="A70" s="30"/>
      <c r="B70" s="48" t="s">
        <v>71</v>
      </c>
      <c r="C70" s="16"/>
      <c r="D70" s="14"/>
      <c r="E70" s="18"/>
      <c r="F70" s="13"/>
      <c r="G70" s="13"/>
      <c r="H70" s="61" t="s">
        <v>118</v>
      </c>
      <c r="I70" s="13"/>
    </row>
    <row r="71" spans="1:9" ht="15.75" hidden="1" customHeight="1">
      <c r="A71" s="30"/>
      <c r="B71" s="14" t="s">
        <v>129</v>
      </c>
      <c r="C71" s="16" t="s">
        <v>130</v>
      </c>
      <c r="D71" s="14" t="s">
        <v>67</v>
      </c>
      <c r="E71" s="18">
        <v>1</v>
      </c>
      <c r="F71" s="13">
        <f>E71</f>
        <v>1</v>
      </c>
      <c r="G71" s="13">
        <v>976.4</v>
      </c>
      <c r="H71" s="61">
        <f t="shared" ref="H71:H72" si="11">SUM(F71*G71/1000)</f>
        <v>0.97639999999999993</v>
      </c>
      <c r="I71" s="13">
        <v>0</v>
      </c>
    </row>
    <row r="72" spans="1:9" ht="15.75" hidden="1" customHeight="1">
      <c r="A72" s="30"/>
      <c r="B72" s="14" t="s">
        <v>131</v>
      </c>
      <c r="C72" s="16" t="s">
        <v>132</v>
      </c>
      <c r="D72" s="14"/>
      <c r="E72" s="18">
        <v>1</v>
      </c>
      <c r="F72" s="13">
        <v>1</v>
      </c>
      <c r="G72" s="13">
        <v>650</v>
      </c>
      <c r="H72" s="61">
        <f t="shared" si="11"/>
        <v>0.65</v>
      </c>
      <c r="I72" s="13">
        <v>0</v>
      </c>
    </row>
    <row r="73" spans="1:9" ht="15.75" hidden="1" customHeight="1">
      <c r="A73" s="30">
        <v>13</v>
      </c>
      <c r="B73" s="14" t="s">
        <v>72</v>
      </c>
      <c r="C73" s="16" t="s">
        <v>74</v>
      </c>
      <c r="D73" s="14"/>
      <c r="E73" s="18">
        <v>3</v>
      </c>
      <c r="F73" s="13">
        <v>0.3</v>
      </c>
      <c r="G73" s="13">
        <v>624.16999999999996</v>
      </c>
      <c r="H73" s="61">
        <f t="shared" si="10"/>
        <v>0.18725099999999997</v>
      </c>
      <c r="I73" s="13">
        <f>G73*0.1</f>
        <v>62.417000000000002</v>
      </c>
    </row>
    <row r="74" spans="1:9" ht="15.75" hidden="1" customHeight="1">
      <c r="A74" s="30"/>
      <c r="B74" s="14" t="s">
        <v>73</v>
      </c>
      <c r="C74" s="16" t="s">
        <v>31</v>
      </c>
      <c r="D74" s="14"/>
      <c r="E74" s="18">
        <v>1</v>
      </c>
      <c r="F74" s="56">
        <v>1</v>
      </c>
      <c r="G74" s="13">
        <v>1061.4100000000001</v>
      </c>
      <c r="H74" s="61">
        <f>F74*G74/1000</f>
        <v>1.0614100000000002</v>
      </c>
      <c r="I74" s="13">
        <v>0</v>
      </c>
    </row>
    <row r="75" spans="1:9" ht="15.75" customHeight="1">
      <c r="A75" s="30">
        <v>9</v>
      </c>
      <c r="B75" s="46" t="s">
        <v>133</v>
      </c>
      <c r="C75" s="47" t="s">
        <v>106</v>
      </c>
      <c r="D75" s="14" t="s">
        <v>176</v>
      </c>
      <c r="E75" s="18">
        <v>1</v>
      </c>
      <c r="F75" s="13">
        <f>E75*12</f>
        <v>12</v>
      </c>
      <c r="G75" s="13">
        <v>50.69</v>
      </c>
      <c r="H75" s="61">
        <f>G75*F75/1000</f>
        <v>0.60827999999999993</v>
      </c>
      <c r="I75" s="13">
        <f>G75</f>
        <v>50.69</v>
      </c>
    </row>
    <row r="76" spans="1:9" ht="15.75" hidden="1" customHeight="1">
      <c r="A76" s="30"/>
      <c r="B76" s="79" t="s">
        <v>75</v>
      </c>
      <c r="C76" s="16"/>
      <c r="D76" s="14"/>
      <c r="E76" s="18"/>
      <c r="F76" s="13"/>
      <c r="G76" s="13" t="s">
        <v>118</v>
      </c>
      <c r="H76" s="61" t="s">
        <v>118</v>
      </c>
      <c r="I76" s="13" t="str">
        <f>G76</f>
        <v xml:space="preserve"> </v>
      </c>
    </row>
    <row r="77" spans="1:9" ht="15.75" hidden="1" customHeight="1">
      <c r="A77" s="30"/>
      <c r="B77" s="43" t="s">
        <v>134</v>
      </c>
      <c r="C77" s="16" t="s">
        <v>76</v>
      </c>
      <c r="D77" s="14"/>
      <c r="E77" s="18"/>
      <c r="F77" s="13">
        <v>0.1</v>
      </c>
      <c r="G77" s="13">
        <v>3433.69</v>
      </c>
      <c r="H77" s="61">
        <f t="shared" si="10"/>
        <v>0.34336900000000004</v>
      </c>
      <c r="I77" s="13">
        <v>0</v>
      </c>
    </row>
    <row r="78" spans="1:9" ht="15.75" hidden="1" customHeight="1">
      <c r="A78" s="30"/>
      <c r="B78" s="55" t="s">
        <v>90</v>
      </c>
      <c r="C78" s="79"/>
      <c r="D78" s="31"/>
      <c r="E78" s="32"/>
      <c r="F78" s="68"/>
      <c r="G78" s="68"/>
      <c r="H78" s="80">
        <f>SUM(H55:H77)</f>
        <v>96.834317790000014</v>
      </c>
      <c r="I78" s="13"/>
    </row>
    <row r="79" spans="1:9" ht="15.75" hidden="1" customHeight="1">
      <c r="A79" s="30">
        <v>13</v>
      </c>
      <c r="B79" s="62" t="s">
        <v>114</v>
      </c>
      <c r="C79" s="16"/>
      <c r="D79" s="14"/>
      <c r="E79" s="57"/>
      <c r="F79" s="13">
        <v>1</v>
      </c>
      <c r="G79" s="13">
        <v>5637.8</v>
      </c>
      <c r="H79" s="61">
        <f>G79*F79/1000</f>
        <v>5.6378000000000004</v>
      </c>
      <c r="I79" s="13">
        <f>G79</f>
        <v>5637.8</v>
      </c>
    </row>
    <row r="80" spans="1:9" ht="15.75" customHeight="1">
      <c r="A80" s="148" t="s">
        <v>146</v>
      </c>
      <c r="B80" s="149"/>
      <c r="C80" s="149"/>
      <c r="D80" s="149"/>
      <c r="E80" s="149"/>
      <c r="F80" s="149"/>
      <c r="G80" s="149"/>
      <c r="H80" s="149"/>
      <c r="I80" s="150"/>
    </row>
    <row r="81" spans="1:9" ht="15.75" customHeight="1">
      <c r="A81" s="30">
        <v>10</v>
      </c>
      <c r="B81" s="62" t="s">
        <v>115</v>
      </c>
      <c r="C81" s="16" t="s">
        <v>55</v>
      </c>
      <c r="D81" s="81"/>
      <c r="E81" s="13">
        <v>1536.4</v>
      </c>
      <c r="F81" s="13">
        <f>SUM(E81*12)</f>
        <v>18436.800000000003</v>
      </c>
      <c r="G81" s="13">
        <v>2.95</v>
      </c>
      <c r="H81" s="61">
        <f>SUM(F81*G81/1000)</f>
        <v>54.388560000000012</v>
      </c>
      <c r="I81" s="13">
        <f>F81/12*G81</f>
        <v>4532.380000000001</v>
      </c>
    </row>
    <row r="82" spans="1:9" ht="31.5" customHeight="1">
      <c r="A82" s="30">
        <v>11</v>
      </c>
      <c r="B82" s="14" t="s">
        <v>77</v>
      </c>
      <c r="C82" s="16"/>
      <c r="D82" s="81"/>
      <c r="E82" s="64">
        <f>E81</f>
        <v>1536.4</v>
      </c>
      <c r="F82" s="13">
        <f>E82*12</f>
        <v>18436.800000000003</v>
      </c>
      <c r="G82" s="13">
        <v>3.05</v>
      </c>
      <c r="H82" s="61">
        <f>F82*G82/1000</f>
        <v>56.232240000000004</v>
      </c>
      <c r="I82" s="13">
        <f>F82/12*G82</f>
        <v>4686.0200000000004</v>
      </c>
    </row>
    <row r="83" spans="1:9" ht="15.75" customHeight="1">
      <c r="A83" s="30"/>
      <c r="B83" s="36" t="s">
        <v>79</v>
      </c>
      <c r="C83" s="79"/>
      <c r="D83" s="78"/>
      <c r="E83" s="68"/>
      <c r="F83" s="68"/>
      <c r="G83" s="68"/>
      <c r="H83" s="80">
        <f>H82</f>
        <v>56.232240000000004</v>
      </c>
      <c r="I83" s="68">
        <f>I82+I81+I75+I69+I59+I31+I30+I27+I18+I17+I16</f>
        <v>19344.559068000002</v>
      </c>
    </row>
    <row r="84" spans="1:9" ht="15.75" customHeight="1">
      <c r="A84" s="134" t="s">
        <v>61</v>
      </c>
      <c r="B84" s="135"/>
      <c r="C84" s="135"/>
      <c r="D84" s="135"/>
      <c r="E84" s="135"/>
      <c r="F84" s="135"/>
      <c r="G84" s="135"/>
      <c r="H84" s="135"/>
      <c r="I84" s="136"/>
    </row>
    <row r="85" spans="1:9" ht="15.75" customHeight="1">
      <c r="A85" s="30">
        <v>12</v>
      </c>
      <c r="B85" s="111" t="s">
        <v>80</v>
      </c>
      <c r="C85" s="112" t="s">
        <v>106</v>
      </c>
      <c r="D85" s="43"/>
      <c r="E85" s="13"/>
      <c r="F85" s="13">
        <v>104</v>
      </c>
      <c r="G85" s="34">
        <v>207.55</v>
      </c>
      <c r="H85" s="13">
        <f t="shared" ref="H85:H87" si="12">G85*F85/1000</f>
        <v>21.5852</v>
      </c>
      <c r="I85" s="13">
        <f>G85*2</f>
        <v>415.1</v>
      </c>
    </row>
    <row r="86" spans="1:9" ht="15.75" customHeight="1">
      <c r="A86" s="30">
        <v>13</v>
      </c>
      <c r="B86" s="111" t="s">
        <v>234</v>
      </c>
      <c r="C86" s="112" t="s">
        <v>106</v>
      </c>
      <c r="D86" s="101"/>
      <c r="E86" s="34"/>
      <c r="F86" s="34">
        <v>5</v>
      </c>
      <c r="G86" s="34">
        <v>87.32</v>
      </c>
      <c r="H86" s="102">
        <f t="shared" si="12"/>
        <v>0.43659999999999999</v>
      </c>
      <c r="I86" s="13">
        <f>G86*1</f>
        <v>87.32</v>
      </c>
    </row>
    <row r="87" spans="1:9" ht="14.25" customHeight="1">
      <c r="A87" s="30">
        <v>14</v>
      </c>
      <c r="B87" s="111" t="s">
        <v>228</v>
      </c>
      <c r="C87" s="112" t="s">
        <v>81</v>
      </c>
      <c r="D87" s="43"/>
      <c r="E87" s="34"/>
      <c r="F87" s="34">
        <v>6</v>
      </c>
      <c r="G87" s="34">
        <v>214.07</v>
      </c>
      <c r="H87" s="102">
        <f t="shared" si="12"/>
        <v>1.2844200000000001</v>
      </c>
      <c r="I87" s="13">
        <f>G87*1</f>
        <v>214.07</v>
      </c>
    </row>
    <row r="88" spans="1:9" ht="32.25" customHeight="1">
      <c r="A88" s="30">
        <v>15</v>
      </c>
      <c r="B88" s="111" t="s">
        <v>235</v>
      </c>
      <c r="C88" s="112" t="s">
        <v>159</v>
      </c>
      <c r="D88" s="101"/>
      <c r="E88" s="34"/>
      <c r="F88" s="34">
        <f>10.54/10</f>
        <v>1.0539999999999998</v>
      </c>
      <c r="G88" s="34">
        <v>1465</v>
      </c>
      <c r="H88" s="102">
        <f>G88*F88/1000</f>
        <v>1.5441099999999996</v>
      </c>
      <c r="I88" s="13">
        <f>G88*2</f>
        <v>2930</v>
      </c>
    </row>
    <row r="89" spans="1:9" ht="30" customHeight="1">
      <c r="A89" s="30">
        <v>16</v>
      </c>
      <c r="B89" s="111" t="s">
        <v>236</v>
      </c>
      <c r="C89" s="112" t="s">
        <v>159</v>
      </c>
      <c r="D89" s="101"/>
      <c r="E89" s="34"/>
      <c r="F89" s="34"/>
      <c r="G89" s="34">
        <v>1367</v>
      </c>
      <c r="H89" s="102"/>
      <c r="I89" s="13">
        <f>G89*1</f>
        <v>1367</v>
      </c>
    </row>
    <row r="90" spans="1:9" ht="14.25" customHeight="1">
      <c r="A90" s="30">
        <v>17</v>
      </c>
      <c r="B90" s="111" t="s">
        <v>237</v>
      </c>
      <c r="C90" s="112" t="s">
        <v>238</v>
      </c>
      <c r="D90" s="101"/>
      <c r="E90" s="34"/>
      <c r="F90" s="34"/>
      <c r="G90" s="34">
        <v>71826.350000000006</v>
      </c>
      <c r="H90" s="102"/>
      <c r="I90" s="13">
        <f>G90*1</f>
        <v>71826.350000000006</v>
      </c>
    </row>
    <row r="91" spans="1:9" ht="30.75" customHeight="1">
      <c r="A91" s="30">
        <v>18</v>
      </c>
      <c r="B91" s="111" t="s">
        <v>165</v>
      </c>
      <c r="C91" s="112" t="s">
        <v>29</v>
      </c>
      <c r="D91" s="101"/>
      <c r="E91" s="34"/>
      <c r="F91" s="34"/>
      <c r="G91" s="123">
        <v>19757.060000000001</v>
      </c>
      <c r="H91" s="102"/>
      <c r="I91" s="13">
        <f>G91*0.599*3/1000</f>
        <v>35.503436820000005</v>
      </c>
    </row>
    <row r="92" spans="1:9" ht="15.75" customHeight="1">
      <c r="A92" s="30"/>
      <c r="B92" s="41" t="s">
        <v>52</v>
      </c>
      <c r="C92" s="37"/>
      <c r="D92" s="44"/>
      <c r="E92" s="37">
        <v>1</v>
      </c>
      <c r="F92" s="37"/>
      <c r="G92" s="37"/>
      <c r="H92" s="37"/>
      <c r="I92" s="32">
        <f>SUM(I85:I91)</f>
        <v>76875.343436820011</v>
      </c>
    </row>
    <row r="93" spans="1:9" ht="15.75" customHeight="1">
      <c r="A93" s="30"/>
      <c r="B93" s="43" t="s">
        <v>78</v>
      </c>
      <c r="C93" s="15"/>
      <c r="D93" s="15"/>
      <c r="E93" s="38"/>
      <c r="F93" s="38"/>
      <c r="G93" s="39"/>
      <c r="H93" s="39"/>
      <c r="I93" s="17">
        <v>0</v>
      </c>
    </row>
    <row r="94" spans="1:9">
      <c r="A94" s="45"/>
      <c r="B94" s="42" t="s">
        <v>157</v>
      </c>
      <c r="C94" s="33"/>
      <c r="D94" s="33"/>
      <c r="E94" s="33"/>
      <c r="F94" s="33"/>
      <c r="G94" s="33"/>
      <c r="H94" s="33"/>
      <c r="I94" s="40">
        <f>I83+I92</f>
        <v>96219.902504820013</v>
      </c>
    </row>
    <row r="95" spans="1:9" ht="15.75">
      <c r="A95" s="143" t="s">
        <v>239</v>
      </c>
      <c r="B95" s="143"/>
      <c r="C95" s="143"/>
      <c r="D95" s="143"/>
      <c r="E95" s="143"/>
      <c r="F95" s="143"/>
      <c r="G95" s="143"/>
      <c r="H95" s="143"/>
      <c r="I95" s="143"/>
    </row>
    <row r="96" spans="1:9" ht="15.75" customHeight="1">
      <c r="A96" s="54"/>
      <c r="B96" s="144" t="s">
        <v>240</v>
      </c>
      <c r="C96" s="144"/>
      <c r="D96" s="144"/>
      <c r="E96" s="144"/>
      <c r="F96" s="144"/>
      <c r="G96" s="144"/>
      <c r="H96" s="60"/>
      <c r="I96" s="3"/>
    </row>
    <row r="97" spans="1:9">
      <c r="A97" s="53"/>
      <c r="B97" s="139" t="s">
        <v>6</v>
      </c>
      <c r="C97" s="139"/>
      <c r="D97" s="139"/>
      <c r="E97" s="139"/>
      <c r="F97" s="139"/>
      <c r="G97" s="139"/>
      <c r="H97" s="25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45" t="s">
        <v>7</v>
      </c>
      <c r="B99" s="145"/>
      <c r="C99" s="145"/>
      <c r="D99" s="145"/>
      <c r="E99" s="145"/>
      <c r="F99" s="145"/>
      <c r="G99" s="145"/>
      <c r="H99" s="145"/>
      <c r="I99" s="145"/>
    </row>
    <row r="100" spans="1:9" ht="15.75" customHeight="1">
      <c r="A100" s="145" t="s">
        <v>8</v>
      </c>
      <c r="B100" s="145"/>
      <c r="C100" s="145"/>
      <c r="D100" s="145"/>
      <c r="E100" s="145"/>
      <c r="F100" s="145"/>
      <c r="G100" s="145"/>
      <c r="H100" s="145"/>
      <c r="I100" s="145"/>
    </row>
    <row r="101" spans="1:9" ht="15.75">
      <c r="A101" s="146" t="s">
        <v>62</v>
      </c>
      <c r="B101" s="146"/>
      <c r="C101" s="146"/>
      <c r="D101" s="146"/>
      <c r="E101" s="146"/>
      <c r="F101" s="146"/>
      <c r="G101" s="146"/>
      <c r="H101" s="146"/>
      <c r="I101" s="146"/>
    </row>
    <row r="102" spans="1:9" ht="15.75">
      <c r="A102" s="11"/>
    </row>
    <row r="103" spans="1:9" ht="15.75">
      <c r="A103" s="137" t="s">
        <v>9</v>
      </c>
      <c r="B103" s="137"/>
      <c r="C103" s="137"/>
      <c r="D103" s="137"/>
      <c r="E103" s="137"/>
      <c r="F103" s="137"/>
      <c r="G103" s="137"/>
      <c r="H103" s="137"/>
      <c r="I103" s="137"/>
    </row>
    <row r="104" spans="1:9" ht="15.75">
      <c r="A104" s="4"/>
    </row>
    <row r="105" spans="1:9" ht="15.75">
      <c r="B105" s="50" t="s">
        <v>10</v>
      </c>
      <c r="C105" s="138" t="s">
        <v>137</v>
      </c>
      <c r="D105" s="138"/>
      <c r="E105" s="138"/>
      <c r="F105" s="58"/>
      <c r="I105" s="52"/>
    </row>
    <row r="106" spans="1:9">
      <c r="A106" s="53"/>
      <c r="C106" s="139" t="s">
        <v>11</v>
      </c>
      <c r="D106" s="139"/>
      <c r="E106" s="139"/>
      <c r="F106" s="25"/>
      <c r="I106" s="51" t="s">
        <v>12</v>
      </c>
    </row>
    <row r="107" spans="1:9" ht="15.75">
      <c r="A107" s="26"/>
      <c r="C107" s="12"/>
      <c r="D107" s="12"/>
      <c r="G107" s="12"/>
      <c r="H107" s="12"/>
    </row>
    <row r="108" spans="1:9" ht="15.75" customHeight="1">
      <c r="B108" s="50" t="s">
        <v>13</v>
      </c>
      <c r="C108" s="140"/>
      <c r="D108" s="140"/>
      <c r="E108" s="140"/>
      <c r="F108" s="59"/>
      <c r="I108" s="52"/>
    </row>
    <row r="109" spans="1:9" ht="15.75" customHeight="1">
      <c r="A109" s="53"/>
      <c r="C109" s="141" t="s">
        <v>11</v>
      </c>
      <c r="D109" s="141"/>
      <c r="E109" s="141"/>
      <c r="F109" s="53"/>
      <c r="I109" s="51" t="s">
        <v>12</v>
      </c>
    </row>
    <row r="110" spans="1:9" ht="15.75" customHeight="1">
      <c r="A110" s="4" t="s">
        <v>14</v>
      </c>
    </row>
    <row r="111" spans="1:9">
      <c r="A111" s="142" t="s">
        <v>15</v>
      </c>
      <c r="B111" s="142"/>
      <c r="C111" s="142"/>
      <c r="D111" s="142"/>
      <c r="E111" s="142"/>
      <c r="F111" s="142"/>
      <c r="G111" s="142"/>
      <c r="H111" s="142"/>
      <c r="I111" s="142"/>
    </row>
    <row r="112" spans="1:9" ht="45" customHeight="1">
      <c r="A112" s="133" t="s">
        <v>16</v>
      </c>
      <c r="B112" s="133"/>
      <c r="C112" s="133"/>
      <c r="D112" s="133"/>
      <c r="E112" s="133"/>
      <c r="F112" s="133"/>
      <c r="G112" s="133"/>
      <c r="H112" s="133"/>
      <c r="I112" s="133"/>
    </row>
    <row r="113" spans="1:9" ht="30" customHeight="1">
      <c r="A113" s="133" t="s">
        <v>17</v>
      </c>
      <c r="B113" s="133"/>
      <c r="C113" s="133"/>
      <c r="D113" s="133"/>
      <c r="E113" s="133"/>
      <c r="F113" s="133"/>
      <c r="G113" s="133"/>
      <c r="H113" s="133"/>
      <c r="I113" s="133"/>
    </row>
    <row r="114" spans="1:9" ht="30" customHeight="1">
      <c r="A114" s="133" t="s">
        <v>21</v>
      </c>
      <c r="B114" s="133"/>
      <c r="C114" s="133"/>
      <c r="D114" s="133"/>
      <c r="E114" s="133"/>
      <c r="F114" s="133"/>
      <c r="G114" s="133"/>
      <c r="H114" s="133"/>
      <c r="I114" s="133"/>
    </row>
    <row r="115" spans="1:9" ht="15" customHeight="1">
      <c r="A115" s="133" t="s">
        <v>20</v>
      </c>
      <c r="B115" s="133"/>
      <c r="C115" s="133"/>
      <c r="D115" s="133"/>
      <c r="E115" s="133"/>
      <c r="F115" s="133"/>
      <c r="G115" s="133"/>
      <c r="H115" s="133"/>
      <c r="I115" s="133"/>
    </row>
  </sheetData>
  <autoFilter ref="I12:I54"/>
  <mergeCells count="29">
    <mergeCell ref="R59:U59"/>
    <mergeCell ref="A80:I80"/>
    <mergeCell ref="A3:I3"/>
    <mergeCell ref="A4:I4"/>
    <mergeCell ref="A5:I5"/>
    <mergeCell ref="A8:I8"/>
    <mergeCell ref="A10:I10"/>
    <mergeCell ref="A14:I14"/>
    <mergeCell ref="A101:I101"/>
    <mergeCell ref="A15:I15"/>
    <mergeCell ref="A28:I28"/>
    <mergeCell ref="A42:I42"/>
    <mergeCell ref="A53:I53"/>
    <mergeCell ref="A95:I95"/>
    <mergeCell ref="B96:G96"/>
    <mergeCell ref="B97:G97"/>
    <mergeCell ref="A99:I99"/>
    <mergeCell ref="A100:I100"/>
    <mergeCell ref="A84:I84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2"/>
  <sheetViews>
    <sheetView topLeftCell="A72" workbookViewId="0">
      <selection activeCell="B88" sqref="B88:I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20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162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51" t="s">
        <v>160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136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241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109"/>
      <c r="C6" s="109"/>
      <c r="D6" s="109"/>
      <c r="E6" s="109"/>
      <c r="F6" s="109"/>
      <c r="G6" s="109"/>
      <c r="H6" s="109"/>
      <c r="I6" s="84">
        <v>43799</v>
      </c>
      <c r="J6" s="2"/>
      <c r="K6" s="2"/>
      <c r="L6" s="2"/>
      <c r="M6" s="2"/>
    </row>
    <row r="7" spans="1:13" ht="15.75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4" t="s">
        <v>164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5" t="s">
        <v>153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6" t="s">
        <v>60</v>
      </c>
      <c r="B14" s="156"/>
      <c r="C14" s="156"/>
      <c r="D14" s="156"/>
      <c r="E14" s="156"/>
      <c r="F14" s="156"/>
      <c r="G14" s="156"/>
      <c r="H14" s="156"/>
      <c r="I14" s="156"/>
      <c r="J14" s="8"/>
      <c r="K14" s="8"/>
      <c r="L14" s="8"/>
      <c r="M14" s="8"/>
    </row>
    <row r="15" spans="1:13" ht="1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0">
        <v>1</v>
      </c>
      <c r="B16" s="62" t="s">
        <v>83</v>
      </c>
      <c r="C16" s="63" t="s">
        <v>84</v>
      </c>
      <c r="D16" s="62" t="s">
        <v>195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18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116</v>
      </c>
      <c r="C17" s="63" t="s">
        <v>84</v>
      </c>
      <c r="D17" s="62" t="s">
        <v>196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117</v>
      </c>
      <c r="C18" s="63" t="s">
        <v>84</v>
      </c>
      <c r="D18" s="62" t="s">
        <v>197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/>
      <c r="B19" s="62" t="s">
        <v>91</v>
      </c>
      <c r="C19" s="63" t="s">
        <v>92</v>
      </c>
      <c r="D19" s="62" t="s">
        <v>93</v>
      </c>
      <c r="E19" s="64">
        <v>21.6</v>
      </c>
      <c r="F19" s="65">
        <f>SUM(E19/10)</f>
        <v>2.16</v>
      </c>
      <c r="G19" s="65">
        <v>211.74</v>
      </c>
      <c r="H19" s="66">
        <f t="shared" ref="H19:H26" si="1">SUM(F19*G19/1000)</f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4</v>
      </c>
      <c r="B20" s="62" t="s">
        <v>94</v>
      </c>
      <c r="C20" s="63" t="s">
        <v>84</v>
      </c>
      <c r="D20" s="62" t="s">
        <v>43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1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95</v>
      </c>
      <c r="C21" s="63" t="s">
        <v>84</v>
      </c>
      <c r="D21" s="62" t="s">
        <v>43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1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/>
      <c r="B22" s="62" t="s">
        <v>96</v>
      </c>
      <c r="C22" s="63" t="s">
        <v>53</v>
      </c>
      <c r="D22" s="62" t="s">
        <v>93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1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/>
      <c r="B23" s="62" t="s">
        <v>97</v>
      </c>
      <c r="C23" s="63" t="s">
        <v>53</v>
      </c>
      <c r="D23" s="62" t="s">
        <v>93</v>
      </c>
      <c r="E23" s="67">
        <v>17.64</v>
      </c>
      <c r="F23" s="65">
        <f>SUM(E23/100)</f>
        <v>0.1764</v>
      </c>
      <c r="G23" s="65">
        <v>55.1</v>
      </c>
      <c r="H23" s="66">
        <f t="shared" si="1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62" t="s">
        <v>98</v>
      </c>
      <c r="C24" s="63" t="s">
        <v>53</v>
      </c>
      <c r="D24" s="62" t="s">
        <v>99</v>
      </c>
      <c r="E24" s="64">
        <v>7.2</v>
      </c>
      <c r="F24" s="65">
        <f>E24/100</f>
        <v>7.2000000000000008E-2</v>
      </c>
      <c r="G24" s="65">
        <v>484.94</v>
      </c>
      <c r="H24" s="66">
        <f t="shared" si="1"/>
        <v>3.4915680000000004E-2</v>
      </c>
      <c r="I24" s="13">
        <f t="shared" si="2"/>
        <v>34.915680000000002</v>
      </c>
      <c r="J24" s="23"/>
      <c r="K24" s="8"/>
      <c r="L24" s="8"/>
      <c r="M24" s="8"/>
    </row>
    <row r="25" spans="1:13" ht="15.75" hidden="1" customHeight="1">
      <c r="A25" s="30"/>
      <c r="B25" s="62" t="s">
        <v>100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1"/>
        <v>2.5412939999999998E-2</v>
      </c>
      <c r="I25" s="13">
        <f t="shared" si="2"/>
        <v>25.412939999999999</v>
      </c>
      <c r="J25" s="23"/>
      <c r="K25" s="8"/>
      <c r="L25" s="8"/>
      <c r="M25" s="8"/>
    </row>
    <row r="26" spans="1:13" ht="15.75" hidden="1" customHeight="1">
      <c r="A26" s="30"/>
      <c r="B26" s="62" t="s">
        <v>101</v>
      </c>
      <c r="C26" s="63" t="s">
        <v>53</v>
      </c>
      <c r="D26" s="62" t="s">
        <v>93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1"/>
        <v>7.387740000000001E-2</v>
      </c>
      <c r="I26" s="13">
        <f t="shared" si="2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126" t="s">
        <v>194</v>
      </c>
      <c r="C27" s="127" t="s">
        <v>25</v>
      </c>
      <c r="D27" s="126" t="s">
        <v>198</v>
      </c>
      <c r="E27" s="128">
        <v>2.91</v>
      </c>
      <c r="F27" s="117">
        <f>E27*258</f>
        <v>750.78000000000009</v>
      </c>
      <c r="G27" s="117">
        <v>10.39</v>
      </c>
      <c r="H27" s="66">
        <f>SUM(F27*G27/1000)</f>
        <v>7.8006042000000013</v>
      </c>
      <c r="I27" s="13">
        <f>F27/12*G27</f>
        <v>650.05035000000009</v>
      </c>
      <c r="J27" s="23"/>
      <c r="K27" s="8"/>
    </row>
    <row r="28" spans="1:13" ht="15.75" hidden="1" customHeight="1">
      <c r="A28" s="30">
        <v>5</v>
      </c>
      <c r="B28" s="70" t="s">
        <v>23</v>
      </c>
      <c r="C28" s="63" t="s">
        <v>24</v>
      </c>
      <c r="D28" s="62"/>
      <c r="E28" s="64">
        <v>1536.4</v>
      </c>
      <c r="F28" s="65">
        <f>SUM(E28*12)</f>
        <v>18436.800000000003</v>
      </c>
      <c r="G28" s="65">
        <v>4.5599999999999996</v>
      </c>
      <c r="H28" s="66">
        <f>SUM(F28*G28/1000)</f>
        <v>84.071808000000004</v>
      </c>
      <c r="I28" s="13">
        <f>F28/12*G28</f>
        <v>7005.9840000000013</v>
      </c>
      <c r="J28" s="24"/>
    </row>
    <row r="29" spans="1:13" ht="15.75" customHeight="1">
      <c r="A29" s="148" t="s">
        <v>154</v>
      </c>
      <c r="B29" s="149"/>
      <c r="C29" s="149"/>
      <c r="D29" s="149"/>
      <c r="E29" s="149"/>
      <c r="F29" s="149"/>
      <c r="G29" s="149"/>
      <c r="H29" s="149"/>
      <c r="I29" s="150"/>
      <c r="J29" s="24"/>
    </row>
    <row r="30" spans="1:13" ht="15.75" hidden="1" customHeight="1">
      <c r="A30" s="30"/>
      <c r="B30" s="82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hidden="1" customHeight="1">
      <c r="A31" s="30">
        <v>6</v>
      </c>
      <c r="B31" s="62" t="s">
        <v>104</v>
      </c>
      <c r="C31" s="63" t="s">
        <v>87</v>
      </c>
      <c r="D31" s="62" t="s">
        <v>155</v>
      </c>
      <c r="E31" s="65">
        <v>61.5</v>
      </c>
      <c r="F31" s="65">
        <f>SUM(E31*52/1000)</f>
        <v>3.198</v>
      </c>
      <c r="G31" s="65">
        <v>193.97</v>
      </c>
      <c r="H31" s="66">
        <f t="shared" ref="H31:H36" si="3">SUM(F31*G31/1000)</f>
        <v>0.62031605999999995</v>
      </c>
      <c r="I31" s="13">
        <f t="shared" ref="I31:I32" si="4">F31/6*G31</f>
        <v>103.38601</v>
      </c>
      <c r="J31" s="23"/>
      <c r="K31" s="8"/>
      <c r="L31" s="8"/>
      <c r="M31" s="8"/>
    </row>
    <row r="32" spans="1:13" ht="31.5" hidden="1" customHeight="1">
      <c r="A32" s="30">
        <v>7</v>
      </c>
      <c r="B32" s="62" t="s">
        <v>103</v>
      </c>
      <c r="C32" s="63" t="s">
        <v>87</v>
      </c>
      <c r="D32" s="62" t="s">
        <v>156</v>
      </c>
      <c r="E32" s="65">
        <v>35.299999999999997</v>
      </c>
      <c r="F32" s="65">
        <f>SUM(E32*78/1000)</f>
        <v>2.7533999999999996</v>
      </c>
      <c r="G32" s="65">
        <v>321.82</v>
      </c>
      <c r="H32" s="66">
        <f t="shared" si="3"/>
        <v>0.88609918799999987</v>
      </c>
      <c r="I32" s="13">
        <f t="shared" si="4"/>
        <v>147.68319799999998</v>
      </c>
      <c r="J32" s="23"/>
      <c r="K32" s="8"/>
      <c r="L32" s="8"/>
      <c r="M32" s="8"/>
    </row>
    <row r="33" spans="1:14" ht="15.75" hidden="1" customHeight="1">
      <c r="A33" s="30"/>
      <c r="B33" s="62" t="s">
        <v>27</v>
      </c>
      <c r="C33" s="63" t="s">
        <v>87</v>
      </c>
      <c r="D33" s="62" t="s">
        <v>54</v>
      </c>
      <c r="E33" s="65">
        <v>61.5</v>
      </c>
      <c r="F33" s="65">
        <f>SUM(E33/1000)</f>
        <v>6.1499999999999999E-2</v>
      </c>
      <c r="G33" s="65">
        <v>3758.28</v>
      </c>
      <c r="H33" s="66">
        <f t="shared" si="3"/>
        <v>0.23113422</v>
      </c>
      <c r="I33" s="13">
        <f>F33*G33</f>
        <v>231.13422</v>
      </c>
      <c r="J33" s="23"/>
      <c r="K33" s="8"/>
      <c r="L33" s="8"/>
      <c r="M33" s="8"/>
    </row>
    <row r="34" spans="1:14" ht="15.75" hidden="1" customHeight="1">
      <c r="A34" s="30">
        <v>8</v>
      </c>
      <c r="B34" s="62" t="s">
        <v>102</v>
      </c>
      <c r="C34" s="63" t="s">
        <v>31</v>
      </c>
      <c r="D34" s="62" t="s">
        <v>64</v>
      </c>
      <c r="E34" s="69">
        <f>1/3</f>
        <v>0.33333333333333331</v>
      </c>
      <c r="F34" s="65">
        <f>155/3</f>
        <v>51.666666666666664</v>
      </c>
      <c r="G34" s="65">
        <v>70.540000000000006</v>
      </c>
      <c r="H34" s="66">
        <f t="shared" si="3"/>
        <v>3.6445666666666665</v>
      </c>
      <c r="I34" s="13">
        <f>F34/6*G34</f>
        <v>607.42777777777781</v>
      </c>
      <c r="J34" s="23"/>
      <c r="K34" s="8"/>
      <c r="L34" s="8"/>
      <c r="M34" s="8"/>
    </row>
    <row r="35" spans="1:14" ht="15.75" hidden="1" customHeight="1">
      <c r="A35" s="30"/>
      <c r="B35" s="62" t="s">
        <v>65</v>
      </c>
      <c r="C35" s="63" t="s">
        <v>33</v>
      </c>
      <c r="D35" s="62" t="s">
        <v>67</v>
      </c>
      <c r="E35" s="64"/>
      <c r="F35" s="65">
        <v>1</v>
      </c>
      <c r="G35" s="65">
        <v>238.07</v>
      </c>
      <c r="H35" s="66">
        <f t="shared" si="3"/>
        <v>0.23807</v>
      </c>
      <c r="I35" s="13">
        <v>0</v>
      </c>
      <c r="J35" s="24"/>
    </row>
    <row r="36" spans="1:14" ht="15.75" hidden="1" customHeight="1">
      <c r="A36" s="30"/>
      <c r="B36" s="62" t="s">
        <v>66</v>
      </c>
      <c r="C36" s="63" t="s">
        <v>32</v>
      </c>
      <c r="D36" s="62" t="s">
        <v>67</v>
      </c>
      <c r="E36" s="64"/>
      <c r="F36" s="65">
        <v>1</v>
      </c>
      <c r="G36" s="65">
        <v>1413.96</v>
      </c>
      <c r="H36" s="66">
        <f t="shared" si="3"/>
        <v>1.4139600000000001</v>
      </c>
      <c r="I36" s="13">
        <v>0</v>
      </c>
      <c r="J36" s="24"/>
    </row>
    <row r="37" spans="1:14" ht="15.75" customHeight="1">
      <c r="A37" s="30"/>
      <c r="B37" s="82" t="s">
        <v>5</v>
      </c>
      <c r="C37" s="63"/>
      <c r="D37" s="62"/>
      <c r="E37" s="64"/>
      <c r="F37" s="65"/>
      <c r="G37" s="65"/>
      <c r="H37" s="66" t="s">
        <v>118</v>
      </c>
      <c r="I37" s="13"/>
      <c r="J37" s="24"/>
      <c r="L37" s="19"/>
      <c r="M37" s="20"/>
      <c r="N37" s="21"/>
    </row>
    <row r="38" spans="1:14" ht="15.75" customHeight="1">
      <c r="A38" s="30">
        <v>5</v>
      </c>
      <c r="B38" s="62" t="s">
        <v>26</v>
      </c>
      <c r="C38" s="63" t="s">
        <v>32</v>
      </c>
      <c r="D38" s="62"/>
      <c r="E38" s="64"/>
      <c r="F38" s="65">
        <v>3</v>
      </c>
      <c r="G38" s="65">
        <v>1900.37</v>
      </c>
      <c r="H38" s="66">
        <f t="shared" ref="H38:H43" si="5">SUM(F38*G38/1000)</f>
        <v>5.7011099999999999</v>
      </c>
      <c r="I38" s="13">
        <f>G38*1.3</f>
        <v>2470.4809999999998</v>
      </c>
      <c r="J38" s="24"/>
      <c r="L38" s="19"/>
      <c r="M38" s="20"/>
      <c r="N38" s="21"/>
    </row>
    <row r="39" spans="1:14" ht="31.5" customHeight="1">
      <c r="A39" s="30">
        <v>6</v>
      </c>
      <c r="B39" s="62" t="s">
        <v>119</v>
      </c>
      <c r="C39" s="63" t="s">
        <v>29</v>
      </c>
      <c r="D39" s="62" t="s">
        <v>199</v>
      </c>
      <c r="E39" s="64">
        <v>35.299999999999997</v>
      </c>
      <c r="F39" s="65">
        <f>E39*30/1000</f>
        <v>1.0589999999999999</v>
      </c>
      <c r="G39" s="65">
        <v>2616.4899999999998</v>
      </c>
      <c r="H39" s="66">
        <f t="shared" si="5"/>
        <v>2.77086291</v>
      </c>
      <c r="I39" s="13">
        <f t="shared" ref="I39:I41" si="6">F39/6*G39</f>
        <v>461.81048499999991</v>
      </c>
      <c r="J39" s="24"/>
      <c r="L39" s="19"/>
      <c r="M39" s="20"/>
      <c r="N39" s="21"/>
    </row>
    <row r="40" spans="1:14" ht="15.75" customHeight="1">
      <c r="A40" s="30">
        <v>7</v>
      </c>
      <c r="B40" s="62" t="s">
        <v>120</v>
      </c>
      <c r="C40" s="63" t="s">
        <v>29</v>
      </c>
      <c r="D40" s="62" t="s">
        <v>200</v>
      </c>
      <c r="E40" s="64">
        <v>35.299999999999997</v>
      </c>
      <c r="F40" s="65">
        <f>SUM(E40*155/1000)</f>
        <v>5.4714999999999998</v>
      </c>
      <c r="G40" s="65">
        <v>436.45</v>
      </c>
      <c r="H40" s="66">
        <f t="shared" si="5"/>
        <v>2.3880361749999999</v>
      </c>
      <c r="I40" s="13">
        <f t="shared" si="6"/>
        <v>398.00602916666662</v>
      </c>
      <c r="J40" s="24"/>
      <c r="L40" s="19"/>
      <c r="M40" s="20"/>
      <c r="N40" s="21"/>
    </row>
    <row r="41" spans="1:14" ht="47.25" customHeight="1">
      <c r="A41" s="30">
        <v>8</v>
      </c>
      <c r="B41" s="62" t="s">
        <v>121</v>
      </c>
      <c r="C41" s="63" t="s">
        <v>87</v>
      </c>
      <c r="D41" s="62" t="s">
        <v>201</v>
      </c>
      <c r="E41" s="64">
        <v>35.299999999999997</v>
      </c>
      <c r="F41" s="65">
        <f>SUM(E41*24/1000)</f>
        <v>0.84719999999999995</v>
      </c>
      <c r="G41" s="65">
        <v>7221.21</v>
      </c>
      <c r="H41" s="66">
        <f t="shared" si="5"/>
        <v>6.1178091119999998</v>
      </c>
      <c r="I41" s="13">
        <f t="shared" si="6"/>
        <v>1019.6348519999999</v>
      </c>
      <c r="J41" s="24"/>
      <c r="L41" s="19"/>
      <c r="M41" s="20"/>
      <c r="N41" s="21"/>
    </row>
    <row r="42" spans="1:14" ht="15.75" customHeight="1">
      <c r="A42" s="30">
        <v>9</v>
      </c>
      <c r="B42" s="62" t="s">
        <v>123</v>
      </c>
      <c r="C42" s="63" t="s">
        <v>87</v>
      </c>
      <c r="D42" s="62" t="s">
        <v>202</v>
      </c>
      <c r="E42" s="64">
        <v>35.299999999999997</v>
      </c>
      <c r="F42" s="65">
        <f>SUM(E42*45/1000)</f>
        <v>1.5884999999999998</v>
      </c>
      <c r="G42" s="65">
        <v>533.45000000000005</v>
      </c>
      <c r="H42" s="66">
        <f t="shared" si="5"/>
        <v>0.84738532499999997</v>
      </c>
      <c r="I42" s="13">
        <f>F42/7.5*G42</f>
        <v>112.98470999999999</v>
      </c>
      <c r="J42" s="24"/>
      <c r="L42" s="19"/>
      <c r="M42" s="20"/>
      <c r="N42" s="21"/>
    </row>
    <row r="43" spans="1:14" ht="15.75" customHeight="1">
      <c r="A43" s="30">
        <v>10</v>
      </c>
      <c r="B43" s="62" t="s">
        <v>69</v>
      </c>
      <c r="C43" s="63" t="s">
        <v>33</v>
      </c>
      <c r="D43" s="62"/>
      <c r="E43" s="64"/>
      <c r="F43" s="65">
        <v>0.3</v>
      </c>
      <c r="G43" s="65">
        <v>992.97</v>
      </c>
      <c r="H43" s="66">
        <f t="shared" si="5"/>
        <v>0.29789100000000002</v>
      </c>
      <c r="I43" s="13">
        <f>F43/7.5*G43</f>
        <v>39.718800000000002</v>
      </c>
      <c r="J43" s="24"/>
      <c r="L43" s="19"/>
      <c r="M43" s="20"/>
      <c r="N43" s="21"/>
    </row>
    <row r="44" spans="1:14" ht="15.75" hidden="1" customHeight="1">
      <c r="A44" s="148" t="s">
        <v>139</v>
      </c>
      <c r="B44" s="149"/>
      <c r="C44" s="149"/>
      <c r="D44" s="149"/>
      <c r="E44" s="149"/>
      <c r="F44" s="149"/>
      <c r="G44" s="149"/>
      <c r="H44" s="149"/>
      <c r="I44" s="150"/>
      <c r="J44" s="24"/>
      <c r="L44" s="19"/>
      <c r="M44" s="20"/>
      <c r="N44" s="21"/>
    </row>
    <row r="45" spans="1:14" ht="15.75" hidden="1" customHeight="1">
      <c r="A45" s="30">
        <v>11</v>
      </c>
      <c r="B45" s="62" t="s">
        <v>105</v>
      </c>
      <c r="C45" s="63" t="s">
        <v>87</v>
      </c>
      <c r="D45" s="62" t="s">
        <v>43</v>
      </c>
      <c r="E45" s="64">
        <v>907.4</v>
      </c>
      <c r="F45" s="65">
        <f>SUM(E45*2/1000)</f>
        <v>1.8148</v>
      </c>
      <c r="G45" s="13">
        <v>1283.46</v>
      </c>
      <c r="H45" s="66">
        <f t="shared" ref="H45:H54" si="7">SUM(F45*G45/1000)</f>
        <v>2.3292232079999997</v>
      </c>
      <c r="I45" s="13">
        <f>F45/2*G45</f>
        <v>1164.6116039999999</v>
      </c>
      <c r="J45" s="24"/>
      <c r="L45" s="19"/>
      <c r="M45" s="20"/>
      <c r="N45" s="21"/>
    </row>
    <row r="46" spans="1:14" ht="15.75" hidden="1" customHeight="1">
      <c r="A46" s="30">
        <v>12</v>
      </c>
      <c r="B46" s="62" t="s">
        <v>36</v>
      </c>
      <c r="C46" s="63" t="s">
        <v>87</v>
      </c>
      <c r="D46" s="62" t="s">
        <v>43</v>
      </c>
      <c r="E46" s="64">
        <v>27</v>
      </c>
      <c r="F46" s="65">
        <f>SUM(E46*2/1000)</f>
        <v>5.3999999999999999E-2</v>
      </c>
      <c r="G46" s="13">
        <v>4192.6400000000003</v>
      </c>
      <c r="H46" s="66">
        <f t="shared" si="7"/>
        <v>0.22640256000000003</v>
      </c>
      <c r="I46" s="13">
        <f t="shared" ref="I46:I53" si="8">F46/2*G46</f>
        <v>113.20128000000001</v>
      </c>
      <c r="J46" s="24"/>
      <c r="L46" s="19"/>
      <c r="M46" s="20"/>
      <c r="N46" s="21"/>
    </row>
    <row r="47" spans="1:14" ht="15.75" hidden="1" customHeight="1">
      <c r="A47" s="30">
        <v>13</v>
      </c>
      <c r="B47" s="62" t="s">
        <v>37</v>
      </c>
      <c r="C47" s="63" t="s">
        <v>87</v>
      </c>
      <c r="D47" s="62" t="s">
        <v>43</v>
      </c>
      <c r="E47" s="64">
        <v>772</v>
      </c>
      <c r="F47" s="65">
        <f>SUM(E47*2/1000)</f>
        <v>1.544</v>
      </c>
      <c r="G47" s="13">
        <v>1711.28</v>
      </c>
      <c r="H47" s="66">
        <f t="shared" si="7"/>
        <v>2.6422163200000002</v>
      </c>
      <c r="I47" s="13">
        <f t="shared" si="8"/>
        <v>1321.10816</v>
      </c>
      <c r="J47" s="24"/>
      <c r="L47" s="19"/>
      <c r="M47" s="20"/>
      <c r="N47" s="21"/>
    </row>
    <row r="48" spans="1:14" ht="15.75" hidden="1" customHeight="1">
      <c r="A48" s="30">
        <v>14</v>
      </c>
      <c r="B48" s="62" t="s">
        <v>38</v>
      </c>
      <c r="C48" s="63" t="s">
        <v>87</v>
      </c>
      <c r="D48" s="62" t="s">
        <v>43</v>
      </c>
      <c r="E48" s="64">
        <v>959.4</v>
      </c>
      <c r="F48" s="65">
        <f>SUM(E48*2/1000)</f>
        <v>1.9188000000000001</v>
      </c>
      <c r="G48" s="13">
        <v>1179.73</v>
      </c>
      <c r="H48" s="66">
        <f t="shared" si="7"/>
        <v>2.2636659240000001</v>
      </c>
      <c r="I48" s="13">
        <f t="shared" si="8"/>
        <v>1131.832962</v>
      </c>
      <c r="J48" s="24"/>
      <c r="L48" s="19"/>
      <c r="M48" s="20"/>
      <c r="N48" s="21"/>
    </row>
    <row r="49" spans="1:22" ht="15.75" hidden="1" customHeight="1">
      <c r="A49" s="30">
        <v>15</v>
      </c>
      <c r="B49" s="62" t="s">
        <v>34</v>
      </c>
      <c r="C49" s="63" t="s">
        <v>35</v>
      </c>
      <c r="D49" s="62" t="s">
        <v>43</v>
      </c>
      <c r="E49" s="64">
        <v>66.02</v>
      </c>
      <c r="F49" s="65">
        <f>SUM(E49*2/100)</f>
        <v>1.3204</v>
      </c>
      <c r="G49" s="13">
        <v>90.61</v>
      </c>
      <c r="H49" s="66">
        <f t="shared" si="7"/>
        <v>0.11964144400000001</v>
      </c>
      <c r="I49" s="13">
        <f t="shared" si="8"/>
        <v>59.820722000000004</v>
      </c>
      <c r="J49" s="24"/>
      <c r="L49" s="19"/>
      <c r="M49" s="20"/>
      <c r="N49" s="21"/>
    </row>
    <row r="50" spans="1:22" ht="15.75" hidden="1" customHeight="1">
      <c r="A50" s="30">
        <v>16</v>
      </c>
      <c r="B50" s="62" t="s">
        <v>57</v>
      </c>
      <c r="C50" s="63" t="s">
        <v>87</v>
      </c>
      <c r="D50" s="62" t="s">
        <v>138</v>
      </c>
      <c r="E50" s="64">
        <v>1536.4</v>
      </c>
      <c r="F50" s="65">
        <f>SUM(E50*5/1000)</f>
        <v>7.6820000000000004</v>
      </c>
      <c r="G50" s="13">
        <v>1711.28</v>
      </c>
      <c r="H50" s="66">
        <f t="shared" si="7"/>
        <v>13.14605296</v>
      </c>
      <c r="I50" s="13">
        <f>F50/5*G50</f>
        <v>2629.2105919999999</v>
      </c>
      <c r="J50" s="24"/>
      <c r="L50" s="19"/>
      <c r="M50" s="20"/>
      <c r="N50" s="21"/>
    </row>
    <row r="51" spans="1:22" ht="32.25" hidden="1" customHeight="1">
      <c r="A51" s="30">
        <v>12</v>
      </c>
      <c r="B51" s="62" t="s">
        <v>88</v>
      </c>
      <c r="C51" s="63" t="s">
        <v>87</v>
      </c>
      <c r="D51" s="62" t="s">
        <v>43</v>
      </c>
      <c r="E51" s="64">
        <v>1536.4</v>
      </c>
      <c r="F51" s="65">
        <f>SUM(E51*2/1000)</f>
        <v>3.0728</v>
      </c>
      <c r="G51" s="13">
        <v>1510.06</v>
      </c>
      <c r="H51" s="66">
        <f t="shared" si="7"/>
        <v>4.6401123680000005</v>
      </c>
      <c r="I51" s="13">
        <f t="shared" si="8"/>
        <v>2320.056184</v>
      </c>
      <c r="J51" s="24"/>
      <c r="L51" s="19"/>
      <c r="M51" s="20"/>
      <c r="N51" s="21"/>
    </row>
    <row r="52" spans="1:22" ht="32.25" hidden="1" customHeight="1">
      <c r="A52" s="30">
        <v>13</v>
      </c>
      <c r="B52" s="62" t="s">
        <v>89</v>
      </c>
      <c r="C52" s="63" t="s">
        <v>39</v>
      </c>
      <c r="D52" s="62" t="s">
        <v>43</v>
      </c>
      <c r="E52" s="64">
        <v>9</v>
      </c>
      <c r="F52" s="65">
        <f>SUM(E52*2/100)</f>
        <v>0.18</v>
      </c>
      <c r="G52" s="13">
        <v>3850.4</v>
      </c>
      <c r="H52" s="66">
        <f t="shared" si="7"/>
        <v>0.69307200000000002</v>
      </c>
      <c r="I52" s="13">
        <f t="shared" si="8"/>
        <v>346.536</v>
      </c>
      <c r="J52" s="24"/>
      <c r="L52" s="19"/>
      <c r="M52" s="20"/>
      <c r="N52" s="21"/>
    </row>
    <row r="53" spans="1:22" ht="15.75" hidden="1" customHeight="1">
      <c r="A53" s="30">
        <v>14</v>
      </c>
      <c r="B53" s="62" t="s">
        <v>40</v>
      </c>
      <c r="C53" s="63" t="s">
        <v>41</v>
      </c>
      <c r="D53" s="62" t="s">
        <v>43</v>
      </c>
      <c r="E53" s="64">
        <v>1</v>
      </c>
      <c r="F53" s="65">
        <v>0.02</v>
      </c>
      <c r="G53" s="13">
        <v>7033.13</v>
      </c>
      <c r="H53" s="66">
        <f t="shared" si="7"/>
        <v>0.1406626</v>
      </c>
      <c r="I53" s="13">
        <f t="shared" si="8"/>
        <v>70.331299999999999</v>
      </c>
      <c r="J53" s="24"/>
      <c r="L53" s="19"/>
      <c r="M53" s="20"/>
      <c r="N53" s="21"/>
    </row>
    <row r="54" spans="1:22" ht="15.75" hidden="1" customHeight="1">
      <c r="A54" s="30"/>
      <c r="B54" s="62" t="s">
        <v>42</v>
      </c>
      <c r="C54" s="63" t="s">
        <v>106</v>
      </c>
      <c r="D54" s="62" t="s">
        <v>54</v>
      </c>
      <c r="E54" s="64">
        <v>53</v>
      </c>
      <c r="F54" s="65">
        <v>53</v>
      </c>
      <c r="G54" s="13">
        <v>81.73</v>
      </c>
      <c r="H54" s="66">
        <f t="shared" si="7"/>
        <v>4.3316900000000009</v>
      </c>
      <c r="I54" s="13">
        <f>F54/3*G54</f>
        <v>1443.8966666666668</v>
      </c>
      <c r="J54" s="24"/>
      <c r="L54" s="19"/>
    </row>
    <row r="55" spans="1:22" ht="15.75" customHeight="1">
      <c r="A55" s="148" t="s">
        <v>145</v>
      </c>
      <c r="B55" s="149"/>
      <c r="C55" s="149"/>
      <c r="D55" s="149"/>
      <c r="E55" s="149"/>
      <c r="F55" s="149"/>
      <c r="G55" s="149"/>
      <c r="H55" s="149"/>
      <c r="I55" s="150"/>
    </row>
    <row r="56" spans="1:22" ht="15.75" hidden="1" customHeight="1">
      <c r="A56" s="30"/>
      <c r="B56" s="82" t="s">
        <v>44</v>
      </c>
      <c r="C56" s="63"/>
      <c r="D56" s="62"/>
      <c r="E56" s="64"/>
      <c r="F56" s="65"/>
      <c r="G56" s="65"/>
      <c r="H56" s="66"/>
      <c r="I56" s="13"/>
    </row>
    <row r="57" spans="1:22" ht="31.5" hidden="1" customHeight="1">
      <c r="A57" s="30">
        <v>15</v>
      </c>
      <c r="B57" s="62" t="s">
        <v>107</v>
      </c>
      <c r="C57" s="63" t="s">
        <v>84</v>
      </c>
      <c r="D57" s="62" t="s">
        <v>108</v>
      </c>
      <c r="E57" s="64">
        <v>11.5</v>
      </c>
      <c r="F57" s="65">
        <f>SUM(E57*6/100)</f>
        <v>0.69</v>
      </c>
      <c r="G57" s="13">
        <v>2306.62</v>
      </c>
      <c r="H57" s="66">
        <f>SUM(F57*G57/1000)</f>
        <v>1.5915677999999998</v>
      </c>
      <c r="I57" s="13">
        <f t="shared" ref="I57" si="9">F57/6*G57</f>
        <v>265.26129999999995</v>
      </c>
    </row>
    <row r="58" spans="1:22" ht="15.75" hidden="1" customHeight="1">
      <c r="A58" s="30">
        <v>16</v>
      </c>
      <c r="B58" s="62" t="s">
        <v>124</v>
      </c>
      <c r="C58" s="63" t="s">
        <v>125</v>
      </c>
      <c r="D58" s="62" t="s">
        <v>67</v>
      </c>
      <c r="E58" s="64"/>
      <c r="F58" s="65">
        <v>2</v>
      </c>
      <c r="G58" s="85">
        <v>1501</v>
      </c>
      <c r="H58" s="66">
        <f>SUM(F58*G58/1000)</f>
        <v>3.0019999999999998</v>
      </c>
      <c r="I58" s="13">
        <f>G58*(4+1)</f>
        <v>7505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0"/>
      <c r="B59" s="82" t="s">
        <v>45</v>
      </c>
      <c r="C59" s="63"/>
      <c r="D59" s="62"/>
      <c r="E59" s="64"/>
      <c r="F59" s="65"/>
      <c r="G59" s="86"/>
      <c r="H59" s="66"/>
      <c r="I59" s="13"/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/>
      <c r="B60" s="62" t="s">
        <v>109</v>
      </c>
      <c r="C60" s="63" t="s">
        <v>84</v>
      </c>
      <c r="D60" s="62" t="s">
        <v>54</v>
      </c>
      <c r="E60" s="64">
        <v>148</v>
      </c>
      <c r="F60" s="66">
        <f>E60/100</f>
        <v>1.48</v>
      </c>
      <c r="G60" s="13">
        <v>987.51</v>
      </c>
      <c r="H60" s="71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0">
        <v>11</v>
      </c>
      <c r="B61" s="73" t="s">
        <v>135</v>
      </c>
      <c r="C61" s="72" t="s">
        <v>25</v>
      </c>
      <c r="D61" s="73" t="s">
        <v>176</v>
      </c>
      <c r="E61" s="74">
        <v>140.5</v>
      </c>
      <c r="F61" s="65">
        <v>1320</v>
      </c>
      <c r="G61" s="87">
        <v>1.4</v>
      </c>
      <c r="H61" s="71">
        <f>F61*G61/1000</f>
        <v>1.8479999999999999</v>
      </c>
      <c r="I61" s="13">
        <f>F61/12*G61</f>
        <v>154</v>
      </c>
      <c r="J61" s="5"/>
      <c r="K61" s="5"/>
      <c r="L61" s="5"/>
      <c r="M61" s="5"/>
      <c r="N61" s="5"/>
      <c r="O61" s="5"/>
      <c r="P61" s="5"/>
      <c r="Q61" s="5"/>
      <c r="R61" s="141"/>
      <c r="S61" s="141"/>
      <c r="T61" s="141"/>
      <c r="U61" s="141"/>
    </row>
    <row r="62" spans="1:22" ht="15.75" customHeight="1">
      <c r="A62" s="30"/>
      <c r="B62" s="83" t="s">
        <v>46</v>
      </c>
      <c r="C62" s="72"/>
      <c r="D62" s="73"/>
      <c r="E62" s="74"/>
      <c r="F62" s="75"/>
      <c r="G62" s="75"/>
      <c r="H62" s="76" t="s">
        <v>118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30">
        <v>11</v>
      </c>
      <c r="B63" s="14" t="s">
        <v>47</v>
      </c>
      <c r="C63" s="16" t="s">
        <v>106</v>
      </c>
      <c r="D63" s="14" t="s">
        <v>67</v>
      </c>
      <c r="E63" s="18">
        <v>2</v>
      </c>
      <c r="F63" s="65">
        <f>E63</f>
        <v>2</v>
      </c>
      <c r="G63" s="13">
        <v>276.74</v>
      </c>
      <c r="H63" s="61">
        <f t="shared" ref="H63:H79" si="10">SUM(F63*G63/1000)</f>
        <v>0.55347999999999997</v>
      </c>
      <c r="I63" s="13">
        <f>G63</f>
        <v>276.74</v>
      </c>
    </row>
    <row r="64" spans="1:22" ht="15.75" hidden="1" customHeight="1">
      <c r="A64" s="30"/>
      <c r="B64" s="14" t="s">
        <v>48</v>
      </c>
      <c r="C64" s="16" t="s">
        <v>106</v>
      </c>
      <c r="D64" s="14" t="s">
        <v>67</v>
      </c>
      <c r="E64" s="18">
        <v>1</v>
      </c>
      <c r="F64" s="65">
        <f>E64</f>
        <v>1</v>
      </c>
      <c r="G64" s="13">
        <v>94.89</v>
      </c>
      <c r="H64" s="61">
        <f t="shared" si="10"/>
        <v>9.4890000000000002E-2</v>
      </c>
      <c r="I64" s="13">
        <v>0</v>
      </c>
    </row>
    <row r="65" spans="1:9" ht="15.75" hidden="1" customHeight="1">
      <c r="A65" s="30"/>
      <c r="B65" s="14" t="s">
        <v>49</v>
      </c>
      <c r="C65" s="16" t="s">
        <v>110</v>
      </c>
      <c r="D65" s="14" t="s">
        <v>54</v>
      </c>
      <c r="E65" s="64">
        <v>6307</v>
      </c>
      <c r="F65" s="13">
        <f>SUM(E65/100)</f>
        <v>63.07</v>
      </c>
      <c r="G65" s="13">
        <v>263.99</v>
      </c>
      <c r="H65" s="61">
        <f t="shared" si="10"/>
        <v>16.649849300000003</v>
      </c>
      <c r="I65" s="13">
        <v>0</v>
      </c>
    </row>
    <row r="66" spans="1:9" ht="15.75" hidden="1" customHeight="1">
      <c r="A66" s="30"/>
      <c r="B66" s="14" t="s">
        <v>50</v>
      </c>
      <c r="C66" s="16" t="s">
        <v>111</v>
      </c>
      <c r="D66" s="14"/>
      <c r="E66" s="64">
        <v>6307</v>
      </c>
      <c r="F66" s="13">
        <f>SUM(E66/1000)</f>
        <v>6.3070000000000004</v>
      </c>
      <c r="G66" s="13">
        <v>205.57</v>
      </c>
      <c r="H66" s="61">
        <f t="shared" si="10"/>
        <v>1.29652999</v>
      </c>
      <c r="I66" s="13">
        <v>0</v>
      </c>
    </row>
    <row r="67" spans="1:9" ht="15.75" hidden="1" customHeight="1">
      <c r="A67" s="30"/>
      <c r="B67" s="14" t="s">
        <v>51</v>
      </c>
      <c r="C67" s="16" t="s">
        <v>76</v>
      </c>
      <c r="D67" s="14" t="s">
        <v>54</v>
      </c>
      <c r="E67" s="64">
        <v>1003</v>
      </c>
      <c r="F67" s="13">
        <f>SUM(E67/100)</f>
        <v>10.029999999999999</v>
      </c>
      <c r="G67" s="13">
        <v>2581.5300000000002</v>
      </c>
      <c r="H67" s="61">
        <f t="shared" si="10"/>
        <v>25.892745900000001</v>
      </c>
      <c r="I67" s="13">
        <v>0</v>
      </c>
    </row>
    <row r="68" spans="1:9" ht="15.75" hidden="1" customHeight="1">
      <c r="A68" s="30"/>
      <c r="B68" s="77" t="s">
        <v>112</v>
      </c>
      <c r="C68" s="16" t="s">
        <v>33</v>
      </c>
      <c r="D68" s="14"/>
      <c r="E68" s="64">
        <v>6.6</v>
      </c>
      <c r="F68" s="13">
        <f>SUM(E68)</f>
        <v>6.6</v>
      </c>
      <c r="G68" s="13">
        <v>47.75</v>
      </c>
      <c r="H68" s="61">
        <f t="shared" si="10"/>
        <v>0.31514999999999999</v>
      </c>
      <c r="I68" s="13">
        <v>0</v>
      </c>
    </row>
    <row r="69" spans="1:9" ht="15.75" hidden="1" customHeight="1">
      <c r="A69" s="30"/>
      <c r="B69" s="77" t="s">
        <v>113</v>
      </c>
      <c r="C69" s="16" t="s">
        <v>33</v>
      </c>
      <c r="D69" s="14"/>
      <c r="E69" s="64">
        <v>6.6</v>
      </c>
      <c r="F69" s="13">
        <f>SUM(E69)</f>
        <v>6.6</v>
      </c>
      <c r="G69" s="13">
        <v>44.27</v>
      </c>
      <c r="H69" s="61">
        <f t="shared" si="10"/>
        <v>0.292182</v>
      </c>
      <c r="I69" s="13">
        <v>0</v>
      </c>
    </row>
    <row r="70" spans="1:9" ht="15.75" hidden="1" customHeight="1">
      <c r="A70" s="30">
        <v>19</v>
      </c>
      <c r="B70" s="14" t="s">
        <v>58</v>
      </c>
      <c r="C70" s="16" t="s">
        <v>59</v>
      </c>
      <c r="D70" s="14" t="s">
        <v>54</v>
      </c>
      <c r="E70" s="18">
        <v>3</v>
      </c>
      <c r="F70" s="65">
        <v>3</v>
      </c>
      <c r="G70" s="13">
        <v>62.07</v>
      </c>
      <c r="H70" s="61">
        <f t="shared" si="10"/>
        <v>0.18621000000000001</v>
      </c>
      <c r="I70" s="13">
        <f>F70*G70</f>
        <v>186.21</v>
      </c>
    </row>
    <row r="71" spans="1:9" ht="15.75" customHeight="1">
      <c r="A71" s="30">
        <v>12</v>
      </c>
      <c r="B71" s="14" t="s">
        <v>126</v>
      </c>
      <c r="C71" s="30" t="s">
        <v>127</v>
      </c>
      <c r="D71" s="14"/>
      <c r="E71" s="18">
        <v>1536.4</v>
      </c>
      <c r="F71" s="56">
        <f>E71*12</f>
        <v>18436.800000000003</v>
      </c>
      <c r="G71" s="13">
        <v>2.16</v>
      </c>
      <c r="H71" s="61">
        <f t="shared" si="10"/>
        <v>39.823488000000012</v>
      </c>
      <c r="I71" s="13">
        <f>F71/12*G71</f>
        <v>3318.6240000000007</v>
      </c>
    </row>
    <row r="72" spans="1:9" ht="15.75" customHeight="1">
      <c r="A72" s="30"/>
      <c r="B72" s="110" t="s">
        <v>71</v>
      </c>
      <c r="C72" s="16"/>
      <c r="D72" s="14"/>
      <c r="E72" s="18"/>
      <c r="F72" s="13"/>
      <c r="G72" s="13"/>
      <c r="H72" s="61" t="s">
        <v>118</v>
      </c>
      <c r="I72" s="13"/>
    </row>
    <row r="73" spans="1:9" ht="15.75" hidden="1" customHeight="1">
      <c r="A73" s="30"/>
      <c r="B73" s="14" t="s">
        <v>129</v>
      </c>
      <c r="C73" s="16" t="s">
        <v>130</v>
      </c>
      <c r="D73" s="14" t="s">
        <v>67</v>
      </c>
      <c r="E73" s="18">
        <v>1</v>
      </c>
      <c r="F73" s="13">
        <f>E73</f>
        <v>1</v>
      </c>
      <c r="G73" s="13">
        <v>976.4</v>
      </c>
      <c r="H73" s="61">
        <f t="shared" ref="H73:H74" si="11">SUM(F73*G73/1000)</f>
        <v>0.97639999999999993</v>
      </c>
      <c r="I73" s="13">
        <v>0</v>
      </c>
    </row>
    <row r="74" spans="1:9" ht="15.75" hidden="1" customHeight="1">
      <c r="A74" s="30"/>
      <c r="B74" s="14" t="s">
        <v>131</v>
      </c>
      <c r="C74" s="16" t="s">
        <v>132</v>
      </c>
      <c r="D74" s="14"/>
      <c r="E74" s="18">
        <v>1</v>
      </c>
      <c r="F74" s="13">
        <v>1</v>
      </c>
      <c r="G74" s="13">
        <v>650</v>
      </c>
      <c r="H74" s="61">
        <f t="shared" si="11"/>
        <v>0.65</v>
      </c>
      <c r="I74" s="13">
        <v>0</v>
      </c>
    </row>
    <row r="75" spans="1:9" ht="15.75" hidden="1" customHeight="1">
      <c r="A75" s="30">
        <v>13</v>
      </c>
      <c r="B75" s="14" t="s">
        <v>72</v>
      </c>
      <c r="C75" s="16" t="s">
        <v>74</v>
      </c>
      <c r="D75" s="14"/>
      <c r="E75" s="18">
        <v>3</v>
      </c>
      <c r="F75" s="13">
        <v>0.3</v>
      </c>
      <c r="G75" s="13">
        <v>624.16999999999996</v>
      </c>
      <c r="H75" s="61">
        <f t="shared" si="10"/>
        <v>0.18725099999999997</v>
      </c>
      <c r="I75" s="13">
        <f>G75*0.1</f>
        <v>62.417000000000002</v>
      </c>
    </row>
    <row r="76" spans="1:9" ht="15.75" hidden="1" customHeight="1">
      <c r="A76" s="30"/>
      <c r="B76" s="14" t="s">
        <v>73</v>
      </c>
      <c r="C76" s="16" t="s">
        <v>31</v>
      </c>
      <c r="D76" s="14"/>
      <c r="E76" s="18">
        <v>1</v>
      </c>
      <c r="F76" s="56">
        <v>1</v>
      </c>
      <c r="G76" s="13">
        <v>1061.4100000000001</v>
      </c>
      <c r="H76" s="61">
        <f>F76*G76/1000</f>
        <v>1.0614100000000002</v>
      </c>
      <c r="I76" s="13">
        <v>0</v>
      </c>
    </row>
    <row r="77" spans="1:9" ht="15.75" customHeight="1">
      <c r="A77" s="30">
        <v>13</v>
      </c>
      <c r="B77" s="46" t="s">
        <v>133</v>
      </c>
      <c r="C77" s="47" t="s">
        <v>106</v>
      </c>
      <c r="D77" s="14" t="s">
        <v>203</v>
      </c>
      <c r="E77" s="18">
        <v>1</v>
      </c>
      <c r="F77" s="13">
        <f>E77*12</f>
        <v>12</v>
      </c>
      <c r="G77" s="13">
        <v>50.69</v>
      </c>
      <c r="H77" s="61">
        <f>G77*F77/1000</f>
        <v>0.60827999999999993</v>
      </c>
      <c r="I77" s="13">
        <f>G77</f>
        <v>50.69</v>
      </c>
    </row>
    <row r="78" spans="1:9" ht="15.75" hidden="1" customHeight="1">
      <c r="A78" s="30"/>
      <c r="B78" s="79" t="s">
        <v>75</v>
      </c>
      <c r="C78" s="16"/>
      <c r="D78" s="14"/>
      <c r="E78" s="18"/>
      <c r="F78" s="13"/>
      <c r="G78" s="13" t="s">
        <v>118</v>
      </c>
      <c r="H78" s="61" t="s">
        <v>118</v>
      </c>
      <c r="I78" s="13" t="str">
        <f>G78</f>
        <v xml:space="preserve"> </v>
      </c>
    </row>
    <row r="79" spans="1:9" ht="15.75" hidden="1" customHeight="1">
      <c r="A79" s="30"/>
      <c r="B79" s="43" t="s">
        <v>134</v>
      </c>
      <c r="C79" s="16" t="s">
        <v>76</v>
      </c>
      <c r="D79" s="14"/>
      <c r="E79" s="18"/>
      <c r="F79" s="13">
        <v>0.1</v>
      </c>
      <c r="G79" s="13">
        <v>3433.69</v>
      </c>
      <c r="H79" s="61">
        <f t="shared" si="10"/>
        <v>0.34336900000000004</v>
      </c>
      <c r="I79" s="13">
        <v>0</v>
      </c>
    </row>
    <row r="80" spans="1:9" ht="15.75" hidden="1" customHeight="1">
      <c r="A80" s="30"/>
      <c r="B80" s="55" t="s">
        <v>90</v>
      </c>
      <c r="C80" s="79"/>
      <c r="D80" s="31"/>
      <c r="E80" s="32"/>
      <c r="F80" s="68"/>
      <c r="G80" s="68"/>
      <c r="H80" s="80">
        <f>SUM(H57:H79)</f>
        <v>96.834317790000014</v>
      </c>
      <c r="I80" s="13"/>
    </row>
    <row r="81" spans="1:9" ht="15.75" hidden="1" customHeight="1">
      <c r="A81" s="30">
        <v>19</v>
      </c>
      <c r="B81" s="62" t="s">
        <v>114</v>
      </c>
      <c r="C81" s="16"/>
      <c r="D81" s="14"/>
      <c r="E81" s="57"/>
      <c r="F81" s="13">
        <v>1</v>
      </c>
      <c r="G81" s="13">
        <v>6105.8</v>
      </c>
      <c r="H81" s="61">
        <f>G81*F81/1000</f>
        <v>6.1058000000000003</v>
      </c>
      <c r="I81" s="13">
        <f>G81</f>
        <v>6105.8</v>
      </c>
    </row>
    <row r="82" spans="1:9" ht="15.75" customHeight="1">
      <c r="A82" s="148" t="s">
        <v>146</v>
      </c>
      <c r="B82" s="149"/>
      <c r="C82" s="149"/>
      <c r="D82" s="149"/>
      <c r="E82" s="149"/>
      <c r="F82" s="149"/>
      <c r="G82" s="149"/>
      <c r="H82" s="149"/>
      <c r="I82" s="150"/>
    </row>
    <row r="83" spans="1:9" ht="15.75" customHeight="1">
      <c r="A83" s="30">
        <v>14</v>
      </c>
      <c r="B83" s="62" t="s">
        <v>115</v>
      </c>
      <c r="C83" s="16" t="s">
        <v>55</v>
      </c>
      <c r="D83" s="81"/>
      <c r="E83" s="13">
        <v>1536.4</v>
      </c>
      <c r="F83" s="13">
        <f>SUM(E83*12)</f>
        <v>18436.800000000003</v>
      </c>
      <c r="G83" s="13">
        <v>2.95</v>
      </c>
      <c r="H83" s="61">
        <f>SUM(F83*G83/1000)</f>
        <v>54.388560000000012</v>
      </c>
      <c r="I83" s="13">
        <f>F83/12*G83</f>
        <v>4532.380000000001</v>
      </c>
    </row>
    <row r="84" spans="1:9" ht="31.5" customHeight="1">
      <c r="A84" s="30">
        <v>15</v>
      </c>
      <c r="B84" s="14" t="s">
        <v>77</v>
      </c>
      <c r="C84" s="16"/>
      <c r="D84" s="81"/>
      <c r="E84" s="64">
        <f>E83</f>
        <v>1536.4</v>
      </c>
      <c r="F84" s="13">
        <f>E84*12</f>
        <v>18436.800000000003</v>
      </c>
      <c r="G84" s="13">
        <v>3.05</v>
      </c>
      <c r="H84" s="61">
        <f>F84*G84/1000</f>
        <v>56.232240000000004</v>
      </c>
      <c r="I84" s="13">
        <f>F84/12*G84</f>
        <v>4686.0200000000004</v>
      </c>
    </row>
    <row r="85" spans="1:9" ht="15.75" customHeight="1">
      <c r="A85" s="30"/>
      <c r="B85" s="36" t="s">
        <v>79</v>
      </c>
      <c r="C85" s="79"/>
      <c r="D85" s="78"/>
      <c r="E85" s="68"/>
      <c r="F85" s="68"/>
      <c r="G85" s="68"/>
      <c r="H85" s="80">
        <f>H84</f>
        <v>56.232240000000004</v>
      </c>
      <c r="I85" s="68">
        <f>I84+I83+I77+I71+I61+I43+I42+I41+I40+I39+I38+I27+I18+I17+I16</f>
        <v>23596.125736166672</v>
      </c>
    </row>
    <row r="86" spans="1:9" ht="15.75" customHeight="1">
      <c r="A86" s="134" t="s">
        <v>61</v>
      </c>
      <c r="B86" s="135"/>
      <c r="C86" s="135"/>
      <c r="D86" s="135"/>
      <c r="E86" s="135"/>
      <c r="F86" s="135"/>
      <c r="G86" s="135"/>
      <c r="H86" s="135"/>
      <c r="I86" s="136"/>
    </row>
    <row r="87" spans="1:9" ht="29.25" customHeight="1">
      <c r="A87" s="30">
        <v>16</v>
      </c>
      <c r="B87" s="111" t="s">
        <v>242</v>
      </c>
      <c r="C87" s="112" t="s">
        <v>243</v>
      </c>
      <c r="D87" s="43"/>
      <c r="E87" s="13"/>
      <c r="F87" s="13">
        <v>104</v>
      </c>
      <c r="G87" s="34">
        <v>26095.37</v>
      </c>
      <c r="H87" s="13">
        <f t="shared" ref="H87:H88" si="12">G87*F87/1000</f>
        <v>2713.9184799999998</v>
      </c>
      <c r="I87" s="13">
        <f>G87*0.01</f>
        <v>260.95369999999997</v>
      </c>
    </row>
    <row r="88" spans="1:9" ht="31.5" customHeight="1">
      <c r="A88" s="30">
        <v>17</v>
      </c>
      <c r="B88" s="111" t="s">
        <v>165</v>
      </c>
      <c r="C88" s="112" t="s">
        <v>29</v>
      </c>
      <c r="D88" s="101"/>
      <c r="E88" s="34"/>
      <c r="F88" s="113">
        <v>7.0000000000000001E-3</v>
      </c>
      <c r="G88" s="34">
        <v>19757.060000000001</v>
      </c>
      <c r="H88" s="102">
        <f t="shared" si="12"/>
        <v>0.13829942000000003</v>
      </c>
      <c r="I88" s="13">
        <f>G88*6*0.599/1000</f>
        <v>71.006873640000009</v>
      </c>
    </row>
    <row r="89" spans="1:9" ht="15.75" customHeight="1">
      <c r="A89" s="30"/>
      <c r="B89" s="41" t="s">
        <v>52</v>
      </c>
      <c r="C89" s="37"/>
      <c r="D89" s="44"/>
      <c r="E89" s="37">
        <v>1</v>
      </c>
      <c r="F89" s="37"/>
      <c r="G89" s="37"/>
      <c r="H89" s="37"/>
      <c r="I89" s="32">
        <f>SUM(I87:I88)</f>
        <v>331.96057364000001</v>
      </c>
    </row>
    <row r="90" spans="1:9" ht="15.75" customHeight="1">
      <c r="A90" s="30"/>
      <c r="B90" s="43" t="s">
        <v>78</v>
      </c>
      <c r="C90" s="15"/>
      <c r="D90" s="15"/>
      <c r="E90" s="38"/>
      <c r="F90" s="38"/>
      <c r="G90" s="39"/>
      <c r="H90" s="39"/>
      <c r="I90" s="17">
        <v>0</v>
      </c>
    </row>
    <row r="91" spans="1:9">
      <c r="A91" s="45"/>
      <c r="B91" s="42" t="s">
        <v>157</v>
      </c>
      <c r="C91" s="33"/>
      <c r="D91" s="33"/>
      <c r="E91" s="33"/>
      <c r="F91" s="33"/>
      <c r="G91" s="33"/>
      <c r="H91" s="33"/>
      <c r="I91" s="40">
        <f>I85+I89</f>
        <v>23928.086309806673</v>
      </c>
    </row>
    <row r="92" spans="1:9" ht="15.75">
      <c r="A92" s="143" t="s">
        <v>244</v>
      </c>
      <c r="B92" s="143"/>
      <c r="C92" s="143"/>
      <c r="D92" s="143"/>
      <c r="E92" s="143"/>
      <c r="F92" s="143"/>
      <c r="G92" s="143"/>
      <c r="H92" s="143"/>
      <c r="I92" s="143"/>
    </row>
    <row r="93" spans="1:9" ht="15.75" customHeight="1">
      <c r="A93" s="54"/>
      <c r="B93" s="144" t="s">
        <v>245</v>
      </c>
      <c r="C93" s="144"/>
      <c r="D93" s="144"/>
      <c r="E93" s="144"/>
      <c r="F93" s="144"/>
      <c r="G93" s="144"/>
      <c r="H93" s="60"/>
      <c r="I93" s="3"/>
    </row>
    <row r="94" spans="1:9">
      <c r="A94" s="107"/>
      <c r="B94" s="139" t="s">
        <v>6</v>
      </c>
      <c r="C94" s="139"/>
      <c r="D94" s="139"/>
      <c r="E94" s="139"/>
      <c r="F94" s="139"/>
      <c r="G94" s="139"/>
      <c r="H94" s="25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45" t="s">
        <v>7</v>
      </c>
      <c r="B96" s="145"/>
      <c r="C96" s="145"/>
      <c r="D96" s="145"/>
      <c r="E96" s="145"/>
      <c r="F96" s="145"/>
      <c r="G96" s="145"/>
      <c r="H96" s="145"/>
      <c r="I96" s="145"/>
    </row>
    <row r="97" spans="1:9" ht="15.75" customHeight="1">
      <c r="A97" s="145" t="s">
        <v>8</v>
      </c>
      <c r="B97" s="145"/>
      <c r="C97" s="145"/>
      <c r="D97" s="145"/>
      <c r="E97" s="145"/>
      <c r="F97" s="145"/>
      <c r="G97" s="145"/>
      <c r="H97" s="145"/>
      <c r="I97" s="145"/>
    </row>
    <row r="98" spans="1:9" ht="15.75">
      <c r="A98" s="146" t="s">
        <v>62</v>
      </c>
      <c r="B98" s="146"/>
      <c r="C98" s="146"/>
      <c r="D98" s="146"/>
      <c r="E98" s="146"/>
      <c r="F98" s="146"/>
      <c r="G98" s="146"/>
      <c r="H98" s="146"/>
      <c r="I98" s="146"/>
    </row>
    <row r="99" spans="1:9" ht="15.75">
      <c r="A99" s="11"/>
    </row>
    <row r="100" spans="1:9" ht="15.75">
      <c r="A100" s="137" t="s">
        <v>9</v>
      </c>
      <c r="B100" s="137"/>
      <c r="C100" s="137"/>
      <c r="D100" s="137"/>
      <c r="E100" s="137"/>
      <c r="F100" s="137"/>
      <c r="G100" s="137"/>
      <c r="H100" s="137"/>
      <c r="I100" s="137"/>
    </row>
    <row r="101" spans="1:9" ht="15.75">
      <c r="A101" s="4"/>
    </row>
    <row r="102" spans="1:9" ht="15.75">
      <c r="B102" s="108" t="s">
        <v>10</v>
      </c>
      <c r="C102" s="138" t="s">
        <v>137</v>
      </c>
      <c r="D102" s="138"/>
      <c r="E102" s="138"/>
      <c r="F102" s="58"/>
      <c r="I102" s="106"/>
    </row>
    <row r="103" spans="1:9">
      <c r="A103" s="107"/>
      <c r="C103" s="139" t="s">
        <v>11</v>
      </c>
      <c r="D103" s="139"/>
      <c r="E103" s="139"/>
      <c r="F103" s="25"/>
      <c r="I103" s="105" t="s">
        <v>12</v>
      </c>
    </row>
    <row r="104" spans="1:9" ht="15.75">
      <c r="A104" s="26"/>
      <c r="C104" s="12"/>
      <c r="D104" s="12"/>
      <c r="G104" s="12"/>
      <c r="H104" s="12"/>
    </row>
    <row r="105" spans="1:9" ht="15.75" customHeight="1">
      <c r="B105" s="108" t="s">
        <v>13</v>
      </c>
      <c r="C105" s="140"/>
      <c r="D105" s="140"/>
      <c r="E105" s="140"/>
      <c r="F105" s="59"/>
      <c r="I105" s="106"/>
    </row>
    <row r="106" spans="1:9" ht="15.75" customHeight="1">
      <c r="A106" s="107"/>
      <c r="C106" s="141" t="s">
        <v>11</v>
      </c>
      <c r="D106" s="141"/>
      <c r="E106" s="141"/>
      <c r="F106" s="107"/>
      <c r="I106" s="105" t="s">
        <v>12</v>
      </c>
    </row>
    <row r="107" spans="1:9" ht="15.75" customHeight="1">
      <c r="A107" s="4" t="s">
        <v>14</v>
      </c>
    </row>
    <row r="108" spans="1:9">
      <c r="A108" s="142" t="s">
        <v>15</v>
      </c>
      <c r="B108" s="142"/>
      <c r="C108" s="142"/>
      <c r="D108" s="142"/>
      <c r="E108" s="142"/>
      <c r="F108" s="142"/>
      <c r="G108" s="142"/>
      <c r="H108" s="142"/>
      <c r="I108" s="142"/>
    </row>
    <row r="109" spans="1:9" ht="45" customHeight="1">
      <c r="A109" s="133" t="s">
        <v>16</v>
      </c>
      <c r="B109" s="133"/>
      <c r="C109" s="133"/>
      <c r="D109" s="133"/>
      <c r="E109" s="133"/>
      <c r="F109" s="133"/>
      <c r="G109" s="133"/>
      <c r="H109" s="133"/>
      <c r="I109" s="133"/>
    </row>
    <row r="110" spans="1:9" ht="30" customHeight="1">
      <c r="A110" s="133" t="s">
        <v>17</v>
      </c>
      <c r="B110" s="133"/>
      <c r="C110" s="133"/>
      <c r="D110" s="133"/>
      <c r="E110" s="133"/>
      <c r="F110" s="133"/>
      <c r="G110" s="133"/>
      <c r="H110" s="133"/>
      <c r="I110" s="133"/>
    </row>
    <row r="111" spans="1:9" ht="30" customHeight="1">
      <c r="A111" s="133" t="s">
        <v>21</v>
      </c>
      <c r="B111" s="133"/>
      <c r="C111" s="133"/>
      <c r="D111" s="133"/>
      <c r="E111" s="133"/>
      <c r="F111" s="133"/>
      <c r="G111" s="133"/>
      <c r="H111" s="133"/>
      <c r="I111" s="133"/>
    </row>
    <row r="112" spans="1:9" ht="15" customHeight="1">
      <c r="A112" s="133" t="s">
        <v>20</v>
      </c>
      <c r="B112" s="133"/>
      <c r="C112" s="133"/>
      <c r="D112" s="133"/>
      <c r="E112" s="133"/>
      <c r="F112" s="133"/>
      <c r="G112" s="133"/>
      <c r="H112" s="133"/>
      <c r="I112" s="133"/>
    </row>
  </sheetData>
  <autoFilter ref="I12:I56"/>
  <mergeCells count="29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1:U61"/>
    <mergeCell ref="C106:E106"/>
    <mergeCell ref="A86:I86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2:I82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1"/>
  <sheetViews>
    <sheetView tabSelected="1" workbookViewId="0">
      <selection activeCell="J94" sqref="J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162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51" t="s">
        <v>161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136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246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109"/>
      <c r="C6" s="109"/>
      <c r="D6" s="109"/>
      <c r="E6" s="109"/>
      <c r="F6" s="109"/>
      <c r="G6" s="109"/>
      <c r="H6" s="109"/>
      <c r="I6" s="84">
        <v>43830</v>
      </c>
      <c r="J6" s="2"/>
      <c r="K6" s="2"/>
      <c r="L6" s="2"/>
      <c r="M6" s="2"/>
    </row>
    <row r="7" spans="1:13" ht="15.75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4" t="s">
        <v>164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5" t="s">
        <v>153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6" t="s">
        <v>60</v>
      </c>
      <c r="B14" s="156"/>
      <c r="C14" s="156"/>
      <c r="D14" s="156"/>
      <c r="E14" s="156"/>
      <c r="F14" s="156"/>
      <c r="G14" s="156"/>
      <c r="H14" s="156"/>
      <c r="I14" s="156"/>
      <c r="J14" s="8"/>
      <c r="K14" s="8"/>
      <c r="L14" s="8"/>
      <c r="M14" s="8"/>
    </row>
    <row r="15" spans="1:13" ht="1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0">
        <v>1</v>
      </c>
      <c r="B16" s="62" t="s">
        <v>83</v>
      </c>
      <c r="C16" s="63" t="s">
        <v>84</v>
      </c>
      <c r="D16" s="62" t="s">
        <v>195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18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116</v>
      </c>
      <c r="C17" s="63" t="s">
        <v>84</v>
      </c>
      <c r="D17" s="62" t="s">
        <v>196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117</v>
      </c>
      <c r="C18" s="63" t="s">
        <v>84</v>
      </c>
      <c r="D18" s="62" t="s">
        <v>197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/>
      <c r="B19" s="62" t="s">
        <v>91</v>
      </c>
      <c r="C19" s="63" t="s">
        <v>92</v>
      </c>
      <c r="D19" s="62" t="s">
        <v>93</v>
      </c>
      <c r="E19" s="64">
        <v>21.6</v>
      </c>
      <c r="F19" s="65">
        <f>SUM(E19/10)</f>
        <v>2.16</v>
      </c>
      <c r="G19" s="65">
        <v>211.74</v>
      </c>
      <c r="H19" s="66">
        <f t="shared" ref="H19:H26" si="1">SUM(F19*G19/1000)</f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4</v>
      </c>
      <c r="B20" s="62" t="s">
        <v>94</v>
      </c>
      <c r="C20" s="63" t="s">
        <v>84</v>
      </c>
      <c r="D20" s="62" t="s">
        <v>43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1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95</v>
      </c>
      <c r="C21" s="63" t="s">
        <v>84</v>
      </c>
      <c r="D21" s="62" t="s">
        <v>43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1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/>
      <c r="B22" s="62" t="s">
        <v>96</v>
      </c>
      <c r="C22" s="63" t="s">
        <v>53</v>
      </c>
      <c r="D22" s="62" t="s">
        <v>93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1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/>
      <c r="B23" s="62" t="s">
        <v>97</v>
      </c>
      <c r="C23" s="63" t="s">
        <v>53</v>
      </c>
      <c r="D23" s="62" t="s">
        <v>93</v>
      </c>
      <c r="E23" s="67">
        <v>17.64</v>
      </c>
      <c r="F23" s="65">
        <f>SUM(E23/100)</f>
        <v>0.1764</v>
      </c>
      <c r="G23" s="65">
        <v>55.1</v>
      </c>
      <c r="H23" s="66">
        <f t="shared" si="1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62" t="s">
        <v>98</v>
      </c>
      <c r="C24" s="63" t="s">
        <v>53</v>
      </c>
      <c r="D24" s="62" t="s">
        <v>99</v>
      </c>
      <c r="E24" s="64">
        <v>7.2</v>
      </c>
      <c r="F24" s="65">
        <f>E24/100</f>
        <v>7.2000000000000008E-2</v>
      </c>
      <c r="G24" s="65">
        <v>484.94</v>
      </c>
      <c r="H24" s="66">
        <f t="shared" si="1"/>
        <v>3.4915680000000004E-2</v>
      </c>
      <c r="I24" s="13">
        <f t="shared" si="2"/>
        <v>34.915680000000002</v>
      </c>
      <c r="J24" s="23"/>
      <c r="K24" s="8"/>
      <c r="L24" s="8"/>
      <c r="M24" s="8"/>
    </row>
    <row r="25" spans="1:13" ht="15.75" hidden="1" customHeight="1">
      <c r="A25" s="30"/>
      <c r="B25" s="62" t="s">
        <v>100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1"/>
        <v>2.5412939999999998E-2</v>
      </c>
      <c r="I25" s="13">
        <f t="shared" si="2"/>
        <v>25.412939999999999</v>
      </c>
      <c r="J25" s="23"/>
      <c r="K25" s="8"/>
      <c r="L25" s="8"/>
      <c r="M25" s="8"/>
    </row>
    <row r="26" spans="1:13" ht="15.75" hidden="1" customHeight="1">
      <c r="A26" s="30"/>
      <c r="B26" s="62" t="s">
        <v>101</v>
      </c>
      <c r="C26" s="63" t="s">
        <v>53</v>
      </c>
      <c r="D26" s="62" t="s">
        <v>93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1"/>
        <v>7.387740000000001E-2</v>
      </c>
      <c r="I26" s="13">
        <f t="shared" si="2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126" t="s">
        <v>194</v>
      </c>
      <c r="C27" s="127" t="s">
        <v>25</v>
      </c>
      <c r="D27" s="126" t="s">
        <v>198</v>
      </c>
      <c r="E27" s="128">
        <v>2.91</v>
      </c>
      <c r="F27" s="117">
        <f>E27*258</f>
        <v>750.78000000000009</v>
      </c>
      <c r="G27" s="117">
        <v>10.39</v>
      </c>
      <c r="H27" s="66">
        <f>SUM(F27*G27/1000)</f>
        <v>7.8006042000000013</v>
      </c>
      <c r="I27" s="13">
        <f>F27/12*G27</f>
        <v>650.05035000000009</v>
      </c>
      <c r="J27" s="23"/>
      <c r="K27" s="8"/>
    </row>
    <row r="28" spans="1:13" ht="15.75" hidden="1" customHeight="1">
      <c r="A28" s="30">
        <v>5</v>
      </c>
      <c r="B28" s="70" t="s">
        <v>23</v>
      </c>
      <c r="C28" s="63" t="s">
        <v>24</v>
      </c>
      <c r="D28" s="62"/>
      <c r="E28" s="64">
        <v>1536.4</v>
      </c>
      <c r="F28" s="65">
        <f>SUM(E28*12)</f>
        <v>18436.800000000003</v>
      </c>
      <c r="G28" s="65">
        <v>4.5599999999999996</v>
      </c>
      <c r="H28" s="66">
        <f>SUM(F28*G28/1000)</f>
        <v>84.071808000000004</v>
      </c>
      <c r="I28" s="13">
        <f>F28/12*G28</f>
        <v>7005.9840000000013</v>
      </c>
      <c r="J28" s="24"/>
    </row>
    <row r="29" spans="1:13" ht="15.75" customHeight="1">
      <c r="A29" s="148" t="s">
        <v>154</v>
      </c>
      <c r="B29" s="149"/>
      <c r="C29" s="149"/>
      <c r="D29" s="149"/>
      <c r="E29" s="149"/>
      <c r="F29" s="149"/>
      <c r="G29" s="149"/>
      <c r="H29" s="149"/>
      <c r="I29" s="150"/>
      <c r="J29" s="24"/>
    </row>
    <row r="30" spans="1:13" ht="15.75" hidden="1" customHeight="1">
      <c r="A30" s="30"/>
      <c r="B30" s="82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hidden="1" customHeight="1">
      <c r="A31" s="30">
        <v>6</v>
      </c>
      <c r="B31" s="62" t="s">
        <v>104</v>
      </c>
      <c r="C31" s="63" t="s">
        <v>87</v>
      </c>
      <c r="D31" s="62" t="s">
        <v>155</v>
      </c>
      <c r="E31" s="65">
        <v>61.5</v>
      </c>
      <c r="F31" s="65">
        <f>SUM(E31*52/1000)</f>
        <v>3.198</v>
      </c>
      <c r="G31" s="65">
        <v>193.97</v>
      </c>
      <c r="H31" s="66">
        <f t="shared" ref="H31:H36" si="3">SUM(F31*G31/1000)</f>
        <v>0.62031605999999995</v>
      </c>
      <c r="I31" s="13">
        <f t="shared" ref="I31:I32" si="4">F31/6*G31</f>
        <v>103.38601</v>
      </c>
      <c r="J31" s="23"/>
      <c r="K31" s="8"/>
      <c r="L31" s="8"/>
      <c r="M31" s="8"/>
    </row>
    <row r="32" spans="1:13" ht="31.5" hidden="1" customHeight="1">
      <c r="A32" s="30">
        <v>7</v>
      </c>
      <c r="B32" s="62" t="s">
        <v>103</v>
      </c>
      <c r="C32" s="63" t="s">
        <v>87</v>
      </c>
      <c r="D32" s="62" t="s">
        <v>156</v>
      </c>
      <c r="E32" s="65">
        <v>35.299999999999997</v>
      </c>
      <c r="F32" s="65">
        <f>SUM(E32*78/1000)</f>
        <v>2.7533999999999996</v>
      </c>
      <c r="G32" s="65">
        <v>321.82</v>
      </c>
      <c r="H32" s="66">
        <f t="shared" si="3"/>
        <v>0.88609918799999987</v>
      </c>
      <c r="I32" s="13">
        <f t="shared" si="4"/>
        <v>147.68319799999998</v>
      </c>
      <c r="J32" s="23"/>
      <c r="K32" s="8"/>
      <c r="L32" s="8"/>
      <c r="M32" s="8"/>
    </row>
    <row r="33" spans="1:14" ht="15.75" hidden="1" customHeight="1">
      <c r="A33" s="30"/>
      <c r="B33" s="62" t="s">
        <v>27</v>
      </c>
      <c r="C33" s="63" t="s">
        <v>87</v>
      </c>
      <c r="D33" s="62" t="s">
        <v>54</v>
      </c>
      <c r="E33" s="65">
        <v>61.5</v>
      </c>
      <c r="F33" s="65">
        <f>SUM(E33/1000)</f>
        <v>6.1499999999999999E-2</v>
      </c>
      <c r="G33" s="65">
        <v>3758.28</v>
      </c>
      <c r="H33" s="66">
        <f t="shared" si="3"/>
        <v>0.23113422</v>
      </c>
      <c r="I33" s="13">
        <f>F33*G33</f>
        <v>231.13422</v>
      </c>
      <c r="J33" s="23"/>
      <c r="K33" s="8"/>
      <c r="L33" s="8"/>
      <c r="M33" s="8"/>
    </row>
    <row r="34" spans="1:14" ht="15.75" hidden="1" customHeight="1">
      <c r="A34" s="30">
        <v>8</v>
      </c>
      <c r="B34" s="62" t="s">
        <v>102</v>
      </c>
      <c r="C34" s="63" t="s">
        <v>31</v>
      </c>
      <c r="D34" s="62" t="s">
        <v>64</v>
      </c>
      <c r="E34" s="69">
        <f>1/3</f>
        <v>0.33333333333333331</v>
      </c>
      <c r="F34" s="65">
        <f>155/3</f>
        <v>51.666666666666664</v>
      </c>
      <c r="G34" s="65">
        <v>70.540000000000006</v>
      </c>
      <c r="H34" s="66">
        <f t="shared" si="3"/>
        <v>3.6445666666666665</v>
      </c>
      <c r="I34" s="13">
        <f>F34/6*G34</f>
        <v>607.42777777777781</v>
      </c>
      <c r="J34" s="23"/>
      <c r="K34" s="8"/>
      <c r="L34" s="8"/>
      <c r="M34" s="8"/>
    </row>
    <row r="35" spans="1:14" ht="15.75" hidden="1" customHeight="1">
      <c r="A35" s="30"/>
      <c r="B35" s="62" t="s">
        <v>65</v>
      </c>
      <c r="C35" s="63" t="s">
        <v>33</v>
      </c>
      <c r="D35" s="62" t="s">
        <v>67</v>
      </c>
      <c r="E35" s="64"/>
      <c r="F35" s="65">
        <v>1</v>
      </c>
      <c r="G35" s="65">
        <v>238.07</v>
      </c>
      <c r="H35" s="66">
        <f t="shared" si="3"/>
        <v>0.23807</v>
      </c>
      <c r="I35" s="13">
        <v>0</v>
      </c>
      <c r="J35" s="24"/>
    </row>
    <row r="36" spans="1:14" ht="15.75" hidden="1" customHeight="1">
      <c r="A36" s="30"/>
      <c r="B36" s="62" t="s">
        <v>66</v>
      </c>
      <c r="C36" s="63" t="s">
        <v>32</v>
      </c>
      <c r="D36" s="62" t="s">
        <v>67</v>
      </c>
      <c r="E36" s="64"/>
      <c r="F36" s="65">
        <v>1</v>
      </c>
      <c r="G36" s="65">
        <v>1413.96</v>
      </c>
      <c r="H36" s="66">
        <f t="shared" si="3"/>
        <v>1.4139600000000001</v>
      </c>
      <c r="I36" s="13">
        <v>0</v>
      </c>
      <c r="J36" s="24"/>
    </row>
    <row r="37" spans="1:14" ht="15.75" customHeight="1">
      <c r="A37" s="30"/>
      <c r="B37" s="82" t="s">
        <v>5</v>
      </c>
      <c r="C37" s="63"/>
      <c r="D37" s="62"/>
      <c r="E37" s="64"/>
      <c r="F37" s="65"/>
      <c r="G37" s="65"/>
      <c r="H37" s="66" t="s">
        <v>118</v>
      </c>
      <c r="I37" s="13"/>
      <c r="J37" s="24"/>
      <c r="L37" s="19"/>
      <c r="M37" s="20"/>
      <c r="N37" s="21"/>
    </row>
    <row r="38" spans="1:14" ht="15.75" customHeight="1">
      <c r="A38" s="30">
        <v>5</v>
      </c>
      <c r="B38" s="62" t="s">
        <v>26</v>
      </c>
      <c r="C38" s="63" t="s">
        <v>32</v>
      </c>
      <c r="D38" s="62"/>
      <c r="E38" s="64"/>
      <c r="F38" s="65">
        <v>3</v>
      </c>
      <c r="G38" s="65">
        <v>1900.37</v>
      </c>
      <c r="H38" s="66">
        <f t="shared" ref="H38:H43" si="5">SUM(F38*G38/1000)</f>
        <v>5.7011099999999999</v>
      </c>
      <c r="I38" s="13">
        <f>G38*1.4</f>
        <v>2660.5179999999996</v>
      </c>
      <c r="J38" s="24"/>
      <c r="L38" s="19"/>
      <c r="M38" s="20"/>
      <c r="N38" s="21"/>
    </row>
    <row r="39" spans="1:14" ht="31.5" customHeight="1">
      <c r="A39" s="30">
        <v>6</v>
      </c>
      <c r="B39" s="62" t="s">
        <v>119</v>
      </c>
      <c r="C39" s="63" t="s">
        <v>29</v>
      </c>
      <c r="D39" s="62" t="s">
        <v>199</v>
      </c>
      <c r="E39" s="64">
        <v>35.299999999999997</v>
      </c>
      <c r="F39" s="65">
        <f>E39*30/1000</f>
        <v>1.0589999999999999</v>
      </c>
      <c r="G39" s="65">
        <v>2616.4899999999998</v>
      </c>
      <c r="H39" s="66">
        <f t="shared" si="5"/>
        <v>2.77086291</v>
      </c>
      <c r="I39" s="13">
        <f t="shared" ref="I39:I41" si="6">F39/6*G39</f>
        <v>461.81048499999991</v>
      </c>
      <c r="J39" s="24"/>
      <c r="L39" s="19"/>
      <c r="M39" s="20"/>
      <c r="N39" s="21"/>
    </row>
    <row r="40" spans="1:14" ht="15.75" customHeight="1">
      <c r="A40" s="30">
        <v>7</v>
      </c>
      <c r="B40" s="62" t="s">
        <v>120</v>
      </c>
      <c r="C40" s="63" t="s">
        <v>29</v>
      </c>
      <c r="D40" s="62" t="s">
        <v>200</v>
      </c>
      <c r="E40" s="64">
        <v>35.299999999999997</v>
      </c>
      <c r="F40" s="65">
        <f>SUM(E40*155/1000)</f>
        <v>5.4714999999999998</v>
      </c>
      <c r="G40" s="65">
        <v>436.45</v>
      </c>
      <c r="H40" s="66">
        <f t="shared" si="5"/>
        <v>2.3880361749999999</v>
      </c>
      <c r="I40" s="13">
        <f t="shared" si="6"/>
        <v>398.00602916666662</v>
      </c>
      <c r="J40" s="24"/>
      <c r="L40" s="19"/>
      <c r="M40" s="20"/>
      <c r="N40" s="21"/>
    </row>
    <row r="41" spans="1:14" ht="47.25" customHeight="1">
      <c r="A41" s="30">
        <v>8</v>
      </c>
      <c r="B41" s="62" t="s">
        <v>121</v>
      </c>
      <c r="C41" s="63" t="s">
        <v>87</v>
      </c>
      <c r="D41" s="62" t="s">
        <v>201</v>
      </c>
      <c r="E41" s="64">
        <v>35.299999999999997</v>
      </c>
      <c r="F41" s="65">
        <f>SUM(E41*24/1000)</f>
        <v>0.84719999999999995</v>
      </c>
      <c r="G41" s="65">
        <v>7221.21</v>
      </c>
      <c r="H41" s="66">
        <f t="shared" si="5"/>
        <v>6.1178091119999998</v>
      </c>
      <c r="I41" s="13">
        <f t="shared" si="6"/>
        <v>1019.6348519999999</v>
      </c>
      <c r="J41" s="24"/>
      <c r="L41" s="19"/>
      <c r="M41" s="20"/>
      <c r="N41" s="21"/>
    </row>
    <row r="42" spans="1:14" ht="15.75" customHeight="1">
      <c r="A42" s="30">
        <v>9</v>
      </c>
      <c r="B42" s="62" t="s">
        <v>123</v>
      </c>
      <c r="C42" s="63" t="s">
        <v>87</v>
      </c>
      <c r="D42" s="62" t="s">
        <v>202</v>
      </c>
      <c r="E42" s="64">
        <v>35.299999999999997</v>
      </c>
      <c r="F42" s="65">
        <f>SUM(E42*45/1000)</f>
        <v>1.5884999999999998</v>
      </c>
      <c r="G42" s="65">
        <v>533.45000000000005</v>
      </c>
      <c r="H42" s="66">
        <f t="shared" si="5"/>
        <v>0.84738532499999997</v>
      </c>
      <c r="I42" s="13">
        <f>F42/7.5*G42</f>
        <v>112.98470999999999</v>
      </c>
      <c r="J42" s="24"/>
      <c r="L42" s="19"/>
      <c r="M42" s="20"/>
      <c r="N42" s="21"/>
    </row>
    <row r="43" spans="1:14" ht="15.75" customHeight="1">
      <c r="A43" s="30">
        <v>10</v>
      </c>
      <c r="B43" s="62" t="s">
        <v>69</v>
      </c>
      <c r="C43" s="63" t="s">
        <v>33</v>
      </c>
      <c r="D43" s="62"/>
      <c r="E43" s="64"/>
      <c r="F43" s="65">
        <v>0.3</v>
      </c>
      <c r="G43" s="65">
        <v>992.97</v>
      </c>
      <c r="H43" s="66">
        <f t="shared" si="5"/>
        <v>0.29789100000000002</v>
      </c>
      <c r="I43" s="13">
        <f>F43/7.5*G43</f>
        <v>39.718800000000002</v>
      </c>
      <c r="J43" s="24"/>
      <c r="L43" s="19"/>
      <c r="M43" s="20"/>
      <c r="N43" s="21"/>
    </row>
    <row r="44" spans="1:14" ht="15.75" customHeight="1">
      <c r="A44" s="148" t="s">
        <v>139</v>
      </c>
      <c r="B44" s="149"/>
      <c r="C44" s="149"/>
      <c r="D44" s="149"/>
      <c r="E44" s="149"/>
      <c r="F44" s="149"/>
      <c r="G44" s="149"/>
      <c r="H44" s="149"/>
      <c r="I44" s="150"/>
      <c r="J44" s="24"/>
      <c r="L44" s="19"/>
      <c r="M44" s="20"/>
      <c r="N44" s="21"/>
    </row>
    <row r="45" spans="1:14" ht="15.75" hidden="1" customHeight="1">
      <c r="A45" s="30">
        <v>11</v>
      </c>
      <c r="B45" s="62" t="s">
        <v>105</v>
      </c>
      <c r="C45" s="63" t="s">
        <v>87</v>
      </c>
      <c r="D45" s="62" t="s">
        <v>43</v>
      </c>
      <c r="E45" s="64">
        <v>907.4</v>
      </c>
      <c r="F45" s="65">
        <f>SUM(E45*2/1000)</f>
        <v>1.8148</v>
      </c>
      <c r="G45" s="13">
        <v>1283.46</v>
      </c>
      <c r="H45" s="66">
        <f t="shared" ref="H45:H54" si="7">SUM(F45*G45/1000)</f>
        <v>2.3292232079999997</v>
      </c>
      <c r="I45" s="13">
        <f>F45/2*G45</f>
        <v>1164.6116039999999</v>
      </c>
      <c r="J45" s="24"/>
      <c r="L45" s="19"/>
      <c r="M45" s="20"/>
      <c r="N45" s="21"/>
    </row>
    <row r="46" spans="1:14" ht="15.75" hidden="1" customHeight="1">
      <c r="A46" s="30">
        <v>12</v>
      </c>
      <c r="B46" s="62" t="s">
        <v>36</v>
      </c>
      <c r="C46" s="63" t="s">
        <v>87</v>
      </c>
      <c r="D46" s="62" t="s">
        <v>43</v>
      </c>
      <c r="E46" s="64">
        <v>27</v>
      </c>
      <c r="F46" s="65">
        <f>SUM(E46*2/1000)</f>
        <v>5.3999999999999999E-2</v>
      </c>
      <c r="G46" s="13">
        <v>4192.6400000000003</v>
      </c>
      <c r="H46" s="66">
        <f t="shared" si="7"/>
        <v>0.22640256000000003</v>
      </c>
      <c r="I46" s="13">
        <f t="shared" ref="I46:I53" si="8">F46/2*G46</f>
        <v>113.20128000000001</v>
      </c>
      <c r="J46" s="24"/>
      <c r="L46" s="19"/>
      <c r="M46" s="20"/>
      <c r="N46" s="21"/>
    </row>
    <row r="47" spans="1:14" ht="15.75" hidden="1" customHeight="1">
      <c r="A47" s="30">
        <v>13</v>
      </c>
      <c r="B47" s="62" t="s">
        <v>37</v>
      </c>
      <c r="C47" s="63" t="s">
        <v>87</v>
      </c>
      <c r="D47" s="62" t="s">
        <v>43</v>
      </c>
      <c r="E47" s="64">
        <v>772</v>
      </c>
      <c r="F47" s="65">
        <f>SUM(E47*2/1000)</f>
        <v>1.544</v>
      </c>
      <c r="G47" s="13">
        <v>1711.28</v>
      </c>
      <c r="H47" s="66">
        <f t="shared" si="7"/>
        <v>2.6422163200000002</v>
      </c>
      <c r="I47" s="13">
        <f t="shared" si="8"/>
        <v>1321.10816</v>
      </c>
      <c r="J47" s="24"/>
      <c r="L47" s="19"/>
      <c r="M47" s="20"/>
      <c r="N47" s="21"/>
    </row>
    <row r="48" spans="1:14" ht="15.75" hidden="1" customHeight="1">
      <c r="A48" s="30">
        <v>14</v>
      </c>
      <c r="B48" s="62" t="s">
        <v>38</v>
      </c>
      <c r="C48" s="63" t="s">
        <v>87</v>
      </c>
      <c r="D48" s="62" t="s">
        <v>43</v>
      </c>
      <c r="E48" s="64">
        <v>959.4</v>
      </c>
      <c r="F48" s="65">
        <f>SUM(E48*2/1000)</f>
        <v>1.9188000000000001</v>
      </c>
      <c r="G48" s="13">
        <v>1179.73</v>
      </c>
      <c r="H48" s="66">
        <f t="shared" si="7"/>
        <v>2.2636659240000001</v>
      </c>
      <c r="I48" s="13">
        <f t="shared" si="8"/>
        <v>1131.832962</v>
      </c>
      <c r="J48" s="24"/>
      <c r="L48" s="19"/>
      <c r="M48" s="20"/>
      <c r="N48" s="21"/>
    </row>
    <row r="49" spans="1:22" ht="15.75" hidden="1" customHeight="1">
      <c r="A49" s="30">
        <v>15</v>
      </c>
      <c r="B49" s="62" t="s">
        <v>34</v>
      </c>
      <c r="C49" s="63" t="s">
        <v>35</v>
      </c>
      <c r="D49" s="62" t="s">
        <v>43</v>
      </c>
      <c r="E49" s="64">
        <v>66.02</v>
      </c>
      <c r="F49" s="65">
        <f>SUM(E49*2/100)</f>
        <v>1.3204</v>
      </c>
      <c r="G49" s="13">
        <v>90.61</v>
      </c>
      <c r="H49" s="66">
        <f t="shared" si="7"/>
        <v>0.11964144400000001</v>
      </c>
      <c r="I49" s="13">
        <f t="shared" si="8"/>
        <v>59.820722000000004</v>
      </c>
      <c r="J49" s="24"/>
      <c r="L49" s="19"/>
      <c r="M49" s="20"/>
      <c r="N49" s="21"/>
    </row>
    <row r="50" spans="1:22" ht="15.75" customHeight="1">
      <c r="A50" s="30">
        <v>11</v>
      </c>
      <c r="B50" s="62" t="s">
        <v>57</v>
      </c>
      <c r="C50" s="63" t="s">
        <v>87</v>
      </c>
      <c r="D50" s="62" t="s">
        <v>176</v>
      </c>
      <c r="E50" s="64">
        <v>1536.4</v>
      </c>
      <c r="F50" s="65">
        <f>SUM(E50*5/1000)</f>
        <v>7.6820000000000004</v>
      </c>
      <c r="G50" s="13">
        <v>1711.28</v>
      </c>
      <c r="H50" s="66">
        <f t="shared" si="7"/>
        <v>13.14605296</v>
      </c>
      <c r="I50" s="13">
        <f>F50/5*G50</f>
        <v>2629.2105919999999</v>
      </c>
      <c r="J50" s="24"/>
      <c r="L50" s="19"/>
      <c r="M50" s="20"/>
      <c r="N50" s="21"/>
    </row>
    <row r="51" spans="1:22" ht="32.25" hidden="1" customHeight="1">
      <c r="A51" s="30">
        <v>12</v>
      </c>
      <c r="B51" s="62" t="s">
        <v>88</v>
      </c>
      <c r="C51" s="63" t="s">
        <v>87</v>
      </c>
      <c r="D51" s="62" t="s">
        <v>43</v>
      </c>
      <c r="E51" s="64">
        <v>1536.4</v>
      </c>
      <c r="F51" s="65">
        <f>SUM(E51*2/1000)</f>
        <v>3.0728</v>
      </c>
      <c r="G51" s="13">
        <v>1510.06</v>
      </c>
      <c r="H51" s="66">
        <f t="shared" si="7"/>
        <v>4.6401123680000005</v>
      </c>
      <c r="I51" s="13">
        <f t="shared" si="8"/>
        <v>2320.056184</v>
      </c>
      <c r="J51" s="24"/>
      <c r="L51" s="19"/>
      <c r="M51" s="20"/>
      <c r="N51" s="21"/>
    </row>
    <row r="52" spans="1:22" ht="32.25" hidden="1" customHeight="1">
      <c r="A52" s="30">
        <v>13</v>
      </c>
      <c r="B52" s="62" t="s">
        <v>89</v>
      </c>
      <c r="C52" s="63" t="s">
        <v>39</v>
      </c>
      <c r="D52" s="62" t="s">
        <v>43</v>
      </c>
      <c r="E52" s="64">
        <v>9</v>
      </c>
      <c r="F52" s="65">
        <f>SUM(E52*2/100)</f>
        <v>0.18</v>
      </c>
      <c r="G52" s="13">
        <v>3850.4</v>
      </c>
      <c r="H52" s="66">
        <f t="shared" si="7"/>
        <v>0.69307200000000002</v>
      </c>
      <c r="I52" s="13">
        <f t="shared" si="8"/>
        <v>346.536</v>
      </c>
      <c r="J52" s="24"/>
      <c r="L52" s="19"/>
      <c r="M52" s="20"/>
      <c r="N52" s="21"/>
    </row>
    <row r="53" spans="1:22" ht="15.75" hidden="1" customHeight="1">
      <c r="A53" s="30">
        <v>14</v>
      </c>
      <c r="B53" s="62" t="s">
        <v>40</v>
      </c>
      <c r="C53" s="63" t="s">
        <v>41</v>
      </c>
      <c r="D53" s="62" t="s">
        <v>43</v>
      </c>
      <c r="E53" s="64">
        <v>1</v>
      </c>
      <c r="F53" s="65">
        <v>0.02</v>
      </c>
      <c r="G53" s="13">
        <v>7033.13</v>
      </c>
      <c r="H53" s="66">
        <f t="shared" si="7"/>
        <v>0.1406626</v>
      </c>
      <c r="I53" s="13">
        <f t="shared" si="8"/>
        <v>70.331299999999999</v>
      </c>
      <c r="J53" s="24"/>
      <c r="L53" s="19"/>
      <c r="M53" s="20"/>
      <c r="N53" s="21"/>
    </row>
    <row r="54" spans="1:22" ht="15.75" hidden="1" customHeight="1">
      <c r="A54" s="30"/>
      <c r="B54" s="62" t="s">
        <v>42</v>
      </c>
      <c r="C54" s="63" t="s">
        <v>106</v>
      </c>
      <c r="D54" s="62" t="s">
        <v>54</v>
      </c>
      <c r="E54" s="64">
        <v>53</v>
      </c>
      <c r="F54" s="65">
        <v>53</v>
      </c>
      <c r="G54" s="13">
        <v>81.73</v>
      </c>
      <c r="H54" s="66">
        <f t="shared" si="7"/>
        <v>4.3316900000000009</v>
      </c>
      <c r="I54" s="13">
        <f>F54/3*G54</f>
        <v>1443.8966666666668</v>
      </c>
      <c r="J54" s="24"/>
      <c r="L54" s="19"/>
    </row>
    <row r="55" spans="1:22" ht="15.75" customHeight="1">
      <c r="A55" s="148" t="s">
        <v>140</v>
      </c>
      <c r="B55" s="149"/>
      <c r="C55" s="149"/>
      <c r="D55" s="149"/>
      <c r="E55" s="149"/>
      <c r="F55" s="149"/>
      <c r="G55" s="149"/>
      <c r="H55" s="149"/>
      <c r="I55" s="150"/>
    </row>
    <row r="56" spans="1:22" ht="15.75" hidden="1" customHeight="1">
      <c r="A56" s="30"/>
      <c r="B56" s="82" t="s">
        <v>44</v>
      </c>
      <c r="C56" s="63"/>
      <c r="D56" s="62"/>
      <c r="E56" s="64"/>
      <c r="F56" s="65"/>
      <c r="G56" s="65"/>
      <c r="H56" s="66"/>
      <c r="I56" s="13"/>
    </row>
    <row r="57" spans="1:22" ht="31.5" hidden="1" customHeight="1">
      <c r="A57" s="30">
        <v>13</v>
      </c>
      <c r="B57" s="62" t="s">
        <v>107</v>
      </c>
      <c r="C57" s="63" t="s">
        <v>84</v>
      </c>
      <c r="D57" s="62" t="s">
        <v>108</v>
      </c>
      <c r="E57" s="64">
        <v>11.5</v>
      </c>
      <c r="F57" s="65">
        <f>SUM(E57*6/100)</f>
        <v>0.69</v>
      </c>
      <c r="G57" s="13">
        <v>2306.62</v>
      </c>
      <c r="H57" s="66">
        <f>SUM(F57*G57/1000)</f>
        <v>1.5915677999999998</v>
      </c>
      <c r="I57" s="13">
        <f t="shared" ref="I57" si="9">F57/6*G57</f>
        <v>265.26129999999995</v>
      </c>
    </row>
    <row r="58" spans="1:22" ht="15.75" hidden="1" customHeight="1">
      <c r="A58" s="30">
        <v>16</v>
      </c>
      <c r="B58" s="62" t="s">
        <v>124</v>
      </c>
      <c r="C58" s="63" t="s">
        <v>125</v>
      </c>
      <c r="D58" s="62" t="s">
        <v>67</v>
      </c>
      <c r="E58" s="64"/>
      <c r="F58" s="65">
        <v>2</v>
      </c>
      <c r="G58" s="85">
        <v>1501</v>
      </c>
      <c r="H58" s="66">
        <f>SUM(F58*G58/1000)</f>
        <v>3.0019999999999998</v>
      </c>
      <c r="I58" s="13">
        <f>G58*(4+1)</f>
        <v>7505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0"/>
      <c r="B59" s="82" t="s">
        <v>45</v>
      </c>
      <c r="C59" s="63"/>
      <c r="D59" s="62"/>
      <c r="E59" s="64"/>
      <c r="F59" s="65"/>
      <c r="G59" s="86"/>
      <c r="H59" s="66"/>
      <c r="I59" s="13"/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/>
      <c r="B60" s="62" t="s">
        <v>109</v>
      </c>
      <c r="C60" s="63" t="s">
        <v>84</v>
      </c>
      <c r="D60" s="62" t="s">
        <v>54</v>
      </c>
      <c r="E60" s="64">
        <v>148</v>
      </c>
      <c r="F60" s="66">
        <f>E60/100</f>
        <v>1.48</v>
      </c>
      <c r="G60" s="13">
        <v>987.51</v>
      </c>
      <c r="H60" s="71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0">
        <v>12</v>
      </c>
      <c r="B61" s="73" t="s">
        <v>135</v>
      </c>
      <c r="C61" s="72" t="s">
        <v>25</v>
      </c>
      <c r="D61" s="73" t="s">
        <v>176</v>
      </c>
      <c r="E61" s="74">
        <v>140.5</v>
      </c>
      <c r="F61" s="65">
        <v>1320</v>
      </c>
      <c r="G61" s="87">
        <v>1.4</v>
      </c>
      <c r="H61" s="71">
        <f>F61*G61/1000</f>
        <v>1.8479999999999999</v>
      </c>
      <c r="I61" s="13">
        <f>F61/12*G61</f>
        <v>154</v>
      </c>
      <c r="J61" s="5"/>
      <c r="K61" s="5"/>
      <c r="L61" s="5"/>
      <c r="M61" s="5"/>
      <c r="N61" s="5"/>
      <c r="O61" s="5"/>
      <c r="P61" s="5"/>
      <c r="Q61" s="5"/>
      <c r="R61" s="141"/>
      <c r="S61" s="141"/>
      <c r="T61" s="141"/>
      <c r="U61" s="141"/>
    </row>
    <row r="62" spans="1:22" ht="15.75" customHeight="1">
      <c r="A62" s="30"/>
      <c r="B62" s="83" t="s">
        <v>46</v>
      </c>
      <c r="C62" s="72"/>
      <c r="D62" s="73"/>
      <c r="E62" s="74"/>
      <c r="F62" s="75"/>
      <c r="G62" s="75"/>
      <c r="H62" s="76" t="s">
        <v>118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30">
        <v>11</v>
      </c>
      <c r="B63" s="14" t="s">
        <v>47</v>
      </c>
      <c r="C63" s="16" t="s">
        <v>106</v>
      </c>
      <c r="D63" s="14" t="s">
        <v>67</v>
      </c>
      <c r="E63" s="18">
        <v>2</v>
      </c>
      <c r="F63" s="65">
        <f>E63</f>
        <v>2</v>
      </c>
      <c r="G63" s="13">
        <v>276.74</v>
      </c>
      <c r="H63" s="61">
        <f t="shared" ref="H63:H79" si="10">SUM(F63*G63/1000)</f>
        <v>0.55347999999999997</v>
      </c>
      <c r="I63" s="13">
        <f>G63</f>
        <v>276.74</v>
      </c>
    </row>
    <row r="64" spans="1:22" ht="15.75" hidden="1" customHeight="1">
      <c r="A64" s="30"/>
      <c r="B64" s="14" t="s">
        <v>48</v>
      </c>
      <c r="C64" s="16" t="s">
        <v>106</v>
      </c>
      <c r="D64" s="14" t="s">
        <v>67</v>
      </c>
      <c r="E64" s="18">
        <v>1</v>
      </c>
      <c r="F64" s="65">
        <f>E64</f>
        <v>1</v>
      </c>
      <c r="G64" s="13">
        <v>94.89</v>
      </c>
      <c r="H64" s="61">
        <f t="shared" si="10"/>
        <v>9.4890000000000002E-2</v>
      </c>
      <c r="I64" s="13">
        <v>0</v>
      </c>
    </row>
    <row r="65" spans="1:9" ht="15.75" hidden="1" customHeight="1">
      <c r="A65" s="30"/>
      <c r="B65" s="14" t="s">
        <v>49</v>
      </c>
      <c r="C65" s="16" t="s">
        <v>110</v>
      </c>
      <c r="D65" s="14" t="s">
        <v>54</v>
      </c>
      <c r="E65" s="64">
        <v>6307</v>
      </c>
      <c r="F65" s="13">
        <f>SUM(E65/100)</f>
        <v>63.07</v>
      </c>
      <c r="G65" s="13">
        <v>263.99</v>
      </c>
      <c r="H65" s="61">
        <f t="shared" si="10"/>
        <v>16.649849300000003</v>
      </c>
      <c r="I65" s="13">
        <v>0</v>
      </c>
    </row>
    <row r="66" spans="1:9" ht="15.75" hidden="1" customHeight="1">
      <c r="A66" s="30"/>
      <c r="B66" s="14" t="s">
        <v>50</v>
      </c>
      <c r="C66" s="16" t="s">
        <v>111</v>
      </c>
      <c r="D66" s="14"/>
      <c r="E66" s="64">
        <v>6307</v>
      </c>
      <c r="F66" s="13">
        <f>SUM(E66/1000)</f>
        <v>6.3070000000000004</v>
      </c>
      <c r="G66" s="13">
        <v>205.57</v>
      </c>
      <c r="H66" s="61">
        <f t="shared" si="10"/>
        <v>1.29652999</v>
      </c>
      <c r="I66" s="13">
        <v>0</v>
      </c>
    </row>
    <row r="67" spans="1:9" ht="15.75" hidden="1" customHeight="1">
      <c r="A67" s="30"/>
      <c r="B67" s="14" t="s">
        <v>51</v>
      </c>
      <c r="C67" s="16" t="s">
        <v>76</v>
      </c>
      <c r="D67" s="14" t="s">
        <v>54</v>
      </c>
      <c r="E67" s="64">
        <v>1003</v>
      </c>
      <c r="F67" s="13">
        <f>SUM(E67/100)</f>
        <v>10.029999999999999</v>
      </c>
      <c r="G67" s="13">
        <v>2581.5300000000002</v>
      </c>
      <c r="H67" s="61">
        <f t="shared" si="10"/>
        <v>25.892745900000001</v>
      </c>
      <c r="I67" s="13">
        <v>0</v>
      </c>
    </row>
    <row r="68" spans="1:9" ht="15.75" hidden="1" customHeight="1">
      <c r="A68" s="30"/>
      <c r="B68" s="77" t="s">
        <v>112</v>
      </c>
      <c r="C68" s="16" t="s">
        <v>33</v>
      </c>
      <c r="D68" s="14"/>
      <c r="E68" s="64">
        <v>6.6</v>
      </c>
      <c r="F68" s="13">
        <f>SUM(E68)</f>
        <v>6.6</v>
      </c>
      <c r="G68" s="13">
        <v>47.75</v>
      </c>
      <c r="H68" s="61">
        <f t="shared" si="10"/>
        <v>0.31514999999999999</v>
      </c>
      <c r="I68" s="13">
        <v>0</v>
      </c>
    </row>
    <row r="69" spans="1:9" ht="15.75" hidden="1" customHeight="1">
      <c r="A69" s="30"/>
      <c r="B69" s="77" t="s">
        <v>113</v>
      </c>
      <c r="C69" s="16" t="s">
        <v>33</v>
      </c>
      <c r="D69" s="14"/>
      <c r="E69" s="64">
        <v>6.6</v>
      </c>
      <c r="F69" s="13">
        <f>SUM(E69)</f>
        <v>6.6</v>
      </c>
      <c r="G69" s="13">
        <v>44.27</v>
      </c>
      <c r="H69" s="61">
        <f t="shared" si="10"/>
        <v>0.292182</v>
      </c>
      <c r="I69" s="13">
        <v>0</v>
      </c>
    </row>
    <row r="70" spans="1:9" ht="15.75" hidden="1" customHeight="1">
      <c r="A70" s="30">
        <v>19</v>
      </c>
      <c r="B70" s="14" t="s">
        <v>58</v>
      </c>
      <c r="C70" s="16" t="s">
        <v>59</v>
      </c>
      <c r="D70" s="14" t="s">
        <v>54</v>
      </c>
      <c r="E70" s="18">
        <v>3</v>
      </c>
      <c r="F70" s="65">
        <v>3</v>
      </c>
      <c r="G70" s="13">
        <v>62.07</v>
      </c>
      <c r="H70" s="61">
        <f t="shared" si="10"/>
        <v>0.18621000000000001</v>
      </c>
      <c r="I70" s="13">
        <f>F70*G70</f>
        <v>186.21</v>
      </c>
    </row>
    <row r="71" spans="1:9" ht="15.75" customHeight="1">
      <c r="A71" s="30">
        <v>13</v>
      </c>
      <c r="B71" s="14" t="s">
        <v>126</v>
      </c>
      <c r="C71" s="30" t="s">
        <v>127</v>
      </c>
      <c r="D71" s="14" t="s">
        <v>176</v>
      </c>
      <c r="E71" s="18">
        <v>1536.4</v>
      </c>
      <c r="F71" s="56">
        <f>E71*12</f>
        <v>18436.800000000003</v>
      </c>
      <c r="G71" s="13">
        <v>2.16</v>
      </c>
      <c r="H71" s="61">
        <f t="shared" si="10"/>
        <v>39.823488000000012</v>
      </c>
      <c r="I71" s="13">
        <f>F71/12*G71</f>
        <v>3318.6240000000007</v>
      </c>
    </row>
    <row r="72" spans="1:9" ht="15.75" customHeight="1">
      <c r="A72" s="30"/>
      <c r="B72" s="110" t="s">
        <v>71</v>
      </c>
      <c r="C72" s="16"/>
      <c r="D72" s="14"/>
      <c r="E72" s="18"/>
      <c r="F72" s="13"/>
      <c r="G72" s="13"/>
      <c r="H72" s="61" t="s">
        <v>118</v>
      </c>
      <c r="I72" s="13"/>
    </row>
    <row r="73" spans="1:9" ht="15.75" hidden="1" customHeight="1">
      <c r="A73" s="30"/>
      <c r="B73" s="14" t="s">
        <v>129</v>
      </c>
      <c r="C73" s="16" t="s">
        <v>130</v>
      </c>
      <c r="D73" s="14" t="s">
        <v>67</v>
      </c>
      <c r="E73" s="18">
        <v>1</v>
      </c>
      <c r="F73" s="13">
        <f>E73</f>
        <v>1</v>
      </c>
      <c r="G73" s="13">
        <v>976.4</v>
      </c>
      <c r="H73" s="61">
        <f t="shared" ref="H73:H74" si="11">SUM(F73*G73/1000)</f>
        <v>0.97639999999999993</v>
      </c>
      <c r="I73" s="13">
        <v>0</v>
      </c>
    </row>
    <row r="74" spans="1:9" ht="15.75" hidden="1" customHeight="1">
      <c r="A74" s="30"/>
      <c r="B74" s="14" t="s">
        <v>131</v>
      </c>
      <c r="C74" s="16" t="s">
        <v>132</v>
      </c>
      <c r="D74" s="14"/>
      <c r="E74" s="18">
        <v>1</v>
      </c>
      <c r="F74" s="13">
        <v>1</v>
      </c>
      <c r="G74" s="13">
        <v>650</v>
      </c>
      <c r="H74" s="61">
        <f t="shared" si="11"/>
        <v>0.65</v>
      </c>
      <c r="I74" s="13">
        <v>0</v>
      </c>
    </row>
    <row r="75" spans="1:9" ht="15.75" hidden="1" customHeight="1">
      <c r="A75" s="30">
        <v>13</v>
      </c>
      <c r="B75" s="14" t="s">
        <v>72</v>
      </c>
      <c r="C75" s="16" t="s">
        <v>74</v>
      </c>
      <c r="D75" s="14"/>
      <c r="E75" s="18">
        <v>3</v>
      </c>
      <c r="F75" s="13">
        <v>0.3</v>
      </c>
      <c r="G75" s="13">
        <v>624.16999999999996</v>
      </c>
      <c r="H75" s="61">
        <f t="shared" si="10"/>
        <v>0.18725099999999997</v>
      </c>
      <c r="I75" s="13">
        <f>G75*0.1</f>
        <v>62.417000000000002</v>
      </c>
    </row>
    <row r="76" spans="1:9" ht="15.75" hidden="1" customHeight="1">
      <c r="A76" s="30"/>
      <c r="B76" s="14" t="s">
        <v>73</v>
      </c>
      <c r="C76" s="16" t="s">
        <v>31</v>
      </c>
      <c r="D76" s="14"/>
      <c r="E76" s="18">
        <v>1</v>
      </c>
      <c r="F76" s="56">
        <v>1</v>
      </c>
      <c r="G76" s="13">
        <v>1061.4100000000001</v>
      </c>
      <c r="H76" s="61">
        <f>F76*G76/1000</f>
        <v>1.0614100000000002</v>
      </c>
      <c r="I76" s="13">
        <v>0</v>
      </c>
    </row>
    <row r="77" spans="1:9" ht="32.25" customHeight="1">
      <c r="A77" s="30">
        <v>14</v>
      </c>
      <c r="B77" s="46" t="s">
        <v>133</v>
      </c>
      <c r="C77" s="47" t="s">
        <v>106</v>
      </c>
      <c r="D77" s="14" t="s">
        <v>203</v>
      </c>
      <c r="E77" s="18">
        <v>1</v>
      </c>
      <c r="F77" s="13">
        <f>E77*12</f>
        <v>12</v>
      </c>
      <c r="G77" s="13">
        <v>50.69</v>
      </c>
      <c r="H77" s="61">
        <f>G77*F77/1000</f>
        <v>0.60827999999999993</v>
      </c>
      <c r="I77" s="13">
        <f>G77</f>
        <v>50.69</v>
      </c>
    </row>
    <row r="78" spans="1:9" ht="15.75" hidden="1" customHeight="1">
      <c r="A78" s="30"/>
      <c r="B78" s="79" t="s">
        <v>75</v>
      </c>
      <c r="C78" s="16"/>
      <c r="D78" s="14"/>
      <c r="E78" s="18"/>
      <c r="F78" s="13"/>
      <c r="G78" s="13" t="s">
        <v>118</v>
      </c>
      <c r="H78" s="61" t="s">
        <v>118</v>
      </c>
      <c r="I78" s="13" t="str">
        <f>G78</f>
        <v xml:space="preserve"> </v>
      </c>
    </row>
    <row r="79" spans="1:9" ht="15.75" hidden="1" customHeight="1">
      <c r="A79" s="30"/>
      <c r="B79" s="43" t="s">
        <v>134</v>
      </c>
      <c r="C79" s="16" t="s">
        <v>76</v>
      </c>
      <c r="D79" s="14"/>
      <c r="E79" s="18"/>
      <c r="F79" s="13">
        <v>0.1</v>
      </c>
      <c r="G79" s="13">
        <v>3433.69</v>
      </c>
      <c r="H79" s="61">
        <f t="shared" si="10"/>
        <v>0.34336900000000004</v>
      </c>
      <c r="I79" s="13">
        <v>0</v>
      </c>
    </row>
    <row r="80" spans="1:9" ht="15.75" hidden="1" customHeight="1">
      <c r="A80" s="30"/>
      <c r="B80" s="55" t="s">
        <v>90</v>
      </c>
      <c r="C80" s="79"/>
      <c r="D80" s="31"/>
      <c r="E80" s="32"/>
      <c r="F80" s="68"/>
      <c r="G80" s="68"/>
      <c r="H80" s="80">
        <f>SUM(H57:H79)</f>
        <v>96.834317790000014</v>
      </c>
      <c r="I80" s="13"/>
    </row>
    <row r="81" spans="1:9" ht="15.75" hidden="1" customHeight="1">
      <c r="A81" s="30">
        <v>19</v>
      </c>
      <c r="B81" s="62" t="s">
        <v>114</v>
      </c>
      <c r="C81" s="16"/>
      <c r="D81" s="14"/>
      <c r="E81" s="57"/>
      <c r="F81" s="13">
        <v>1</v>
      </c>
      <c r="G81" s="13">
        <v>6105.8</v>
      </c>
      <c r="H81" s="61">
        <f>G81*F81/1000</f>
        <v>6.1058000000000003</v>
      </c>
      <c r="I81" s="13">
        <f>G81</f>
        <v>6105.8</v>
      </c>
    </row>
    <row r="82" spans="1:9" ht="15.75" customHeight="1">
      <c r="A82" s="148" t="s">
        <v>141</v>
      </c>
      <c r="B82" s="149"/>
      <c r="C82" s="149"/>
      <c r="D82" s="149"/>
      <c r="E82" s="149"/>
      <c r="F82" s="149"/>
      <c r="G82" s="149"/>
      <c r="H82" s="149"/>
      <c r="I82" s="150"/>
    </row>
    <row r="83" spans="1:9" ht="15.75" customHeight="1">
      <c r="A83" s="30">
        <v>15</v>
      </c>
      <c r="B83" s="62" t="s">
        <v>115</v>
      </c>
      <c r="C83" s="16" t="s">
        <v>55</v>
      </c>
      <c r="D83" s="81"/>
      <c r="E83" s="13">
        <v>1536.4</v>
      </c>
      <c r="F83" s="13">
        <f>SUM(E83*12)</f>
        <v>18436.800000000003</v>
      </c>
      <c r="G83" s="13">
        <v>2.95</v>
      </c>
      <c r="H83" s="61">
        <f>SUM(F83*G83/1000)</f>
        <v>54.388560000000012</v>
      </c>
      <c r="I83" s="13">
        <f>F83/12*G83</f>
        <v>4532.380000000001</v>
      </c>
    </row>
    <row r="84" spans="1:9" ht="31.5" customHeight="1">
      <c r="A84" s="30">
        <v>16</v>
      </c>
      <c r="B84" s="14" t="s">
        <v>77</v>
      </c>
      <c r="C84" s="16"/>
      <c r="D84" s="81"/>
      <c r="E84" s="64">
        <f>E83</f>
        <v>1536.4</v>
      </c>
      <c r="F84" s="13">
        <f>E84*12</f>
        <v>18436.800000000003</v>
      </c>
      <c r="G84" s="13">
        <v>3.05</v>
      </c>
      <c r="H84" s="61">
        <f>F84*G84/1000</f>
        <v>56.232240000000004</v>
      </c>
      <c r="I84" s="13">
        <f>F84/12*G84</f>
        <v>4686.0200000000004</v>
      </c>
    </row>
    <row r="85" spans="1:9" ht="15.75" customHeight="1">
      <c r="A85" s="30"/>
      <c r="B85" s="36" t="s">
        <v>79</v>
      </c>
      <c r="C85" s="79"/>
      <c r="D85" s="78"/>
      <c r="E85" s="68"/>
      <c r="F85" s="68"/>
      <c r="G85" s="68"/>
      <c r="H85" s="80">
        <f>H84</f>
        <v>56.232240000000004</v>
      </c>
      <c r="I85" s="68">
        <f>I84+I83+I77+I71+I61+I50+I43+I42+I41+I40+I39+I38+I27+I18+I17+I16</f>
        <v>26415.373328166672</v>
      </c>
    </row>
    <row r="86" spans="1:9" ht="15.75" customHeight="1">
      <c r="A86" s="134" t="s">
        <v>61</v>
      </c>
      <c r="B86" s="135"/>
      <c r="C86" s="135"/>
      <c r="D86" s="135"/>
      <c r="E86" s="135"/>
      <c r="F86" s="135"/>
      <c r="G86" s="135"/>
      <c r="H86" s="135"/>
      <c r="I86" s="136"/>
    </row>
    <row r="87" spans="1:9" ht="31.5" customHeight="1">
      <c r="A87" s="30">
        <v>17</v>
      </c>
      <c r="B87" s="111" t="s">
        <v>165</v>
      </c>
      <c r="C87" s="112" t="s">
        <v>29</v>
      </c>
      <c r="D87" s="101"/>
      <c r="E87" s="34"/>
      <c r="F87" s="113">
        <v>7.0000000000000001E-3</v>
      </c>
      <c r="G87" s="34">
        <v>19757.060000000001</v>
      </c>
      <c r="H87" s="102">
        <f t="shared" ref="H87" si="12">G87*F87/1000</f>
        <v>0.13829942000000003</v>
      </c>
      <c r="I87" s="13">
        <f>G87*6*0.599/1000</f>
        <v>71.006873640000009</v>
      </c>
    </row>
    <row r="88" spans="1:9" ht="15.75" customHeight="1">
      <c r="A88" s="30"/>
      <c r="B88" s="41" t="s">
        <v>52</v>
      </c>
      <c r="C88" s="37"/>
      <c r="D88" s="44"/>
      <c r="E88" s="37">
        <v>1</v>
      </c>
      <c r="F88" s="37"/>
      <c r="G88" s="37"/>
      <c r="H88" s="37"/>
      <c r="I88" s="32">
        <f>SUM(I87:I87)</f>
        <v>71.006873640000009</v>
      </c>
    </row>
    <row r="89" spans="1:9" ht="15.75" customHeight="1">
      <c r="A89" s="30"/>
      <c r="B89" s="43" t="s">
        <v>78</v>
      </c>
      <c r="C89" s="15"/>
      <c r="D89" s="15"/>
      <c r="E89" s="38"/>
      <c r="F89" s="38"/>
      <c r="G89" s="39"/>
      <c r="H89" s="39"/>
      <c r="I89" s="17">
        <v>0</v>
      </c>
    </row>
    <row r="90" spans="1:9">
      <c r="A90" s="45"/>
      <c r="B90" s="42" t="s">
        <v>157</v>
      </c>
      <c r="C90" s="33"/>
      <c r="D90" s="33"/>
      <c r="E90" s="33"/>
      <c r="F90" s="33"/>
      <c r="G90" s="33"/>
      <c r="H90" s="33"/>
      <c r="I90" s="40">
        <f>I85+I88</f>
        <v>26486.380201806671</v>
      </c>
    </row>
    <row r="91" spans="1:9" ht="15.75">
      <c r="A91" s="143" t="s">
        <v>247</v>
      </c>
      <c r="B91" s="143"/>
      <c r="C91" s="143"/>
      <c r="D91" s="143"/>
      <c r="E91" s="143"/>
      <c r="F91" s="143"/>
      <c r="G91" s="143"/>
      <c r="H91" s="143"/>
      <c r="I91" s="143"/>
    </row>
    <row r="92" spans="1:9" ht="15.75" customHeight="1">
      <c r="A92" s="54"/>
      <c r="B92" s="144" t="s">
        <v>248</v>
      </c>
      <c r="C92" s="144"/>
      <c r="D92" s="144"/>
      <c r="E92" s="144"/>
      <c r="F92" s="144"/>
      <c r="G92" s="144"/>
      <c r="H92" s="60"/>
      <c r="I92" s="3"/>
    </row>
    <row r="93" spans="1:9">
      <c r="A93" s="107"/>
      <c r="B93" s="139" t="s">
        <v>6</v>
      </c>
      <c r="C93" s="139"/>
      <c r="D93" s="139"/>
      <c r="E93" s="139"/>
      <c r="F93" s="139"/>
      <c r="G93" s="139"/>
      <c r="H93" s="25"/>
      <c r="I93" s="5"/>
    </row>
    <row r="94" spans="1:9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45" t="s">
        <v>7</v>
      </c>
      <c r="B95" s="145"/>
      <c r="C95" s="145"/>
      <c r="D95" s="145"/>
      <c r="E95" s="145"/>
      <c r="F95" s="145"/>
      <c r="G95" s="145"/>
      <c r="H95" s="145"/>
      <c r="I95" s="145"/>
    </row>
    <row r="96" spans="1:9" ht="15.75" customHeight="1">
      <c r="A96" s="145" t="s">
        <v>8</v>
      </c>
      <c r="B96" s="145"/>
      <c r="C96" s="145"/>
      <c r="D96" s="145"/>
      <c r="E96" s="145"/>
      <c r="F96" s="145"/>
      <c r="G96" s="145"/>
      <c r="H96" s="145"/>
      <c r="I96" s="145"/>
    </row>
    <row r="97" spans="1:9" ht="15.75">
      <c r="A97" s="146" t="s">
        <v>62</v>
      </c>
      <c r="B97" s="146"/>
      <c r="C97" s="146"/>
      <c r="D97" s="146"/>
      <c r="E97" s="146"/>
      <c r="F97" s="146"/>
      <c r="G97" s="146"/>
      <c r="H97" s="146"/>
      <c r="I97" s="146"/>
    </row>
    <row r="98" spans="1:9" ht="15.75">
      <c r="A98" s="11"/>
    </row>
    <row r="99" spans="1:9" ht="15.75">
      <c r="A99" s="137" t="s">
        <v>9</v>
      </c>
      <c r="B99" s="137"/>
      <c r="C99" s="137"/>
      <c r="D99" s="137"/>
      <c r="E99" s="137"/>
      <c r="F99" s="137"/>
      <c r="G99" s="137"/>
      <c r="H99" s="137"/>
      <c r="I99" s="137"/>
    </row>
    <row r="100" spans="1:9" ht="15.75">
      <c r="A100" s="4"/>
    </row>
    <row r="101" spans="1:9" ht="15.75">
      <c r="B101" s="108" t="s">
        <v>10</v>
      </c>
      <c r="C101" s="138" t="s">
        <v>137</v>
      </c>
      <c r="D101" s="138"/>
      <c r="E101" s="138"/>
      <c r="F101" s="58"/>
      <c r="I101" s="106"/>
    </row>
    <row r="102" spans="1:9">
      <c r="A102" s="107"/>
      <c r="C102" s="139" t="s">
        <v>11</v>
      </c>
      <c r="D102" s="139"/>
      <c r="E102" s="139"/>
      <c r="F102" s="25"/>
      <c r="I102" s="105" t="s">
        <v>12</v>
      </c>
    </row>
    <row r="103" spans="1:9" ht="15.75">
      <c r="A103" s="26"/>
      <c r="C103" s="12"/>
      <c r="D103" s="12"/>
      <c r="G103" s="12"/>
      <c r="H103" s="12"/>
    </row>
    <row r="104" spans="1:9" ht="15.75" customHeight="1">
      <c r="B104" s="108" t="s">
        <v>13</v>
      </c>
      <c r="C104" s="140"/>
      <c r="D104" s="140"/>
      <c r="E104" s="140"/>
      <c r="F104" s="59"/>
      <c r="I104" s="106"/>
    </row>
    <row r="105" spans="1:9" ht="15.75" customHeight="1">
      <c r="A105" s="107"/>
      <c r="C105" s="141" t="s">
        <v>11</v>
      </c>
      <c r="D105" s="141"/>
      <c r="E105" s="141"/>
      <c r="F105" s="107"/>
      <c r="I105" s="105" t="s">
        <v>12</v>
      </c>
    </row>
    <row r="106" spans="1:9" ht="15.75" customHeight="1">
      <c r="A106" s="4" t="s">
        <v>14</v>
      </c>
    </row>
    <row r="107" spans="1:9">
      <c r="A107" s="142" t="s">
        <v>15</v>
      </c>
      <c r="B107" s="142"/>
      <c r="C107" s="142"/>
      <c r="D107" s="142"/>
      <c r="E107" s="142"/>
      <c r="F107" s="142"/>
      <c r="G107" s="142"/>
      <c r="H107" s="142"/>
      <c r="I107" s="142"/>
    </row>
    <row r="108" spans="1:9" ht="45" customHeight="1">
      <c r="A108" s="133" t="s">
        <v>16</v>
      </c>
      <c r="B108" s="133"/>
      <c r="C108" s="133"/>
      <c r="D108" s="133"/>
      <c r="E108" s="133"/>
      <c r="F108" s="133"/>
      <c r="G108" s="133"/>
      <c r="H108" s="133"/>
      <c r="I108" s="133"/>
    </row>
    <row r="109" spans="1:9" ht="30" customHeight="1">
      <c r="A109" s="133" t="s">
        <v>17</v>
      </c>
      <c r="B109" s="133"/>
      <c r="C109" s="133"/>
      <c r="D109" s="133"/>
      <c r="E109" s="133"/>
      <c r="F109" s="133"/>
      <c r="G109" s="133"/>
      <c r="H109" s="133"/>
      <c r="I109" s="133"/>
    </row>
    <row r="110" spans="1:9" ht="30" customHeight="1">
      <c r="A110" s="133" t="s">
        <v>21</v>
      </c>
      <c r="B110" s="133"/>
      <c r="C110" s="133"/>
      <c r="D110" s="133"/>
      <c r="E110" s="133"/>
      <c r="F110" s="133"/>
      <c r="G110" s="133"/>
      <c r="H110" s="133"/>
      <c r="I110" s="133"/>
    </row>
    <row r="111" spans="1:9" ht="15" customHeight="1">
      <c r="A111" s="133" t="s">
        <v>20</v>
      </c>
      <c r="B111" s="133"/>
      <c r="C111" s="133"/>
      <c r="D111" s="133"/>
      <c r="E111" s="133"/>
      <c r="F111" s="133"/>
      <c r="G111" s="133"/>
      <c r="H111" s="133"/>
      <c r="I111" s="133"/>
    </row>
  </sheetData>
  <autoFilter ref="I12:I56"/>
  <mergeCells count="29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1:U61"/>
    <mergeCell ref="C105:E105"/>
    <mergeCell ref="A86:I86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82:I82"/>
    <mergeCell ref="A107:I107"/>
    <mergeCell ref="A108:I108"/>
    <mergeCell ref="A109:I109"/>
    <mergeCell ref="A110:I110"/>
    <mergeCell ref="A111:I11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3"/>
  <sheetViews>
    <sheetView topLeftCell="A81" workbookViewId="0">
      <selection activeCell="D38" sqref="D38:D4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162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51" t="s">
        <v>143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136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168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84">
        <v>43524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4" t="s">
        <v>163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5" t="s">
        <v>153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6" t="s">
        <v>60</v>
      </c>
      <c r="B14" s="156"/>
      <c r="C14" s="156"/>
      <c r="D14" s="156"/>
      <c r="E14" s="156"/>
      <c r="F14" s="156"/>
      <c r="G14" s="156"/>
      <c r="H14" s="156"/>
      <c r="I14" s="156"/>
      <c r="J14" s="8"/>
      <c r="K14" s="8"/>
      <c r="L14" s="8"/>
      <c r="M14" s="8"/>
    </row>
    <row r="15" spans="1:13" ht="1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0">
        <v>1</v>
      </c>
      <c r="B16" s="62" t="s">
        <v>83</v>
      </c>
      <c r="C16" s="63" t="s">
        <v>84</v>
      </c>
      <c r="D16" s="62" t="s">
        <v>195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26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116</v>
      </c>
      <c r="C17" s="63" t="s">
        <v>84</v>
      </c>
      <c r="D17" s="62" t="s">
        <v>196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117</v>
      </c>
      <c r="C18" s="63" t="s">
        <v>84</v>
      </c>
      <c r="D18" s="62" t="s">
        <v>197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/>
      <c r="B19" s="62" t="s">
        <v>91</v>
      </c>
      <c r="C19" s="63" t="s">
        <v>92</v>
      </c>
      <c r="D19" s="62" t="s">
        <v>93</v>
      </c>
      <c r="E19" s="64">
        <v>21.6</v>
      </c>
      <c r="F19" s="65">
        <f>SUM(E19/10)</f>
        <v>2.16</v>
      </c>
      <c r="G19" s="65">
        <v>211.74</v>
      </c>
      <c r="H19" s="66">
        <f t="shared" si="0"/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4</v>
      </c>
      <c r="B20" s="62" t="s">
        <v>94</v>
      </c>
      <c r="C20" s="63" t="s">
        <v>84</v>
      </c>
      <c r="D20" s="62" t="s">
        <v>43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0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95</v>
      </c>
      <c r="C21" s="63" t="s">
        <v>84</v>
      </c>
      <c r="D21" s="62" t="s">
        <v>43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0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/>
      <c r="B22" s="62" t="s">
        <v>96</v>
      </c>
      <c r="C22" s="63" t="s">
        <v>53</v>
      </c>
      <c r="D22" s="62" t="s">
        <v>93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0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/>
      <c r="B23" s="62" t="s">
        <v>97</v>
      </c>
      <c r="C23" s="63" t="s">
        <v>53</v>
      </c>
      <c r="D23" s="62" t="s">
        <v>93</v>
      </c>
      <c r="E23" s="67">
        <v>17.64</v>
      </c>
      <c r="F23" s="65">
        <f>SUM(E23/100)</f>
        <v>0.1764</v>
      </c>
      <c r="G23" s="65">
        <v>55.1</v>
      </c>
      <c r="H23" s="66">
        <f t="shared" si="0"/>
        <v>9.7196399999999999E-3</v>
      </c>
      <c r="I23" s="13">
        <f t="shared" ref="I23:I26" si="1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62" t="s">
        <v>98</v>
      </c>
      <c r="C24" s="63" t="s">
        <v>53</v>
      </c>
      <c r="D24" s="62" t="s">
        <v>99</v>
      </c>
      <c r="E24" s="64">
        <v>7.2</v>
      </c>
      <c r="F24" s="65">
        <f>E24/100</f>
        <v>7.2000000000000008E-2</v>
      </c>
      <c r="G24" s="65">
        <v>484.94</v>
      </c>
      <c r="H24" s="66">
        <f t="shared" si="0"/>
        <v>3.4915680000000004E-2</v>
      </c>
      <c r="I24" s="13">
        <f t="shared" si="1"/>
        <v>34.915680000000002</v>
      </c>
      <c r="J24" s="23"/>
      <c r="K24" s="8"/>
      <c r="L24" s="8"/>
      <c r="M24" s="8"/>
    </row>
    <row r="25" spans="1:13" ht="15.75" hidden="1" customHeight="1">
      <c r="A25" s="30"/>
      <c r="B25" s="62" t="s">
        <v>100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0"/>
        <v>2.5412939999999998E-2</v>
      </c>
      <c r="I25" s="13">
        <f t="shared" si="1"/>
        <v>25.412939999999999</v>
      </c>
      <c r="J25" s="23"/>
      <c r="K25" s="8"/>
      <c r="L25" s="8"/>
      <c r="M25" s="8"/>
    </row>
    <row r="26" spans="1:13" ht="15.75" hidden="1" customHeight="1">
      <c r="A26" s="30"/>
      <c r="B26" s="62" t="s">
        <v>101</v>
      </c>
      <c r="C26" s="63" t="s">
        <v>53</v>
      </c>
      <c r="D26" s="62" t="s">
        <v>93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0"/>
        <v>7.387740000000001E-2</v>
      </c>
      <c r="I26" s="13">
        <f t="shared" si="1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126" t="s">
        <v>194</v>
      </c>
      <c r="C27" s="127" t="s">
        <v>25</v>
      </c>
      <c r="D27" s="126" t="s">
        <v>198</v>
      </c>
      <c r="E27" s="128">
        <v>2.91</v>
      </c>
      <c r="F27" s="117">
        <f>E27*258</f>
        <v>750.78000000000009</v>
      </c>
      <c r="G27" s="117">
        <v>10.39</v>
      </c>
      <c r="H27" s="66">
        <f>SUM(F27*G27/1000)</f>
        <v>7.8006042000000013</v>
      </c>
      <c r="I27" s="13">
        <f>F27/12*G27</f>
        <v>650.05035000000009</v>
      </c>
      <c r="J27" s="23"/>
      <c r="K27" s="8"/>
    </row>
    <row r="28" spans="1:13" ht="15.75" customHeight="1">
      <c r="A28" s="148" t="s">
        <v>154</v>
      </c>
      <c r="B28" s="149"/>
      <c r="C28" s="149"/>
      <c r="D28" s="149"/>
      <c r="E28" s="149"/>
      <c r="F28" s="149"/>
      <c r="G28" s="149"/>
      <c r="H28" s="149"/>
      <c r="I28" s="150"/>
      <c r="J28" s="24"/>
    </row>
    <row r="29" spans="1:13" ht="15.75" hidden="1" customHeight="1">
      <c r="A29" s="30"/>
      <c r="B29" s="82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hidden="1" customHeight="1">
      <c r="A30" s="30">
        <v>8</v>
      </c>
      <c r="B30" s="62" t="s">
        <v>104</v>
      </c>
      <c r="C30" s="63" t="s">
        <v>87</v>
      </c>
      <c r="D30" s="62" t="s">
        <v>155</v>
      </c>
      <c r="E30" s="65">
        <v>61.5</v>
      </c>
      <c r="F30" s="65">
        <f>SUM(E30*52/1000)</f>
        <v>3.198</v>
      </c>
      <c r="G30" s="65">
        <v>193.97</v>
      </c>
      <c r="H30" s="66">
        <f t="shared" ref="H30:H35" si="2">SUM(F30*G30/1000)</f>
        <v>0.62031605999999995</v>
      </c>
      <c r="I30" s="13">
        <f t="shared" ref="I30:I31" si="3">F30/6*G30</f>
        <v>103.38601</v>
      </c>
      <c r="J30" s="23"/>
      <c r="K30" s="8"/>
      <c r="L30" s="8"/>
      <c r="M30" s="8"/>
    </row>
    <row r="31" spans="1:13" ht="31.5" hidden="1" customHeight="1">
      <c r="A31" s="30">
        <v>9</v>
      </c>
      <c r="B31" s="62" t="s">
        <v>103</v>
      </c>
      <c r="C31" s="63" t="s">
        <v>87</v>
      </c>
      <c r="D31" s="62" t="s">
        <v>156</v>
      </c>
      <c r="E31" s="65">
        <v>35.299999999999997</v>
      </c>
      <c r="F31" s="65">
        <f>SUM(E31*78/1000)</f>
        <v>2.7533999999999996</v>
      </c>
      <c r="G31" s="65">
        <v>321.82</v>
      </c>
      <c r="H31" s="66">
        <f t="shared" si="2"/>
        <v>0.88609918799999987</v>
      </c>
      <c r="I31" s="13">
        <f t="shared" si="3"/>
        <v>147.68319799999998</v>
      </c>
      <c r="J31" s="23"/>
      <c r="K31" s="8"/>
      <c r="L31" s="8"/>
      <c r="M31" s="8"/>
    </row>
    <row r="32" spans="1:13" ht="15.75" hidden="1" customHeight="1">
      <c r="A32" s="30"/>
      <c r="B32" s="62" t="s">
        <v>27</v>
      </c>
      <c r="C32" s="63" t="s">
        <v>87</v>
      </c>
      <c r="D32" s="62" t="s">
        <v>54</v>
      </c>
      <c r="E32" s="65">
        <v>61.5</v>
      </c>
      <c r="F32" s="65">
        <f>SUM(E32/1000)</f>
        <v>6.1499999999999999E-2</v>
      </c>
      <c r="G32" s="65">
        <v>3758.28</v>
      </c>
      <c r="H32" s="66">
        <f t="shared" si="2"/>
        <v>0.23113422</v>
      </c>
      <c r="I32" s="13">
        <f>F32*G32</f>
        <v>231.13422</v>
      </c>
      <c r="J32" s="23"/>
      <c r="K32" s="8"/>
      <c r="L32" s="8"/>
      <c r="M32" s="8"/>
    </row>
    <row r="33" spans="1:14" ht="15.75" hidden="1" customHeight="1">
      <c r="A33" s="30">
        <v>10</v>
      </c>
      <c r="B33" s="62" t="s">
        <v>102</v>
      </c>
      <c r="C33" s="63" t="s">
        <v>31</v>
      </c>
      <c r="D33" s="62" t="s">
        <v>64</v>
      </c>
      <c r="E33" s="69">
        <f>1/3</f>
        <v>0.33333333333333331</v>
      </c>
      <c r="F33" s="65">
        <f>155/3</f>
        <v>51.666666666666664</v>
      </c>
      <c r="G33" s="65">
        <v>70.540000000000006</v>
      </c>
      <c r="H33" s="66">
        <f t="shared" si="2"/>
        <v>3.6445666666666665</v>
      </c>
      <c r="I33" s="13">
        <f>F33/6*G33</f>
        <v>607.42777777777781</v>
      </c>
      <c r="J33" s="23"/>
      <c r="K33" s="8"/>
      <c r="L33" s="8"/>
      <c r="M33" s="8"/>
    </row>
    <row r="34" spans="1:14" ht="15.75" hidden="1" customHeight="1">
      <c r="A34" s="30"/>
      <c r="B34" s="62" t="s">
        <v>65</v>
      </c>
      <c r="C34" s="63" t="s">
        <v>33</v>
      </c>
      <c r="D34" s="62" t="s">
        <v>67</v>
      </c>
      <c r="E34" s="64"/>
      <c r="F34" s="65">
        <v>1</v>
      </c>
      <c r="G34" s="65">
        <v>238.07</v>
      </c>
      <c r="H34" s="66">
        <f t="shared" si="2"/>
        <v>0.23807</v>
      </c>
      <c r="I34" s="13">
        <v>0</v>
      </c>
      <c r="J34" s="24"/>
    </row>
    <row r="35" spans="1:14" ht="15.75" hidden="1" customHeight="1">
      <c r="A35" s="30"/>
      <c r="B35" s="62" t="s">
        <v>66</v>
      </c>
      <c r="C35" s="63" t="s">
        <v>32</v>
      </c>
      <c r="D35" s="62" t="s">
        <v>67</v>
      </c>
      <c r="E35" s="64"/>
      <c r="F35" s="65">
        <v>1</v>
      </c>
      <c r="G35" s="65">
        <v>1413.96</v>
      </c>
      <c r="H35" s="66">
        <f t="shared" si="2"/>
        <v>1.4139600000000001</v>
      </c>
      <c r="I35" s="13">
        <v>0</v>
      </c>
      <c r="J35" s="24"/>
    </row>
    <row r="36" spans="1:14" ht="15.75" customHeight="1">
      <c r="A36" s="30"/>
      <c r="B36" s="82" t="s">
        <v>5</v>
      </c>
      <c r="C36" s="63"/>
      <c r="D36" s="62"/>
      <c r="E36" s="64"/>
      <c r="F36" s="65"/>
      <c r="G36" s="65"/>
      <c r="H36" s="66" t="s">
        <v>118</v>
      </c>
      <c r="I36" s="13"/>
      <c r="J36" s="24"/>
      <c r="L36" s="19"/>
      <c r="M36" s="20"/>
      <c r="N36" s="21"/>
    </row>
    <row r="37" spans="1:14" ht="15.75" customHeight="1">
      <c r="A37" s="30">
        <v>5</v>
      </c>
      <c r="B37" s="62" t="s">
        <v>26</v>
      </c>
      <c r="C37" s="63" t="s">
        <v>32</v>
      </c>
      <c r="D37" s="62"/>
      <c r="E37" s="64"/>
      <c r="F37" s="65">
        <v>3</v>
      </c>
      <c r="G37" s="65">
        <v>1900.37</v>
      </c>
      <c r="H37" s="66">
        <f t="shared" ref="H37:H42" si="4">SUM(F37*G37/1000)</f>
        <v>5.7011099999999999</v>
      </c>
      <c r="I37" s="13">
        <f>G37*0.6</f>
        <v>1140.222</v>
      </c>
      <c r="J37" s="24"/>
      <c r="L37" s="19"/>
      <c r="M37" s="20"/>
      <c r="N37" s="21"/>
    </row>
    <row r="38" spans="1:14" ht="31.5" customHeight="1">
      <c r="A38" s="30">
        <v>6</v>
      </c>
      <c r="B38" s="62" t="s">
        <v>119</v>
      </c>
      <c r="C38" s="63" t="s">
        <v>29</v>
      </c>
      <c r="D38" s="62" t="s">
        <v>199</v>
      </c>
      <c r="E38" s="64">
        <v>35.299999999999997</v>
      </c>
      <c r="F38" s="65">
        <f>E38*30/1000</f>
        <v>1.0589999999999999</v>
      </c>
      <c r="G38" s="65">
        <v>2616.4899999999998</v>
      </c>
      <c r="H38" s="66">
        <f t="shared" si="4"/>
        <v>2.77086291</v>
      </c>
      <c r="I38" s="13">
        <f t="shared" ref="I38:I40" si="5">F38/6*G38</f>
        <v>461.81048499999991</v>
      </c>
      <c r="J38" s="24"/>
      <c r="L38" s="19"/>
      <c r="M38" s="20"/>
      <c r="N38" s="21"/>
    </row>
    <row r="39" spans="1:14" ht="15.75" customHeight="1">
      <c r="A39" s="30">
        <v>7</v>
      </c>
      <c r="B39" s="62" t="s">
        <v>120</v>
      </c>
      <c r="C39" s="63" t="s">
        <v>29</v>
      </c>
      <c r="D39" s="62" t="s">
        <v>200</v>
      </c>
      <c r="E39" s="64">
        <v>35.299999999999997</v>
      </c>
      <c r="F39" s="65">
        <f>SUM(E39*155/1000)</f>
        <v>5.4714999999999998</v>
      </c>
      <c r="G39" s="65">
        <v>436.45</v>
      </c>
      <c r="H39" s="66">
        <f t="shared" si="4"/>
        <v>2.3880361749999999</v>
      </c>
      <c r="I39" s="13">
        <f t="shared" si="5"/>
        <v>398.00602916666662</v>
      </c>
      <c r="J39" s="24"/>
      <c r="L39" s="19"/>
      <c r="M39" s="20"/>
      <c r="N39" s="21"/>
    </row>
    <row r="40" spans="1:14" ht="47.25" customHeight="1">
      <c r="A40" s="30">
        <v>8</v>
      </c>
      <c r="B40" s="62" t="s">
        <v>121</v>
      </c>
      <c r="C40" s="63" t="s">
        <v>87</v>
      </c>
      <c r="D40" s="62" t="s">
        <v>201</v>
      </c>
      <c r="E40" s="64">
        <v>35.299999999999997</v>
      </c>
      <c r="F40" s="65">
        <f>SUM(E40*24/1000)</f>
        <v>0.84719999999999995</v>
      </c>
      <c r="G40" s="65">
        <v>7221.21</v>
      </c>
      <c r="H40" s="66">
        <f t="shared" si="4"/>
        <v>6.1178091119999998</v>
      </c>
      <c r="I40" s="13">
        <f t="shared" si="5"/>
        <v>1019.6348519999999</v>
      </c>
      <c r="J40" s="24"/>
      <c r="L40" s="19"/>
      <c r="M40" s="20"/>
      <c r="N40" s="21"/>
    </row>
    <row r="41" spans="1:14" ht="15.75" customHeight="1">
      <c r="A41" s="30">
        <v>9</v>
      </c>
      <c r="B41" s="62" t="s">
        <v>123</v>
      </c>
      <c r="C41" s="63" t="s">
        <v>87</v>
      </c>
      <c r="D41" s="62" t="s">
        <v>202</v>
      </c>
      <c r="E41" s="64">
        <v>35.299999999999997</v>
      </c>
      <c r="F41" s="65">
        <f>SUM(E41*45/1000)</f>
        <v>1.5884999999999998</v>
      </c>
      <c r="G41" s="65">
        <v>533.45000000000005</v>
      </c>
      <c r="H41" s="66">
        <f t="shared" si="4"/>
        <v>0.84738532499999997</v>
      </c>
      <c r="I41" s="13">
        <f>F41/7.5*G41</f>
        <v>112.98470999999999</v>
      </c>
      <c r="J41" s="24"/>
      <c r="L41" s="19"/>
      <c r="M41" s="20"/>
      <c r="N41" s="21"/>
    </row>
    <row r="42" spans="1:14" ht="15.75" customHeight="1">
      <c r="A42" s="30">
        <v>10</v>
      </c>
      <c r="B42" s="62" t="s">
        <v>69</v>
      </c>
      <c r="C42" s="63" t="s">
        <v>33</v>
      </c>
      <c r="D42" s="62"/>
      <c r="E42" s="64"/>
      <c r="F42" s="65">
        <v>0.3</v>
      </c>
      <c r="G42" s="65">
        <v>992.97</v>
      </c>
      <c r="H42" s="66">
        <f t="shared" si="4"/>
        <v>0.29789100000000002</v>
      </c>
      <c r="I42" s="13">
        <f>F42/7.5*G42</f>
        <v>39.718800000000002</v>
      </c>
      <c r="J42" s="24"/>
      <c r="L42" s="19"/>
      <c r="M42" s="20"/>
      <c r="N42" s="21"/>
    </row>
    <row r="43" spans="1:14" ht="15.75" customHeight="1">
      <c r="A43" s="148" t="s">
        <v>139</v>
      </c>
      <c r="B43" s="149"/>
      <c r="C43" s="149"/>
      <c r="D43" s="149"/>
      <c r="E43" s="149"/>
      <c r="F43" s="149"/>
      <c r="G43" s="149"/>
      <c r="H43" s="149"/>
      <c r="I43" s="150"/>
      <c r="J43" s="24"/>
      <c r="L43" s="19"/>
      <c r="M43" s="20"/>
      <c r="N43" s="21"/>
    </row>
    <row r="44" spans="1:14" ht="15.75" hidden="1" customHeight="1">
      <c r="A44" s="30">
        <v>11</v>
      </c>
      <c r="B44" s="62" t="s">
        <v>105</v>
      </c>
      <c r="C44" s="63" t="s">
        <v>87</v>
      </c>
      <c r="D44" s="62" t="s">
        <v>43</v>
      </c>
      <c r="E44" s="64">
        <v>907.4</v>
      </c>
      <c r="F44" s="65">
        <f>SUM(E44*2/1000)</f>
        <v>1.8148</v>
      </c>
      <c r="G44" s="13">
        <v>1283.46</v>
      </c>
      <c r="H44" s="66">
        <f t="shared" ref="H44:H53" si="6">SUM(F44*G44/1000)</f>
        <v>2.3292232079999997</v>
      </c>
      <c r="I44" s="13">
        <f>F44/2*G44</f>
        <v>1164.6116039999999</v>
      </c>
      <c r="J44" s="24"/>
      <c r="L44" s="19"/>
      <c r="M44" s="20"/>
      <c r="N44" s="21"/>
    </row>
    <row r="45" spans="1:14" ht="15.75" hidden="1" customHeight="1">
      <c r="A45" s="30">
        <v>12</v>
      </c>
      <c r="B45" s="62" t="s">
        <v>36</v>
      </c>
      <c r="C45" s="63" t="s">
        <v>87</v>
      </c>
      <c r="D45" s="62" t="s">
        <v>43</v>
      </c>
      <c r="E45" s="64">
        <v>27</v>
      </c>
      <c r="F45" s="65">
        <f>SUM(E45*2/1000)</f>
        <v>5.3999999999999999E-2</v>
      </c>
      <c r="G45" s="13">
        <v>4192.6400000000003</v>
      </c>
      <c r="H45" s="66">
        <f t="shared" si="6"/>
        <v>0.22640256000000003</v>
      </c>
      <c r="I45" s="13">
        <f t="shared" ref="I45:I52" si="7">F45/2*G45</f>
        <v>113.20128000000001</v>
      </c>
      <c r="J45" s="24"/>
      <c r="L45" s="19"/>
      <c r="M45" s="20"/>
      <c r="N45" s="21"/>
    </row>
    <row r="46" spans="1:14" ht="15.75" hidden="1" customHeight="1">
      <c r="A46" s="30">
        <v>13</v>
      </c>
      <c r="B46" s="62" t="s">
        <v>37</v>
      </c>
      <c r="C46" s="63" t="s">
        <v>87</v>
      </c>
      <c r="D46" s="62" t="s">
        <v>43</v>
      </c>
      <c r="E46" s="64">
        <v>772</v>
      </c>
      <c r="F46" s="65">
        <f>SUM(E46*2/1000)</f>
        <v>1.544</v>
      </c>
      <c r="G46" s="13">
        <v>1711.28</v>
      </c>
      <c r="H46" s="66">
        <f t="shared" si="6"/>
        <v>2.6422163200000002</v>
      </c>
      <c r="I46" s="13">
        <f t="shared" si="7"/>
        <v>1321.10816</v>
      </c>
      <c r="J46" s="24"/>
      <c r="L46" s="19"/>
      <c r="M46" s="20"/>
      <c r="N46" s="21"/>
    </row>
    <row r="47" spans="1:14" ht="15.75" hidden="1" customHeight="1">
      <c r="A47" s="30">
        <v>14</v>
      </c>
      <c r="B47" s="62" t="s">
        <v>38</v>
      </c>
      <c r="C47" s="63" t="s">
        <v>87</v>
      </c>
      <c r="D47" s="62" t="s">
        <v>43</v>
      </c>
      <c r="E47" s="64">
        <v>959.4</v>
      </c>
      <c r="F47" s="65">
        <f>SUM(E47*2/1000)</f>
        <v>1.9188000000000001</v>
      </c>
      <c r="G47" s="13">
        <v>1179.73</v>
      </c>
      <c r="H47" s="66">
        <f t="shared" si="6"/>
        <v>2.2636659240000001</v>
      </c>
      <c r="I47" s="13">
        <f t="shared" si="7"/>
        <v>1131.832962</v>
      </c>
      <c r="J47" s="24"/>
      <c r="L47" s="19"/>
      <c r="M47" s="20"/>
      <c r="N47" s="21"/>
    </row>
    <row r="48" spans="1:14" ht="15.75" hidden="1" customHeight="1">
      <c r="A48" s="30">
        <v>15</v>
      </c>
      <c r="B48" s="62" t="s">
        <v>34</v>
      </c>
      <c r="C48" s="63" t="s">
        <v>35</v>
      </c>
      <c r="D48" s="62" t="s">
        <v>43</v>
      </c>
      <c r="E48" s="64">
        <v>66.02</v>
      </c>
      <c r="F48" s="65">
        <f>SUM(E48*2/100)</f>
        <v>1.3204</v>
      </c>
      <c r="G48" s="13">
        <v>90.61</v>
      </c>
      <c r="H48" s="66">
        <f t="shared" si="6"/>
        <v>0.11964144400000001</v>
      </c>
      <c r="I48" s="13">
        <f t="shared" si="7"/>
        <v>59.820722000000004</v>
      </c>
      <c r="J48" s="24"/>
      <c r="L48" s="19"/>
      <c r="M48" s="20"/>
      <c r="N48" s="21"/>
    </row>
    <row r="49" spans="1:22" ht="15.75" customHeight="1">
      <c r="A49" s="30">
        <v>11</v>
      </c>
      <c r="B49" s="62" t="s">
        <v>57</v>
      </c>
      <c r="C49" s="63" t="s">
        <v>87</v>
      </c>
      <c r="D49" s="62" t="s">
        <v>176</v>
      </c>
      <c r="E49" s="64">
        <v>1536.4</v>
      </c>
      <c r="F49" s="65">
        <f>SUM(E49*5/1000)</f>
        <v>7.6820000000000004</v>
      </c>
      <c r="G49" s="13">
        <v>1711.28</v>
      </c>
      <c r="H49" s="66">
        <f t="shared" si="6"/>
        <v>13.14605296</v>
      </c>
      <c r="I49" s="13">
        <f>F49/5*G49</f>
        <v>2629.2105919999999</v>
      </c>
      <c r="J49" s="24"/>
      <c r="L49" s="19"/>
      <c r="M49" s="20"/>
      <c r="N49" s="21"/>
    </row>
    <row r="50" spans="1:22" ht="32.25" hidden="1" customHeight="1">
      <c r="A50" s="30"/>
      <c r="B50" s="62" t="s">
        <v>88</v>
      </c>
      <c r="C50" s="63" t="s">
        <v>87</v>
      </c>
      <c r="D50" s="62" t="s">
        <v>43</v>
      </c>
      <c r="E50" s="64">
        <v>1536.4</v>
      </c>
      <c r="F50" s="65">
        <f>SUM(E50*2/1000)</f>
        <v>3.0728</v>
      </c>
      <c r="G50" s="13">
        <v>1510.06</v>
      </c>
      <c r="H50" s="66">
        <f t="shared" si="6"/>
        <v>4.6401123680000005</v>
      </c>
      <c r="I50" s="13">
        <f t="shared" si="7"/>
        <v>2320.056184</v>
      </c>
      <c r="J50" s="24"/>
      <c r="L50" s="19"/>
      <c r="M50" s="20"/>
      <c r="N50" s="21"/>
    </row>
    <row r="51" spans="1:22" ht="32.25" hidden="1" customHeight="1">
      <c r="A51" s="30"/>
      <c r="B51" s="62" t="s">
        <v>89</v>
      </c>
      <c r="C51" s="63" t="s">
        <v>39</v>
      </c>
      <c r="D51" s="62" t="s">
        <v>43</v>
      </c>
      <c r="E51" s="64">
        <v>9</v>
      </c>
      <c r="F51" s="65">
        <f>SUM(E51*2/100)</f>
        <v>0.18</v>
      </c>
      <c r="G51" s="13">
        <v>3850.4</v>
      </c>
      <c r="H51" s="66">
        <f t="shared" si="6"/>
        <v>0.69307200000000002</v>
      </c>
      <c r="I51" s="13">
        <f t="shared" si="7"/>
        <v>346.536</v>
      </c>
      <c r="J51" s="24"/>
      <c r="L51" s="19"/>
      <c r="M51" s="20"/>
      <c r="N51" s="21"/>
    </row>
    <row r="52" spans="1:22" ht="15.75" hidden="1" customHeight="1">
      <c r="A52" s="30"/>
      <c r="B52" s="62" t="s">
        <v>40</v>
      </c>
      <c r="C52" s="63" t="s">
        <v>41</v>
      </c>
      <c r="D52" s="62" t="s">
        <v>43</v>
      </c>
      <c r="E52" s="64">
        <v>1</v>
      </c>
      <c r="F52" s="65">
        <v>0.02</v>
      </c>
      <c r="G52" s="13">
        <v>7033.13</v>
      </c>
      <c r="H52" s="66">
        <f t="shared" si="6"/>
        <v>0.1406626</v>
      </c>
      <c r="I52" s="13">
        <f t="shared" si="7"/>
        <v>70.331299999999999</v>
      </c>
      <c r="J52" s="24"/>
      <c r="L52" s="19"/>
      <c r="M52" s="20"/>
      <c r="N52" s="21"/>
    </row>
    <row r="53" spans="1:22" ht="19.5" customHeight="1">
      <c r="A53" s="30">
        <v>12</v>
      </c>
      <c r="B53" s="62" t="s">
        <v>42</v>
      </c>
      <c r="C53" s="63" t="s">
        <v>106</v>
      </c>
      <c r="D53" s="129">
        <v>43497</v>
      </c>
      <c r="E53" s="64">
        <v>53</v>
      </c>
      <c r="F53" s="65">
        <v>53</v>
      </c>
      <c r="G53" s="13">
        <v>81.73</v>
      </c>
      <c r="H53" s="66">
        <f t="shared" si="6"/>
        <v>4.3316900000000009</v>
      </c>
      <c r="I53" s="13">
        <f>G53*F53/3</f>
        <v>1443.8966666666668</v>
      </c>
      <c r="J53" s="24"/>
      <c r="L53" s="19"/>
    </row>
    <row r="54" spans="1:22" ht="15.75" customHeight="1">
      <c r="A54" s="148" t="s">
        <v>140</v>
      </c>
      <c r="B54" s="149"/>
      <c r="C54" s="149"/>
      <c r="D54" s="149"/>
      <c r="E54" s="149"/>
      <c r="F54" s="149"/>
      <c r="G54" s="149"/>
      <c r="H54" s="149"/>
      <c r="I54" s="150"/>
    </row>
    <row r="55" spans="1:22" ht="15.75" hidden="1" customHeight="1">
      <c r="A55" s="30"/>
      <c r="B55" s="82" t="s">
        <v>44</v>
      </c>
      <c r="C55" s="63"/>
      <c r="D55" s="62"/>
      <c r="E55" s="64"/>
      <c r="F55" s="65"/>
      <c r="G55" s="65"/>
      <c r="H55" s="66"/>
      <c r="I55" s="13"/>
    </row>
    <row r="56" spans="1:22" ht="31.5" hidden="1" customHeight="1">
      <c r="A56" s="30">
        <v>13</v>
      </c>
      <c r="B56" s="62" t="s">
        <v>107</v>
      </c>
      <c r="C56" s="63" t="s">
        <v>84</v>
      </c>
      <c r="D56" s="62" t="s">
        <v>108</v>
      </c>
      <c r="E56" s="64">
        <v>11.5</v>
      </c>
      <c r="F56" s="65">
        <f>SUM(E56*6/100)</f>
        <v>0.69</v>
      </c>
      <c r="G56" s="13">
        <v>2306.62</v>
      </c>
      <c r="H56" s="66">
        <f>SUM(F56*G56/1000)</f>
        <v>1.5915677999999998</v>
      </c>
      <c r="I56" s="13">
        <f>G56*0.18</f>
        <v>415.19159999999994</v>
      </c>
    </row>
    <row r="57" spans="1:22" ht="15.75" hidden="1" customHeight="1">
      <c r="A57" s="30"/>
      <c r="B57" s="62" t="s">
        <v>124</v>
      </c>
      <c r="C57" s="63" t="s">
        <v>125</v>
      </c>
      <c r="D57" s="62" t="s">
        <v>67</v>
      </c>
      <c r="E57" s="64"/>
      <c r="F57" s="65">
        <v>2</v>
      </c>
      <c r="G57" s="85">
        <v>1501</v>
      </c>
      <c r="H57" s="66">
        <f>SUM(F57*G57/1000)</f>
        <v>3.0019999999999998</v>
      </c>
      <c r="I57" s="13">
        <v>0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15.75" customHeight="1">
      <c r="A58" s="30"/>
      <c r="B58" s="82" t="s">
        <v>45</v>
      </c>
      <c r="C58" s="63"/>
      <c r="D58" s="62"/>
      <c r="E58" s="64"/>
      <c r="F58" s="65"/>
      <c r="G58" s="86"/>
      <c r="H58" s="66"/>
      <c r="I58" s="13"/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5.75" hidden="1" customHeight="1">
      <c r="A59" s="30"/>
      <c r="B59" s="62" t="s">
        <v>109</v>
      </c>
      <c r="C59" s="63" t="s">
        <v>84</v>
      </c>
      <c r="D59" s="62" t="s">
        <v>54</v>
      </c>
      <c r="E59" s="64">
        <v>148</v>
      </c>
      <c r="F59" s="66">
        <f>E59/100</f>
        <v>1.48</v>
      </c>
      <c r="G59" s="13">
        <v>987.51</v>
      </c>
      <c r="H59" s="71">
        <f>F59*G59/1000</f>
        <v>1.4615148</v>
      </c>
      <c r="I59" s="13">
        <v>0</v>
      </c>
      <c r="J59" s="3"/>
      <c r="K59" s="3"/>
      <c r="L59" s="3"/>
      <c r="M59" s="3"/>
      <c r="N59" s="3"/>
      <c r="O59" s="3"/>
      <c r="P59" s="3"/>
      <c r="Q59" s="3"/>
      <c r="S59" s="3"/>
      <c r="T59" s="3"/>
      <c r="U59" s="3"/>
    </row>
    <row r="60" spans="1:22" ht="15.75" customHeight="1">
      <c r="A60" s="30">
        <v>13</v>
      </c>
      <c r="B60" s="114" t="s">
        <v>135</v>
      </c>
      <c r="C60" s="115" t="s">
        <v>25</v>
      </c>
      <c r="D60" s="114" t="s">
        <v>176</v>
      </c>
      <c r="E60" s="116">
        <v>110</v>
      </c>
      <c r="F60" s="117">
        <f>E60*12</f>
        <v>1320</v>
      </c>
      <c r="G60" s="118">
        <v>1.4</v>
      </c>
      <c r="H60" s="71">
        <f>F60*G60/1000</f>
        <v>1.8479999999999999</v>
      </c>
      <c r="I60" s="13">
        <f>F60/12*G60</f>
        <v>154</v>
      </c>
      <c r="J60" s="5"/>
      <c r="K60" s="5"/>
      <c r="L60" s="5"/>
      <c r="M60" s="5"/>
      <c r="N60" s="5"/>
      <c r="O60" s="5"/>
      <c r="P60" s="5"/>
      <c r="Q60" s="5"/>
      <c r="R60" s="141"/>
      <c r="S60" s="141"/>
      <c r="T60" s="141"/>
      <c r="U60" s="141"/>
    </row>
    <row r="61" spans="1:22" ht="15.75" customHeight="1">
      <c r="A61" s="30"/>
      <c r="B61" s="83" t="s">
        <v>46</v>
      </c>
      <c r="C61" s="72"/>
      <c r="D61" s="73"/>
      <c r="E61" s="74"/>
      <c r="F61" s="75"/>
      <c r="G61" s="75"/>
      <c r="H61" s="76" t="s">
        <v>118</v>
      </c>
      <c r="I61" s="13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2" ht="15.75" hidden="1" customHeight="1">
      <c r="A62" s="30">
        <v>16</v>
      </c>
      <c r="B62" s="14" t="s">
        <v>47</v>
      </c>
      <c r="C62" s="16" t="s">
        <v>106</v>
      </c>
      <c r="D62" s="14" t="s">
        <v>67</v>
      </c>
      <c r="E62" s="18">
        <v>2</v>
      </c>
      <c r="F62" s="65">
        <f>E62</f>
        <v>2</v>
      </c>
      <c r="G62" s="13">
        <v>276.74</v>
      </c>
      <c r="H62" s="61">
        <f t="shared" ref="H62:H78" si="8">SUM(F62*G62/1000)</f>
        <v>0.55347999999999997</v>
      </c>
      <c r="I62" s="13">
        <f>G62</f>
        <v>276.74</v>
      </c>
    </row>
    <row r="63" spans="1:22" ht="15.75" hidden="1" customHeight="1">
      <c r="A63" s="30"/>
      <c r="B63" s="14" t="s">
        <v>48</v>
      </c>
      <c r="C63" s="16" t="s">
        <v>106</v>
      </c>
      <c r="D63" s="14" t="s">
        <v>67</v>
      </c>
      <c r="E63" s="18">
        <v>1</v>
      </c>
      <c r="F63" s="65">
        <f>E63</f>
        <v>1</v>
      </c>
      <c r="G63" s="13">
        <v>94.89</v>
      </c>
      <c r="H63" s="61">
        <f t="shared" si="8"/>
        <v>9.4890000000000002E-2</v>
      </c>
      <c r="I63" s="13">
        <v>0</v>
      </c>
    </row>
    <row r="64" spans="1:22" ht="15.75" hidden="1" customHeight="1">
      <c r="A64" s="30"/>
      <c r="B64" s="14" t="s">
        <v>49</v>
      </c>
      <c r="C64" s="16" t="s">
        <v>110</v>
      </c>
      <c r="D64" s="14" t="s">
        <v>54</v>
      </c>
      <c r="E64" s="64">
        <v>6307</v>
      </c>
      <c r="F64" s="13">
        <f>SUM(E64/100)</f>
        <v>63.07</v>
      </c>
      <c r="G64" s="13">
        <v>263.99</v>
      </c>
      <c r="H64" s="61">
        <f t="shared" si="8"/>
        <v>16.649849300000003</v>
      </c>
      <c r="I64" s="13">
        <v>0</v>
      </c>
    </row>
    <row r="65" spans="1:9" ht="15.75" hidden="1" customHeight="1">
      <c r="A65" s="30"/>
      <c r="B65" s="14" t="s">
        <v>50</v>
      </c>
      <c r="C65" s="16" t="s">
        <v>111</v>
      </c>
      <c r="D65" s="14"/>
      <c r="E65" s="64">
        <v>6307</v>
      </c>
      <c r="F65" s="13">
        <f>SUM(E65/1000)</f>
        <v>6.3070000000000004</v>
      </c>
      <c r="G65" s="13">
        <v>205.57</v>
      </c>
      <c r="H65" s="61">
        <f t="shared" si="8"/>
        <v>1.29652999</v>
      </c>
      <c r="I65" s="13">
        <v>0</v>
      </c>
    </row>
    <row r="66" spans="1:9" ht="15.75" hidden="1" customHeight="1">
      <c r="A66" s="30"/>
      <c r="B66" s="14" t="s">
        <v>51</v>
      </c>
      <c r="C66" s="16" t="s">
        <v>76</v>
      </c>
      <c r="D66" s="14" t="s">
        <v>54</v>
      </c>
      <c r="E66" s="64">
        <v>1003</v>
      </c>
      <c r="F66" s="13">
        <f>SUM(E66/100)</f>
        <v>10.029999999999999</v>
      </c>
      <c r="G66" s="13">
        <v>2581.5300000000002</v>
      </c>
      <c r="H66" s="61">
        <f t="shared" si="8"/>
        <v>25.892745900000001</v>
      </c>
      <c r="I66" s="13">
        <v>0</v>
      </c>
    </row>
    <row r="67" spans="1:9" ht="15.75" hidden="1" customHeight="1">
      <c r="A67" s="30"/>
      <c r="B67" s="77" t="s">
        <v>112</v>
      </c>
      <c r="C67" s="16" t="s">
        <v>33</v>
      </c>
      <c r="D67" s="14"/>
      <c r="E67" s="64">
        <v>6.6</v>
      </c>
      <c r="F67" s="13">
        <f>SUM(E67)</f>
        <v>6.6</v>
      </c>
      <c r="G67" s="13">
        <v>47.75</v>
      </c>
      <c r="H67" s="61">
        <f t="shared" si="8"/>
        <v>0.31514999999999999</v>
      </c>
      <c r="I67" s="13">
        <v>0</v>
      </c>
    </row>
    <row r="68" spans="1:9" ht="15.75" hidden="1" customHeight="1">
      <c r="A68" s="30"/>
      <c r="B68" s="77" t="s">
        <v>113</v>
      </c>
      <c r="C68" s="16" t="s">
        <v>33</v>
      </c>
      <c r="D68" s="14"/>
      <c r="E68" s="64">
        <v>6.6</v>
      </c>
      <c r="F68" s="13">
        <f>SUM(E68)</f>
        <v>6.6</v>
      </c>
      <c r="G68" s="13">
        <v>44.27</v>
      </c>
      <c r="H68" s="61">
        <f t="shared" si="8"/>
        <v>0.292182</v>
      </c>
      <c r="I68" s="13">
        <v>0</v>
      </c>
    </row>
    <row r="69" spans="1:9" ht="15.75" hidden="1" customHeight="1">
      <c r="A69" s="30">
        <v>19</v>
      </c>
      <c r="B69" s="14" t="s">
        <v>58</v>
      </c>
      <c r="C69" s="16" t="s">
        <v>59</v>
      </c>
      <c r="D69" s="14" t="s">
        <v>54</v>
      </c>
      <c r="E69" s="18">
        <v>3</v>
      </c>
      <c r="F69" s="65">
        <v>3</v>
      </c>
      <c r="G69" s="13">
        <v>62.07</v>
      </c>
      <c r="H69" s="61">
        <f t="shared" si="8"/>
        <v>0.18621000000000001</v>
      </c>
      <c r="I69" s="13">
        <f>F69*G69</f>
        <v>186.21</v>
      </c>
    </row>
    <row r="70" spans="1:9" ht="15.75" customHeight="1">
      <c r="A70" s="30">
        <v>14</v>
      </c>
      <c r="B70" s="14" t="s">
        <v>126</v>
      </c>
      <c r="C70" s="30" t="s">
        <v>127</v>
      </c>
      <c r="D70" s="14"/>
      <c r="E70" s="18">
        <v>1536.4</v>
      </c>
      <c r="F70" s="56">
        <f>E70*12</f>
        <v>18436.800000000003</v>
      </c>
      <c r="G70" s="13">
        <v>2.16</v>
      </c>
      <c r="H70" s="61">
        <f t="shared" si="8"/>
        <v>39.823488000000012</v>
      </c>
      <c r="I70" s="13">
        <f>F70/12*G70</f>
        <v>3318.6240000000007</v>
      </c>
    </row>
    <row r="71" spans="1:9" ht="15.75" customHeight="1">
      <c r="A71" s="30"/>
      <c r="B71" s="93" t="s">
        <v>71</v>
      </c>
      <c r="C71" s="16"/>
      <c r="D71" s="14"/>
      <c r="E71" s="18"/>
      <c r="F71" s="13"/>
      <c r="G71" s="13"/>
      <c r="H71" s="61" t="s">
        <v>118</v>
      </c>
      <c r="I71" s="13"/>
    </row>
    <row r="72" spans="1:9" ht="20.25" customHeight="1">
      <c r="A72" s="30">
        <v>15</v>
      </c>
      <c r="B72" s="14" t="s">
        <v>129</v>
      </c>
      <c r="C72" s="16" t="s">
        <v>130</v>
      </c>
      <c r="D72" s="14" t="s">
        <v>206</v>
      </c>
      <c r="E72" s="18">
        <v>1</v>
      </c>
      <c r="F72" s="13">
        <f>E72</f>
        <v>1</v>
      </c>
      <c r="G72" s="13">
        <v>976.4</v>
      </c>
      <c r="H72" s="61">
        <f t="shared" ref="H72:H73" si="9">SUM(F72*G72/1000)</f>
        <v>0.97639999999999993</v>
      </c>
      <c r="I72" s="13">
        <f>G72*1</f>
        <v>976.4</v>
      </c>
    </row>
    <row r="73" spans="1:9" ht="19.5" customHeight="1">
      <c r="A73" s="30">
        <v>16</v>
      </c>
      <c r="B73" s="14" t="s">
        <v>131</v>
      </c>
      <c r="C73" s="16" t="s">
        <v>132</v>
      </c>
      <c r="D73" s="14"/>
      <c r="E73" s="18">
        <v>1</v>
      </c>
      <c r="F73" s="13">
        <v>1</v>
      </c>
      <c r="G73" s="13">
        <v>650</v>
      </c>
      <c r="H73" s="61">
        <f t="shared" si="9"/>
        <v>0.65</v>
      </c>
      <c r="I73" s="13">
        <f>G73*1</f>
        <v>650</v>
      </c>
    </row>
    <row r="74" spans="1:9" ht="18" hidden="1" customHeight="1">
      <c r="A74" s="30"/>
      <c r="B74" s="14" t="s">
        <v>72</v>
      </c>
      <c r="C74" s="16" t="s">
        <v>74</v>
      </c>
      <c r="D74" s="14"/>
      <c r="E74" s="18">
        <v>3</v>
      </c>
      <c r="F74" s="13">
        <v>0.3</v>
      </c>
      <c r="G74" s="13">
        <v>624.16999999999996</v>
      </c>
      <c r="H74" s="61">
        <f t="shared" si="8"/>
        <v>0.18725099999999997</v>
      </c>
      <c r="I74" s="13">
        <v>0</v>
      </c>
    </row>
    <row r="75" spans="1:9" ht="16.5" hidden="1" customHeight="1">
      <c r="A75" s="30"/>
      <c r="B75" s="14" t="s">
        <v>73</v>
      </c>
      <c r="C75" s="16" t="s">
        <v>31</v>
      </c>
      <c r="D75" s="14"/>
      <c r="E75" s="18">
        <v>1</v>
      </c>
      <c r="F75" s="56">
        <v>1</v>
      </c>
      <c r="G75" s="13">
        <v>1061.4100000000001</v>
      </c>
      <c r="H75" s="61">
        <f>F75*G75/1000</f>
        <v>1.0614100000000002</v>
      </c>
      <c r="I75" s="13">
        <v>0</v>
      </c>
    </row>
    <row r="76" spans="1:9" ht="15.75" customHeight="1">
      <c r="A76" s="30">
        <v>17</v>
      </c>
      <c r="B76" s="46" t="s">
        <v>133</v>
      </c>
      <c r="C76" s="47" t="s">
        <v>106</v>
      </c>
      <c r="D76" s="14" t="s">
        <v>203</v>
      </c>
      <c r="E76" s="18">
        <v>1</v>
      </c>
      <c r="F76" s="13">
        <f>E76*12</f>
        <v>12</v>
      </c>
      <c r="G76" s="13">
        <v>50.69</v>
      </c>
      <c r="H76" s="61">
        <f>G76*F76/1000</f>
        <v>0.60827999999999993</v>
      </c>
      <c r="I76" s="13">
        <f>G76</f>
        <v>50.69</v>
      </c>
    </row>
    <row r="77" spans="1:9" ht="15.75" hidden="1" customHeight="1">
      <c r="A77" s="30"/>
      <c r="B77" s="79" t="s">
        <v>75</v>
      </c>
      <c r="C77" s="16"/>
      <c r="D77" s="14"/>
      <c r="E77" s="18"/>
      <c r="F77" s="13"/>
      <c r="G77" s="13" t="s">
        <v>118</v>
      </c>
      <c r="H77" s="61" t="s">
        <v>118</v>
      </c>
      <c r="I77" s="13" t="str">
        <f>G77</f>
        <v xml:space="preserve"> </v>
      </c>
    </row>
    <row r="78" spans="1:9" ht="15.75" hidden="1" customHeight="1">
      <c r="A78" s="30"/>
      <c r="B78" s="43" t="s">
        <v>134</v>
      </c>
      <c r="C78" s="16" t="s">
        <v>76</v>
      </c>
      <c r="D78" s="14"/>
      <c r="E78" s="18"/>
      <c r="F78" s="13">
        <v>0.1</v>
      </c>
      <c r="G78" s="13">
        <v>3433.69</v>
      </c>
      <c r="H78" s="61">
        <f t="shared" si="8"/>
        <v>0.34336900000000004</v>
      </c>
      <c r="I78" s="13">
        <v>0</v>
      </c>
    </row>
    <row r="79" spans="1:9" ht="15.75" hidden="1" customHeight="1">
      <c r="A79" s="30"/>
      <c r="B79" s="55" t="s">
        <v>90</v>
      </c>
      <c r="C79" s="79"/>
      <c r="D79" s="31"/>
      <c r="E79" s="32"/>
      <c r="F79" s="68"/>
      <c r="G79" s="68"/>
      <c r="H79" s="80">
        <f>SUM(H56:H78)</f>
        <v>96.834317790000014</v>
      </c>
      <c r="I79" s="13"/>
    </row>
    <row r="80" spans="1:9" ht="15.75" hidden="1" customHeight="1">
      <c r="A80" s="30"/>
      <c r="B80" s="62" t="s">
        <v>114</v>
      </c>
      <c r="C80" s="16"/>
      <c r="D80" s="14"/>
      <c r="E80" s="57"/>
      <c r="F80" s="13">
        <v>1</v>
      </c>
      <c r="G80" s="35">
        <v>6105.8</v>
      </c>
      <c r="H80" s="61">
        <f>G80*F80/1000</f>
        <v>6.1058000000000003</v>
      </c>
      <c r="I80" s="13">
        <v>0</v>
      </c>
    </row>
    <row r="81" spans="1:9" ht="15.75" customHeight="1">
      <c r="A81" s="148" t="s">
        <v>141</v>
      </c>
      <c r="B81" s="149"/>
      <c r="C81" s="149"/>
      <c r="D81" s="149"/>
      <c r="E81" s="149"/>
      <c r="F81" s="149"/>
      <c r="G81" s="149"/>
      <c r="H81" s="149"/>
      <c r="I81" s="150"/>
    </row>
    <row r="82" spans="1:9" ht="15.75" customHeight="1">
      <c r="A82" s="30">
        <v>18</v>
      </c>
      <c r="B82" s="62" t="s">
        <v>115</v>
      </c>
      <c r="C82" s="16" t="s">
        <v>55</v>
      </c>
      <c r="D82" s="81"/>
      <c r="E82" s="13">
        <v>1536.4</v>
      </c>
      <c r="F82" s="13">
        <f>SUM(E82*12)</f>
        <v>18436.800000000003</v>
      </c>
      <c r="G82" s="13">
        <v>2.95</v>
      </c>
      <c r="H82" s="61">
        <f>SUM(F82*G82/1000)</f>
        <v>54.388560000000012</v>
      </c>
      <c r="I82" s="13">
        <f>F82/12*G82</f>
        <v>4532.380000000001</v>
      </c>
    </row>
    <row r="83" spans="1:9" ht="31.5" customHeight="1">
      <c r="A83" s="30">
        <v>19</v>
      </c>
      <c r="B83" s="14" t="s">
        <v>77</v>
      </c>
      <c r="C83" s="16"/>
      <c r="D83" s="81"/>
      <c r="E83" s="64">
        <f>E82</f>
        <v>1536.4</v>
      </c>
      <c r="F83" s="13">
        <f>E83*12</f>
        <v>18436.800000000003</v>
      </c>
      <c r="G83" s="13">
        <v>3.05</v>
      </c>
      <c r="H83" s="61">
        <f>F83*G83/1000</f>
        <v>56.232240000000004</v>
      </c>
      <c r="I83" s="13">
        <f>F83/12*G83</f>
        <v>4686.0200000000004</v>
      </c>
    </row>
    <row r="84" spans="1:9" ht="15.75" customHeight="1">
      <c r="A84" s="30"/>
      <c r="B84" s="36" t="s">
        <v>79</v>
      </c>
      <c r="C84" s="79"/>
      <c r="D84" s="78"/>
      <c r="E84" s="68"/>
      <c r="F84" s="68"/>
      <c r="G84" s="68"/>
      <c r="H84" s="80">
        <f>H83</f>
        <v>56.232240000000004</v>
      </c>
      <c r="I84" s="68">
        <f>I83+I82+I76+I73+I72+I70+I60+I53+I49+I42+I41+I40+I39+I38+I37+I27+I18+I17+I16</f>
        <v>27965.373994833335</v>
      </c>
    </row>
    <row r="85" spans="1:9" ht="15.75" customHeight="1">
      <c r="A85" s="134" t="s">
        <v>61</v>
      </c>
      <c r="B85" s="135"/>
      <c r="C85" s="135"/>
      <c r="D85" s="135"/>
      <c r="E85" s="135"/>
      <c r="F85" s="135"/>
      <c r="G85" s="135"/>
      <c r="H85" s="135"/>
      <c r="I85" s="136"/>
    </row>
    <row r="86" spans="1:9" s="100" customFormat="1" ht="30.75" customHeight="1">
      <c r="A86" s="30">
        <v>20</v>
      </c>
      <c r="B86" s="111" t="s">
        <v>169</v>
      </c>
      <c r="C86" s="112" t="s">
        <v>106</v>
      </c>
      <c r="D86" s="43"/>
      <c r="E86" s="13"/>
      <c r="F86" s="13">
        <v>234</v>
      </c>
      <c r="G86" s="34">
        <v>91.11</v>
      </c>
      <c r="H86" s="13">
        <f t="shared" ref="H86:H87" si="10">G86*F86/1000</f>
        <v>21.319740000000003</v>
      </c>
      <c r="I86" s="13">
        <f>G86*2</f>
        <v>182.22</v>
      </c>
    </row>
    <row r="87" spans="1:9" s="100" customFormat="1" ht="15" customHeight="1">
      <c r="A87" s="30">
        <v>21</v>
      </c>
      <c r="B87" s="111" t="s">
        <v>170</v>
      </c>
      <c r="C87" s="112" t="s">
        <v>159</v>
      </c>
      <c r="D87" s="121"/>
      <c r="E87" s="17"/>
      <c r="F87" s="122">
        <v>1</v>
      </c>
      <c r="G87" s="34">
        <v>273</v>
      </c>
      <c r="H87" s="102">
        <f t="shared" si="10"/>
        <v>0.27300000000000002</v>
      </c>
      <c r="I87" s="13">
        <f>G87*7</f>
        <v>1911</v>
      </c>
    </row>
    <row r="88" spans="1:9" s="100" customFormat="1" ht="30" customHeight="1">
      <c r="A88" s="30">
        <v>22</v>
      </c>
      <c r="B88" s="111" t="s">
        <v>171</v>
      </c>
      <c r="C88" s="112" t="s">
        <v>39</v>
      </c>
      <c r="D88" s="121"/>
      <c r="E88" s="17"/>
      <c r="F88" s="122"/>
      <c r="G88" s="34">
        <v>3914.31</v>
      </c>
      <c r="H88" s="102"/>
      <c r="I88" s="13">
        <f>G88*0.02</f>
        <v>78.286199999999994</v>
      </c>
    </row>
    <row r="89" spans="1:9" s="100" customFormat="1" ht="30" customHeight="1">
      <c r="A89" s="30">
        <v>23</v>
      </c>
      <c r="B89" s="111" t="s">
        <v>165</v>
      </c>
      <c r="C89" s="112" t="s">
        <v>29</v>
      </c>
      <c r="D89" s="121"/>
      <c r="E89" s="17"/>
      <c r="F89" s="122"/>
      <c r="G89" s="34">
        <v>19757.060000000001</v>
      </c>
      <c r="H89" s="102"/>
      <c r="I89" s="13">
        <f>G89*0.599*6/1000</f>
        <v>71.006873640000009</v>
      </c>
    </row>
    <row r="90" spans="1:9" ht="15.75" customHeight="1">
      <c r="A90" s="30"/>
      <c r="B90" s="41" t="s">
        <v>52</v>
      </c>
      <c r="C90" s="37"/>
      <c r="D90" s="44"/>
      <c r="E90" s="37">
        <v>1</v>
      </c>
      <c r="F90" s="37"/>
      <c r="G90" s="37"/>
      <c r="H90" s="37"/>
      <c r="I90" s="32">
        <f>SUM(I86:I89)</f>
        <v>2242.5130736399997</v>
      </c>
    </row>
    <row r="91" spans="1:9" ht="15.75" customHeight="1">
      <c r="A91" s="30"/>
      <c r="B91" s="43" t="s">
        <v>78</v>
      </c>
      <c r="C91" s="15"/>
      <c r="D91" s="15"/>
      <c r="E91" s="38"/>
      <c r="F91" s="38"/>
      <c r="G91" s="39"/>
      <c r="H91" s="39"/>
      <c r="I91" s="17">
        <v>0</v>
      </c>
    </row>
    <row r="92" spans="1:9">
      <c r="A92" s="45"/>
      <c r="B92" s="42" t="s">
        <v>157</v>
      </c>
      <c r="C92" s="33"/>
      <c r="D92" s="33"/>
      <c r="E92" s="33"/>
      <c r="F92" s="33"/>
      <c r="G92" s="33"/>
      <c r="H92" s="33"/>
      <c r="I92" s="40">
        <f>I84+I90</f>
        <v>30207.887068473334</v>
      </c>
    </row>
    <row r="93" spans="1:9" ht="15.75">
      <c r="A93" s="143" t="s">
        <v>207</v>
      </c>
      <c r="B93" s="143"/>
      <c r="C93" s="143"/>
      <c r="D93" s="143"/>
      <c r="E93" s="143"/>
      <c r="F93" s="143"/>
      <c r="G93" s="143"/>
      <c r="H93" s="143"/>
      <c r="I93" s="143"/>
    </row>
    <row r="94" spans="1:9" ht="15.75" customHeight="1">
      <c r="A94" s="54"/>
      <c r="B94" s="144" t="s">
        <v>208</v>
      </c>
      <c r="C94" s="144"/>
      <c r="D94" s="144"/>
      <c r="E94" s="144"/>
      <c r="F94" s="144"/>
      <c r="G94" s="144"/>
      <c r="H94" s="60"/>
      <c r="I94" s="3"/>
    </row>
    <row r="95" spans="1:9">
      <c r="A95" s="91"/>
      <c r="B95" s="139" t="s">
        <v>6</v>
      </c>
      <c r="C95" s="139"/>
      <c r="D95" s="139"/>
      <c r="E95" s="139"/>
      <c r="F95" s="139"/>
      <c r="G95" s="139"/>
      <c r="H95" s="25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45" t="s">
        <v>7</v>
      </c>
      <c r="B97" s="145"/>
      <c r="C97" s="145"/>
      <c r="D97" s="145"/>
      <c r="E97" s="145"/>
      <c r="F97" s="145"/>
      <c r="G97" s="145"/>
      <c r="H97" s="145"/>
      <c r="I97" s="145"/>
    </row>
    <row r="98" spans="1:9" ht="15.75" customHeight="1">
      <c r="A98" s="145" t="s">
        <v>8</v>
      </c>
      <c r="B98" s="145"/>
      <c r="C98" s="145"/>
      <c r="D98" s="145"/>
      <c r="E98" s="145"/>
      <c r="F98" s="145"/>
      <c r="G98" s="145"/>
      <c r="H98" s="145"/>
      <c r="I98" s="145"/>
    </row>
    <row r="99" spans="1:9" ht="15.75">
      <c r="A99" s="146" t="s">
        <v>62</v>
      </c>
      <c r="B99" s="146"/>
      <c r="C99" s="146"/>
      <c r="D99" s="146"/>
      <c r="E99" s="146"/>
      <c r="F99" s="146"/>
      <c r="G99" s="146"/>
      <c r="H99" s="146"/>
      <c r="I99" s="146"/>
    </row>
    <row r="100" spans="1:9" ht="15.75">
      <c r="A100" s="11"/>
    </row>
    <row r="101" spans="1:9" ht="15.75">
      <c r="A101" s="137" t="s">
        <v>9</v>
      </c>
      <c r="B101" s="137"/>
      <c r="C101" s="137"/>
      <c r="D101" s="137"/>
      <c r="E101" s="137"/>
      <c r="F101" s="137"/>
      <c r="G101" s="137"/>
      <c r="H101" s="137"/>
      <c r="I101" s="137"/>
    </row>
    <row r="102" spans="1:9" ht="15.75">
      <c r="A102" s="4"/>
    </row>
    <row r="103" spans="1:9" ht="15.75">
      <c r="B103" s="88" t="s">
        <v>10</v>
      </c>
      <c r="C103" s="138" t="s">
        <v>137</v>
      </c>
      <c r="D103" s="138"/>
      <c r="E103" s="138"/>
      <c r="F103" s="58"/>
      <c r="I103" s="90"/>
    </row>
    <row r="104" spans="1:9">
      <c r="A104" s="91"/>
      <c r="C104" s="139" t="s">
        <v>11</v>
      </c>
      <c r="D104" s="139"/>
      <c r="E104" s="139"/>
      <c r="F104" s="25"/>
      <c r="I104" s="89" t="s">
        <v>12</v>
      </c>
    </row>
    <row r="105" spans="1:9" ht="15.75">
      <c r="A105" s="26"/>
      <c r="C105" s="12"/>
      <c r="D105" s="12"/>
      <c r="G105" s="12"/>
      <c r="H105" s="12"/>
    </row>
    <row r="106" spans="1:9" ht="15.75" customHeight="1">
      <c r="B106" s="88" t="s">
        <v>13</v>
      </c>
      <c r="C106" s="140"/>
      <c r="D106" s="140"/>
      <c r="E106" s="140"/>
      <c r="F106" s="59"/>
      <c r="I106" s="90"/>
    </row>
    <row r="107" spans="1:9" ht="15.75" customHeight="1">
      <c r="A107" s="91"/>
      <c r="C107" s="141" t="s">
        <v>11</v>
      </c>
      <c r="D107" s="141"/>
      <c r="E107" s="141"/>
      <c r="F107" s="91"/>
      <c r="I107" s="89" t="s">
        <v>12</v>
      </c>
    </row>
    <row r="108" spans="1:9" ht="15.75" customHeight="1">
      <c r="A108" s="4" t="s">
        <v>14</v>
      </c>
    </row>
    <row r="109" spans="1:9">
      <c r="A109" s="142" t="s">
        <v>15</v>
      </c>
      <c r="B109" s="142"/>
      <c r="C109" s="142"/>
      <c r="D109" s="142"/>
      <c r="E109" s="142"/>
      <c r="F109" s="142"/>
      <c r="G109" s="142"/>
      <c r="H109" s="142"/>
      <c r="I109" s="142"/>
    </row>
    <row r="110" spans="1:9" ht="45" customHeight="1">
      <c r="A110" s="133" t="s">
        <v>16</v>
      </c>
      <c r="B110" s="133"/>
      <c r="C110" s="133"/>
      <c r="D110" s="133"/>
      <c r="E110" s="133"/>
      <c r="F110" s="133"/>
      <c r="G110" s="133"/>
      <c r="H110" s="133"/>
      <c r="I110" s="133"/>
    </row>
    <row r="111" spans="1:9" ht="30" customHeight="1">
      <c r="A111" s="133" t="s">
        <v>17</v>
      </c>
      <c r="B111" s="133"/>
      <c r="C111" s="133"/>
      <c r="D111" s="133"/>
      <c r="E111" s="133"/>
      <c r="F111" s="133"/>
      <c r="G111" s="133"/>
      <c r="H111" s="133"/>
      <c r="I111" s="133"/>
    </row>
    <row r="112" spans="1:9" ht="30" customHeight="1">
      <c r="A112" s="133" t="s">
        <v>21</v>
      </c>
      <c r="B112" s="133"/>
      <c r="C112" s="133"/>
      <c r="D112" s="133"/>
      <c r="E112" s="133"/>
      <c r="F112" s="133"/>
      <c r="G112" s="133"/>
      <c r="H112" s="133"/>
      <c r="I112" s="133"/>
    </row>
    <row r="113" spans="1:9" ht="15" customHeight="1">
      <c r="A113" s="133" t="s">
        <v>20</v>
      </c>
      <c r="B113" s="133"/>
      <c r="C113" s="133"/>
      <c r="D113" s="133"/>
      <c r="E113" s="133"/>
      <c r="F113" s="133"/>
      <c r="G113" s="133"/>
      <c r="H113" s="133"/>
      <c r="I113" s="133"/>
    </row>
  </sheetData>
  <autoFilter ref="I12:I55"/>
  <mergeCells count="29">
    <mergeCell ref="A14:I14"/>
    <mergeCell ref="A15:I15"/>
    <mergeCell ref="A28:I28"/>
    <mergeCell ref="A43:I43"/>
    <mergeCell ref="A54:I54"/>
    <mergeCell ref="A3:I3"/>
    <mergeCell ref="A4:I4"/>
    <mergeCell ref="A5:I5"/>
    <mergeCell ref="A8:I8"/>
    <mergeCell ref="A10:I10"/>
    <mergeCell ref="R60:U60"/>
    <mergeCell ref="C107:E107"/>
    <mergeCell ref="A85:I85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1:I81"/>
    <mergeCell ref="A109:I109"/>
    <mergeCell ref="A110:I110"/>
    <mergeCell ref="A111:I111"/>
    <mergeCell ref="A112:I112"/>
    <mergeCell ref="A113:I113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D39" sqref="D39:D4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162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51" t="s">
        <v>144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136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172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84">
        <v>43555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4" t="s">
        <v>163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5" t="s">
        <v>153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6" t="s">
        <v>60</v>
      </c>
      <c r="B14" s="156"/>
      <c r="C14" s="156"/>
      <c r="D14" s="156"/>
      <c r="E14" s="156"/>
      <c r="F14" s="156"/>
      <c r="G14" s="156"/>
      <c r="H14" s="156"/>
      <c r="I14" s="156"/>
      <c r="J14" s="8"/>
      <c r="K14" s="8"/>
      <c r="L14" s="8"/>
      <c r="M14" s="8"/>
    </row>
    <row r="15" spans="1:13" ht="1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0">
        <v>1</v>
      </c>
      <c r="B16" s="62" t="s">
        <v>83</v>
      </c>
      <c r="C16" s="63" t="s">
        <v>84</v>
      </c>
      <c r="D16" s="62" t="s">
        <v>195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26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116</v>
      </c>
      <c r="C17" s="63" t="s">
        <v>84</v>
      </c>
      <c r="D17" s="62" t="s">
        <v>196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117</v>
      </c>
      <c r="C18" s="63" t="s">
        <v>84</v>
      </c>
      <c r="D18" s="62" t="s">
        <v>197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/>
      <c r="B19" s="62" t="s">
        <v>91</v>
      </c>
      <c r="C19" s="63" t="s">
        <v>92</v>
      </c>
      <c r="D19" s="62" t="s">
        <v>93</v>
      </c>
      <c r="E19" s="64">
        <v>21.6</v>
      </c>
      <c r="F19" s="65">
        <f>SUM(E19/10)</f>
        <v>2.16</v>
      </c>
      <c r="G19" s="65">
        <v>211.74</v>
      </c>
      <c r="H19" s="66">
        <f t="shared" si="0"/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4</v>
      </c>
      <c r="B20" s="62" t="s">
        <v>94</v>
      </c>
      <c r="C20" s="63" t="s">
        <v>84</v>
      </c>
      <c r="D20" s="62" t="s">
        <v>43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0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95</v>
      </c>
      <c r="C21" s="63" t="s">
        <v>84</v>
      </c>
      <c r="D21" s="62" t="s">
        <v>43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0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/>
      <c r="B22" s="62" t="s">
        <v>96</v>
      </c>
      <c r="C22" s="63" t="s">
        <v>53</v>
      </c>
      <c r="D22" s="62" t="s">
        <v>93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0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/>
      <c r="B23" s="62" t="s">
        <v>97</v>
      </c>
      <c r="C23" s="63" t="s">
        <v>53</v>
      </c>
      <c r="D23" s="62" t="s">
        <v>93</v>
      </c>
      <c r="E23" s="67">
        <v>17.64</v>
      </c>
      <c r="F23" s="65">
        <f>SUM(E23/100)</f>
        <v>0.1764</v>
      </c>
      <c r="G23" s="65">
        <v>55.1</v>
      </c>
      <c r="H23" s="66">
        <f t="shared" si="0"/>
        <v>9.7196399999999999E-3</v>
      </c>
      <c r="I23" s="13">
        <f t="shared" ref="I23:I26" si="1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62" t="s">
        <v>98</v>
      </c>
      <c r="C24" s="63" t="s">
        <v>53</v>
      </c>
      <c r="D24" s="62" t="s">
        <v>99</v>
      </c>
      <c r="E24" s="64">
        <v>7.2</v>
      </c>
      <c r="F24" s="65">
        <f>E24/100</f>
        <v>7.2000000000000008E-2</v>
      </c>
      <c r="G24" s="65">
        <v>484.94</v>
      </c>
      <c r="H24" s="66">
        <f t="shared" si="0"/>
        <v>3.4915680000000004E-2</v>
      </c>
      <c r="I24" s="13">
        <f t="shared" si="1"/>
        <v>34.915680000000002</v>
      </c>
      <c r="J24" s="23"/>
      <c r="K24" s="8"/>
      <c r="L24" s="8"/>
      <c r="M24" s="8"/>
    </row>
    <row r="25" spans="1:13" ht="15.75" hidden="1" customHeight="1">
      <c r="A25" s="30"/>
      <c r="B25" s="62" t="s">
        <v>100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0"/>
        <v>2.5412939999999998E-2</v>
      </c>
      <c r="I25" s="13">
        <f t="shared" si="1"/>
        <v>25.412939999999999</v>
      </c>
      <c r="J25" s="23"/>
      <c r="K25" s="8"/>
      <c r="L25" s="8"/>
      <c r="M25" s="8"/>
    </row>
    <row r="26" spans="1:13" ht="15.75" hidden="1" customHeight="1">
      <c r="A26" s="30"/>
      <c r="B26" s="62" t="s">
        <v>101</v>
      </c>
      <c r="C26" s="63" t="s">
        <v>53</v>
      </c>
      <c r="D26" s="62" t="s">
        <v>93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0"/>
        <v>7.387740000000001E-2</v>
      </c>
      <c r="I26" s="13">
        <f t="shared" si="1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126" t="s">
        <v>194</v>
      </c>
      <c r="C27" s="127" t="s">
        <v>25</v>
      </c>
      <c r="D27" s="126" t="s">
        <v>198</v>
      </c>
      <c r="E27" s="128">
        <v>2.91</v>
      </c>
      <c r="F27" s="117">
        <f>E27*258</f>
        <v>750.78000000000009</v>
      </c>
      <c r="G27" s="117">
        <v>10.39</v>
      </c>
      <c r="H27" s="66">
        <f>SUM(F27*G27/1000)</f>
        <v>7.8006042000000013</v>
      </c>
      <c r="I27" s="13">
        <f>F27/12*G27</f>
        <v>650.05035000000009</v>
      </c>
      <c r="J27" s="23"/>
      <c r="K27" s="8"/>
    </row>
    <row r="28" spans="1:13" ht="15.75" hidden="1" customHeight="1">
      <c r="A28" s="30">
        <v>5</v>
      </c>
      <c r="B28" s="70" t="s">
        <v>23</v>
      </c>
      <c r="C28" s="63" t="s">
        <v>24</v>
      </c>
      <c r="D28" s="62"/>
      <c r="E28" s="64">
        <v>1536.4</v>
      </c>
      <c r="F28" s="65">
        <f>SUM(E28*12)</f>
        <v>18436.800000000003</v>
      </c>
      <c r="G28" s="65">
        <v>4.5599999999999996</v>
      </c>
      <c r="H28" s="66">
        <f>SUM(F28*G28/1000)</f>
        <v>84.071808000000004</v>
      </c>
      <c r="I28" s="13">
        <f>F28/12*G28</f>
        <v>7005.9840000000013</v>
      </c>
      <c r="J28" s="24"/>
    </row>
    <row r="29" spans="1:13" ht="15.75" customHeight="1">
      <c r="A29" s="148" t="s">
        <v>154</v>
      </c>
      <c r="B29" s="149"/>
      <c r="C29" s="149"/>
      <c r="D29" s="149"/>
      <c r="E29" s="149"/>
      <c r="F29" s="149"/>
      <c r="G29" s="149"/>
      <c r="H29" s="149"/>
      <c r="I29" s="150"/>
      <c r="J29" s="24"/>
    </row>
    <row r="30" spans="1:13" ht="15.75" hidden="1" customHeight="1">
      <c r="A30" s="30"/>
      <c r="B30" s="82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hidden="1" customHeight="1">
      <c r="A31" s="30">
        <v>8</v>
      </c>
      <c r="B31" s="62" t="s">
        <v>104</v>
      </c>
      <c r="C31" s="63" t="s">
        <v>87</v>
      </c>
      <c r="D31" s="62" t="s">
        <v>155</v>
      </c>
      <c r="E31" s="65">
        <v>61.5</v>
      </c>
      <c r="F31" s="65">
        <f>SUM(E31*52/1000)</f>
        <v>3.198</v>
      </c>
      <c r="G31" s="65">
        <v>193.97</v>
      </c>
      <c r="H31" s="66">
        <f t="shared" ref="H31:H36" si="2">SUM(F31*G31/1000)</f>
        <v>0.62031605999999995</v>
      </c>
      <c r="I31" s="13">
        <f t="shared" ref="I31:I32" si="3">F31/6*G31</f>
        <v>103.38601</v>
      </c>
      <c r="J31" s="23"/>
      <c r="K31" s="8"/>
      <c r="L31" s="8"/>
      <c r="M31" s="8"/>
    </row>
    <row r="32" spans="1:13" ht="31.5" hidden="1" customHeight="1">
      <c r="A32" s="30">
        <v>9</v>
      </c>
      <c r="B32" s="62" t="s">
        <v>103</v>
      </c>
      <c r="C32" s="63" t="s">
        <v>87</v>
      </c>
      <c r="D32" s="62" t="s">
        <v>156</v>
      </c>
      <c r="E32" s="65">
        <v>35.299999999999997</v>
      </c>
      <c r="F32" s="65">
        <f>SUM(E32*78/1000)</f>
        <v>2.7533999999999996</v>
      </c>
      <c r="G32" s="65">
        <v>321.82</v>
      </c>
      <c r="H32" s="66">
        <f t="shared" si="2"/>
        <v>0.88609918799999987</v>
      </c>
      <c r="I32" s="13">
        <f t="shared" si="3"/>
        <v>147.68319799999998</v>
      </c>
      <c r="J32" s="23"/>
      <c r="K32" s="8"/>
      <c r="L32" s="8"/>
      <c r="M32" s="8"/>
    </row>
    <row r="33" spans="1:14" ht="15.75" hidden="1" customHeight="1">
      <c r="A33" s="30"/>
      <c r="B33" s="62" t="s">
        <v>27</v>
      </c>
      <c r="C33" s="63" t="s">
        <v>87</v>
      </c>
      <c r="D33" s="62" t="s">
        <v>54</v>
      </c>
      <c r="E33" s="65">
        <v>61.5</v>
      </c>
      <c r="F33" s="65">
        <f>SUM(E33/1000)</f>
        <v>6.1499999999999999E-2</v>
      </c>
      <c r="G33" s="65">
        <v>3758.28</v>
      </c>
      <c r="H33" s="66">
        <f t="shared" si="2"/>
        <v>0.23113422</v>
      </c>
      <c r="I33" s="13">
        <f>F33*G33</f>
        <v>231.13422</v>
      </c>
      <c r="J33" s="23"/>
      <c r="K33" s="8"/>
      <c r="L33" s="8"/>
      <c r="M33" s="8"/>
    </row>
    <row r="34" spans="1:14" ht="15.75" hidden="1" customHeight="1">
      <c r="A34" s="30">
        <v>10</v>
      </c>
      <c r="B34" s="62" t="s">
        <v>102</v>
      </c>
      <c r="C34" s="63" t="s">
        <v>31</v>
      </c>
      <c r="D34" s="62" t="s">
        <v>64</v>
      </c>
      <c r="E34" s="69">
        <f>1/3</f>
        <v>0.33333333333333331</v>
      </c>
      <c r="F34" s="65">
        <f>155/3</f>
        <v>51.666666666666664</v>
      </c>
      <c r="G34" s="65">
        <v>70.540000000000006</v>
      </c>
      <c r="H34" s="66">
        <f t="shared" si="2"/>
        <v>3.6445666666666665</v>
      </c>
      <c r="I34" s="13">
        <f>F34/6*G34</f>
        <v>607.42777777777781</v>
      </c>
      <c r="J34" s="23"/>
      <c r="K34" s="8"/>
      <c r="L34" s="8"/>
      <c r="M34" s="8"/>
    </row>
    <row r="35" spans="1:14" ht="15.75" hidden="1" customHeight="1">
      <c r="A35" s="30"/>
      <c r="B35" s="62" t="s">
        <v>65</v>
      </c>
      <c r="C35" s="63" t="s">
        <v>33</v>
      </c>
      <c r="D35" s="62" t="s">
        <v>67</v>
      </c>
      <c r="E35" s="64"/>
      <c r="F35" s="65">
        <v>1</v>
      </c>
      <c r="G35" s="65">
        <v>238.07</v>
      </c>
      <c r="H35" s="66">
        <f t="shared" si="2"/>
        <v>0.23807</v>
      </c>
      <c r="I35" s="13">
        <v>0</v>
      </c>
      <c r="J35" s="24"/>
    </row>
    <row r="36" spans="1:14" ht="15.75" hidden="1" customHeight="1">
      <c r="A36" s="30"/>
      <c r="B36" s="62" t="s">
        <v>66</v>
      </c>
      <c r="C36" s="63" t="s">
        <v>32</v>
      </c>
      <c r="D36" s="62" t="s">
        <v>67</v>
      </c>
      <c r="E36" s="64"/>
      <c r="F36" s="65">
        <v>1</v>
      </c>
      <c r="G36" s="65">
        <v>1413.96</v>
      </c>
      <c r="H36" s="66">
        <f t="shared" si="2"/>
        <v>1.4139600000000001</v>
      </c>
      <c r="I36" s="13">
        <v>0</v>
      </c>
      <c r="J36" s="24"/>
    </row>
    <row r="37" spans="1:14" ht="15.75" customHeight="1">
      <c r="A37" s="30"/>
      <c r="B37" s="82" t="s">
        <v>5</v>
      </c>
      <c r="C37" s="63"/>
      <c r="D37" s="62"/>
      <c r="E37" s="64"/>
      <c r="F37" s="65"/>
      <c r="G37" s="65"/>
      <c r="H37" s="66" t="s">
        <v>118</v>
      </c>
      <c r="I37" s="13"/>
      <c r="J37" s="24"/>
      <c r="L37" s="19"/>
      <c r="M37" s="20"/>
      <c r="N37" s="21"/>
    </row>
    <row r="38" spans="1:14" ht="15.75" customHeight="1">
      <c r="A38" s="30">
        <v>5</v>
      </c>
      <c r="B38" s="62" t="s">
        <v>26</v>
      </c>
      <c r="C38" s="63" t="s">
        <v>32</v>
      </c>
      <c r="D38" s="62"/>
      <c r="E38" s="64"/>
      <c r="F38" s="65">
        <v>3</v>
      </c>
      <c r="G38" s="65">
        <v>1900.37</v>
      </c>
      <c r="H38" s="66">
        <f t="shared" ref="H38:H43" si="4">SUM(F38*G38/1000)</f>
        <v>5.7011099999999999</v>
      </c>
      <c r="I38" s="13">
        <f>G38*0.5</f>
        <v>950.18499999999995</v>
      </c>
      <c r="J38" s="24"/>
      <c r="L38" s="19"/>
      <c r="M38" s="20"/>
      <c r="N38" s="21"/>
    </row>
    <row r="39" spans="1:14" ht="31.5" customHeight="1">
      <c r="A39" s="30">
        <v>6</v>
      </c>
      <c r="B39" s="62" t="s">
        <v>119</v>
      </c>
      <c r="C39" s="63" t="s">
        <v>29</v>
      </c>
      <c r="D39" s="62" t="s">
        <v>199</v>
      </c>
      <c r="E39" s="64">
        <v>35.299999999999997</v>
      </c>
      <c r="F39" s="65">
        <f>E39*30/1000</f>
        <v>1.0589999999999999</v>
      </c>
      <c r="G39" s="65">
        <v>2616.4899999999998</v>
      </c>
      <c r="H39" s="66">
        <f t="shared" si="4"/>
        <v>2.77086291</v>
      </c>
      <c r="I39" s="13">
        <f t="shared" ref="I39:I41" si="5">F39/6*G39</f>
        <v>461.81048499999991</v>
      </c>
      <c r="J39" s="24"/>
      <c r="L39" s="19"/>
      <c r="M39" s="20"/>
      <c r="N39" s="21"/>
    </row>
    <row r="40" spans="1:14" ht="15.75" customHeight="1">
      <c r="A40" s="30">
        <v>7</v>
      </c>
      <c r="B40" s="62" t="s">
        <v>120</v>
      </c>
      <c r="C40" s="63" t="s">
        <v>29</v>
      </c>
      <c r="D40" s="62" t="s">
        <v>200</v>
      </c>
      <c r="E40" s="64">
        <v>35.299999999999997</v>
      </c>
      <c r="F40" s="65">
        <f>SUM(E40*155/1000)</f>
        <v>5.4714999999999998</v>
      </c>
      <c r="G40" s="65">
        <v>436.45</v>
      </c>
      <c r="H40" s="66">
        <f t="shared" si="4"/>
        <v>2.3880361749999999</v>
      </c>
      <c r="I40" s="13">
        <f t="shared" si="5"/>
        <v>398.00602916666662</v>
      </c>
      <c r="J40" s="24"/>
      <c r="L40" s="19"/>
      <c r="M40" s="20"/>
      <c r="N40" s="21"/>
    </row>
    <row r="41" spans="1:14" ht="47.25" customHeight="1">
      <c r="A41" s="30">
        <v>8</v>
      </c>
      <c r="B41" s="62" t="s">
        <v>121</v>
      </c>
      <c r="C41" s="63" t="s">
        <v>87</v>
      </c>
      <c r="D41" s="62" t="s">
        <v>201</v>
      </c>
      <c r="E41" s="64">
        <v>35.299999999999997</v>
      </c>
      <c r="F41" s="65">
        <f>SUM(E41*24/1000)</f>
        <v>0.84719999999999995</v>
      </c>
      <c r="G41" s="65">
        <v>7221.21</v>
      </c>
      <c r="H41" s="66">
        <f t="shared" si="4"/>
        <v>6.1178091119999998</v>
      </c>
      <c r="I41" s="13">
        <f t="shared" si="5"/>
        <v>1019.6348519999999</v>
      </c>
      <c r="J41" s="24"/>
      <c r="L41" s="19"/>
      <c r="M41" s="20"/>
      <c r="N41" s="21"/>
    </row>
    <row r="42" spans="1:14" ht="15.75" customHeight="1">
      <c r="A42" s="30">
        <v>9</v>
      </c>
      <c r="B42" s="62" t="s">
        <v>123</v>
      </c>
      <c r="C42" s="63" t="s">
        <v>87</v>
      </c>
      <c r="D42" s="62" t="s">
        <v>202</v>
      </c>
      <c r="E42" s="64">
        <v>35.299999999999997</v>
      </c>
      <c r="F42" s="65">
        <f>SUM(E42*45/1000)</f>
        <v>1.5884999999999998</v>
      </c>
      <c r="G42" s="65">
        <v>533.45000000000005</v>
      </c>
      <c r="H42" s="66">
        <f t="shared" si="4"/>
        <v>0.84738532499999997</v>
      </c>
      <c r="I42" s="13">
        <f>(F42/7.5*1.5)*G42</f>
        <v>169.47706499999998</v>
      </c>
      <c r="J42" s="24"/>
      <c r="L42" s="19"/>
      <c r="M42" s="20"/>
      <c r="N42" s="21"/>
    </row>
    <row r="43" spans="1:14" ht="15.75" customHeight="1">
      <c r="A43" s="30">
        <v>10</v>
      </c>
      <c r="B43" s="62" t="s">
        <v>69</v>
      </c>
      <c r="C43" s="63" t="s">
        <v>33</v>
      </c>
      <c r="D43" s="62"/>
      <c r="E43" s="64"/>
      <c r="F43" s="65">
        <v>0.3</v>
      </c>
      <c r="G43" s="65">
        <v>992.97</v>
      </c>
      <c r="H43" s="66">
        <f t="shared" si="4"/>
        <v>0.29789100000000002</v>
      </c>
      <c r="I43" s="13">
        <f>(F43/7.5*1.5)*G43</f>
        <v>59.578200000000002</v>
      </c>
      <c r="J43" s="24"/>
      <c r="L43" s="19"/>
      <c r="M43" s="20"/>
      <c r="N43" s="21"/>
    </row>
    <row r="44" spans="1:14" ht="15.75" hidden="1" customHeight="1">
      <c r="A44" s="148" t="s">
        <v>139</v>
      </c>
      <c r="B44" s="149"/>
      <c r="C44" s="149"/>
      <c r="D44" s="149"/>
      <c r="E44" s="149"/>
      <c r="F44" s="149"/>
      <c r="G44" s="149"/>
      <c r="H44" s="149"/>
      <c r="I44" s="150"/>
      <c r="J44" s="24"/>
      <c r="L44" s="19"/>
      <c r="M44" s="20"/>
      <c r="N44" s="21"/>
    </row>
    <row r="45" spans="1:14" ht="15.75" hidden="1" customHeight="1">
      <c r="A45" s="30">
        <v>11</v>
      </c>
      <c r="B45" s="62" t="s">
        <v>105</v>
      </c>
      <c r="C45" s="63" t="s">
        <v>87</v>
      </c>
      <c r="D45" s="62" t="s">
        <v>43</v>
      </c>
      <c r="E45" s="64">
        <v>907.4</v>
      </c>
      <c r="F45" s="65">
        <f>SUM(E45*2/1000)</f>
        <v>1.8148</v>
      </c>
      <c r="G45" s="13">
        <v>1283.46</v>
      </c>
      <c r="H45" s="66">
        <f t="shared" ref="H45:H54" si="6">SUM(F45*G45/1000)</f>
        <v>2.3292232079999997</v>
      </c>
      <c r="I45" s="13">
        <f>F45/2*G45</f>
        <v>1164.6116039999999</v>
      </c>
      <c r="J45" s="24"/>
      <c r="L45" s="19"/>
      <c r="M45" s="20"/>
      <c r="N45" s="21"/>
    </row>
    <row r="46" spans="1:14" ht="15.75" hidden="1" customHeight="1">
      <c r="A46" s="30">
        <v>12</v>
      </c>
      <c r="B46" s="62" t="s">
        <v>36</v>
      </c>
      <c r="C46" s="63" t="s">
        <v>87</v>
      </c>
      <c r="D46" s="62" t="s">
        <v>43</v>
      </c>
      <c r="E46" s="64">
        <v>27</v>
      </c>
      <c r="F46" s="65">
        <f>SUM(E46*2/1000)</f>
        <v>5.3999999999999999E-2</v>
      </c>
      <c r="G46" s="13">
        <v>4192.6400000000003</v>
      </c>
      <c r="H46" s="66">
        <f t="shared" si="6"/>
        <v>0.22640256000000003</v>
      </c>
      <c r="I46" s="13">
        <f t="shared" ref="I46:I53" si="7">F46/2*G46</f>
        <v>113.20128000000001</v>
      </c>
      <c r="J46" s="24"/>
      <c r="L46" s="19"/>
      <c r="M46" s="20"/>
      <c r="N46" s="21"/>
    </row>
    <row r="47" spans="1:14" ht="15.75" hidden="1" customHeight="1">
      <c r="A47" s="30">
        <v>13</v>
      </c>
      <c r="B47" s="62" t="s">
        <v>37</v>
      </c>
      <c r="C47" s="63" t="s">
        <v>87</v>
      </c>
      <c r="D47" s="62" t="s">
        <v>43</v>
      </c>
      <c r="E47" s="64">
        <v>772</v>
      </c>
      <c r="F47" s="65">
        <f>SUM(E47*2/1000)</f>
        <v>1.544</v>
      </c>
      <c r="G47" s="13">
        <v>1711.28</v>
      </c>
      <c r="H47" s="66">
        <f t="shared" si="6"/>
        <v>2.6422163200000002</v>
      </c>
      <c r="I47" s="13">
        <f t="shared" si="7"/>
        <v>1321.10816</v>
      </c>
      <c r="J47" s="24"/>
      <c r="L47" s="19"/>
      <c r="M47" s="20"/>
      <c r="N47" s="21"/>
    </row>
    <row r="48" spans="1:14" ht="15.75" hidden="1" customHeight="1">
      <c r="A48" s="30">
        <v>14</v>
      </c>
      <c r="B48" s="62" t="s">
        <v>38</v>
      </c>
      <c r="C48" s="63" t="s">
        <v>87</v>
      </c>
      <c r="D48" s="62" t="s">
        <v>43</v>
      </c>
      <c r="E48" s="64">
        <v>959.4</v>
      </c>
      <c r="F48" s="65">
        <f>SUM(E48*2/1000)</f>
        <v>1.9188000000000001</v>
      </c>
      <c r="G48" s="13">
        <v>1179.73</v>
      </c>
      <c r="H48" s="66">
        <f t="shared" si="6"/>
        <v>2.2636659240000001</v>
      </c>
      <c r="I48" s="13">
        <f t="shared" si="7"/>
        <v>1131.832962</v>
      </c>
      <c r="J48" s="24"/>
      <c r="L48" s="19"/>
      <c r="M48" s="20"/>
      <c r="N48" s="21"/>
    </row>
    <row r="49" spans="1:22" ht="15.75" hidden="1" customHeight="1">
      <c r="A49" s="30">
        <v>15</v>
      </c>
      <c r="B49" s="62" t="s">
        <v>34</v>
      </c>
      <c r="C49" s="63" t="s">
        <v>35</v>
      </c>
      <c r="D49" s="62" t="s">
        <v>43</v>
      </c>
      <c r="E49" s="64">
        <v>66.02</v>
      </c>
      <c r="F49" s="65">
        <f>SUM(E49*2/100)</f>
        <v>1.3204</v>
      </c>
      <c r="G49" s="13">
        <v>90.61</v>
      </c>
      <c r="H49" s="66">
        <f t="shared" si="6"/>
        <v>0.11964144400000001</v>
      </c>
      <c r="I49" s="13">
        <f t="shared" si="7"/>
        <v>59.820722000000004</v>
      </c>
      <c r="J49" s="24"/>
      <c r="L49" s="19"/>
      <c r="M49" s="20"/>
      <c r="N49" s="21"/>
    </row>
    <row r="50" spans="1:22" ht="15.75" hidden="1" customHeight="1">
      <c r="A50" s="30">
        <v>12</v>
      </c>
      <c r="B50" s="62" t="s">
        <v>57</v>
      </c>
      <c r="C50" s="63" t="s">
        <v>87</v>
      </c>
      <c r="D50" s="62" t="s">
        <v>138</v>
      </c>
      <c r="E50" s="64">
        <v>1536.4</v>
      </c>
      <c r="F50" s="65">
        <f>SUM(E50*5/1000)</f>
        <v>7.6820000000000004</v>
      </c>
      <c r="G50" s="13">
        <v>1711.28</v>
      </c>
      <c r="H50" s="66">
        <f t="shared" si="6"/>
        <v>13.14605296</v>
      </c>
      <c r="I50" s="13">
        <f>F50/5*G50</f>
        <v>2629.2105919999999</v>
      </c>
      <c r="J50" s="24"/>
      <c r="L50" s="19"/>
      <c r="M50" s="20"/>
      <c r="N50" s="21"/>
    </row>
    <row r="51" spans="1:22" ht="32.25" hidden="1" customHeight="1">
      <c r="A51" s="30"/>
      <c r="B51" s="62" t="s">
        <v>88</v>
      </c>
      <c r="C51" s="63" t="s">
        <v>87</v>
      </c>
      <c r="D51" s="62" t="s">
        <v>43</v>
      </c>
      <c r="E51" s="64">
        <v>1536.4</v>
      </c>
      <c r="F51" s="65">
        <f>SUM(E51*2/1000)</f>
        <v>3.0728</v>
      </c>
      <c r="G51" s="13">
        <v>1510.06</v>
      </c>
      <c r="H51" s="66">
        <f t="shared" si="6"/>
        <v>4.6401123680000005</v>
      </c>
      <c r="I51" s="13">
        <f t="shared" si="7"/>
        <v>2320.056184</v>
      </c>
      <c r="J51" s="24"/>
      <c r="L51" s="19"/>
      <c r="M51" s="20"/>
      <c r="N51" s="21"/>
    </row>
    <row r="52" spans="1:22" ht="32.25" hidden="1" customHeight="1">
      <c r="A52" s="30"/>
      <c r="B52" s="62" t="s">
        <v>89</v>
      </c>
      <c r="C52" s="63" t="s">
        <v>39</v>
      </c>
      <c r="D52" s="62" t="s">
        <v>43</v>
      </c>
      <c r="E52" s="64">
        <v>9</v>
      </c>
      <c r="F52" s="65">
        <f>SUM(E52*2/100)</f>
        <v>0.18</v>
      </c>
      <c r="G52" s="13">
        <v>3850.4</v>
      </c>
      <c r="H52" s="66">
        <f t="shared" si="6"/>
        <v>0.69307200000000002</v>
      </c>
      <c r="I52" s="13">
        <f t="shared" si="7"/>
        <v>346.536</v>
      </c>
      <c r="J52" s="24"/>
      <c r="L52" s="19"/>
      <c r="M52" s="20"/>
      <c r="N52" s="21"/>
    </row>
    <row r="53" spans="1:22" ht="15.75" hidden="1" customHeight="1">
      <c r="A53" s="30"/>
      <c r="B53" s="62" t="s">
        <v>40</v>
      </c>
      <c r="C53" s="63" t="s">
        <v>41</v>
      </c>
      <c r="D53" s="62" t="s">
        <v>43</v>
      </c>
      <c r="E53" s="64">
        <v>1</v>
      </c>
      <c r="F53" s="65">
        <v>0.02</v>
      </c>
      <c r="G53" s="13">
        <v>7033.13</v>
      </c>
      <c r="H53" s="66">
        <f t="shared" si="6"/>
        <v>0.1406626</v>
      </c>
      <c r="I53" s="13">
        <f t="shared" si="7"/>
        <v>70.331299999999999</v>
      </c>
      <c r="J53" s="24"/>
      <c r="L53" s="19"/>
      <c r="M53" s="20"/>
      <c r="N53" s="21"/>
    </row>
    <row r="54" spans="1:22" ht="15.75" hidden="1" customHeight="1">
      <c r="A54" s="30">
        <v>13</v>
      </c>
      <c r="B54" s="62" t="s">
        <v>42</v>
      </c>
      <c r="C54" s="63" t="s">
        <v>106</v>
      </c>
      <c r="D54" s="62" t="s">
        <v>70</v>
      </c>
      <c r="E54" s="64">
        <v>53</v>
      </c>
      <c r="F54" s="65">
        <f>53*3</f>
        <v>159</v>
      </c>
      <c r="G54" s="13">
        <v>81.73</v>
      </c>
      <c r="H54" s="66">
        <f t="shared" si="6"/>
        <v>12.995070000000002</v>
      </c>
      <c r="I54" s="13">
        <f>F54/3*G54</f>
        <v>4331.6900000000005</v>
      </c>
      <c r="J54" s="24"/>
      <c r="L54" s="19"/>
    </row>
    <row r="55" spans="1:22" ht="15.75" customHeight="1">
      <c r="A55" s="148" t="s">
        <v>145</v>
      </c>
      <c r="B55" s="149"/>
      <c r="C55" s="149"/>
      <c r="D55" s="149"/>
      <c r="E55" s="149"/>
      <c r="F55" s="149"/>
      <c r="G55" s="149"/>
      <c r="H55" s="149"/>
      <c r="I55" s="150"/>
    </row>
    <row r="56" spans="1:22" ht="17.25" customHeight="1">
      <c r="A56" s="30"/>
      <c r="B56" s="82" t="s">
        <v>44</v>
      </c>
      <c r="C56" s="63"/>
      <c r="D56" s="62"/>
      <c r="E56" s="64"/>
      <c r="F56" s="65"/>
      <c r="G56" s="65"/>
      <c r="H56" s="66"/>
      <c r="I56" s="13"/>
    </row>
    <row r="57" spans="1:22" ht="33" customHeight="1">
      <c r="A57" s="30">
        <v>11</v>
      </c>
      <c r="B57" s="62" t="s">
        <v>107</v>
      </c>
      <c r="C57" s="63" t="s">
        <v>84</v>
      </c>
      <c r="D57" s="62"/>
      <c r="E57" s="64">
        <v>11.5</v>
      </c>
      <c r="F57" s="65">
        <f>SUM(E57*6/100)</f>
        <v>0.69</v>
      </c>
      <c r="G57" s="13">
        <v>2306.62</v>
      </c>
      <c r="H57" s="66">
        <f>SUM(F57*G57/1000)</f>
        <v>1.5915677999999998</v>
      </c>
      <c r="I57" s="13">
        <f>G57*0.12</f>
        <v>276.7944</v>
      </c>
    </row>
    <row r="58" spans="1:22" ht="21" hidden="1" customHeight="1">
      <c r="A58" s="30"/>
      <c r="B58" s="62" t="s">
        <v>124</v>
      </c>
      <c r="C58" s="63" t="s">
        <v>125</v>
      </c>
      <c r="D58" s="62" t="s">
        <v>67</v>
      </c>
      <c r="E58" s="64"/>
      <c r="F58" s="65">
        <v>2</v>
      </c>
      <c r="G58" s="85">
        <v>1501</v>
      </c>
      <c r="H58" s="66">
        <f>SUM(F58*G58/1000)</f>
        <v>3.0019999999999998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0"/>
      <c r="B59" s="82" t="s">
        <v>45</v>
      </c>
      <c r="C59" s="63"/>
      <c r="D59" s="62"/>
      <c r="E59" s="64"/>
      <c r="F59" s="65"/>
      <c r="G59" s="86"/>
      <c r="H59" s="66"/>
      <c r="I59" s="13"/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/>
      <c r="B60" s="62" t="s">
        <v>109</v>
      </c>
      <c r="C60" s="63" t="s">
        <v>84</v>
      </c>
      <c r="D60" s="62" t="s">
        <v>54</v>
      </c>
      <c r="E60" s="64">
        <v>148</v>
      </c>
      <c r="F60" s="66">
        <f>E60/100</f>
        <v>1.48</v>
      </c>
      <c r="G60" s="13">
        <v>987.51</v>
      </c>
      <c r="H60" s="71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0">
        <v>12</v>
      </c>
      <c r="B61" s="73" t="s">
        <v>135</v>
      </c>
      <c r="C61" s="72" t="s">
        <v>25</v>
      </c>
      <c r="D61" s="114" t="s">
        <v>176</v>
      </c>
      <c r="E61" s="116">
        <v>110</v>
      </c>
      <c r="F61" s="117">
        <f>E61*12</f>
        <v>1320</v>
      </c>
      <c r="G61" s="118">
        <v>1.4</v>
      </c>
      <c r="H61" s="71">
        <f>F61*G61/1000</f>
        <v>1.8479999999999999</v>
      </c>
      <c r="I61" s="13">
        <f>F61/12*G61</f>
        <v>154</v>
      </c>
      <c r="J61" s="5"/>
      <c r="K61" s="5"/>
      <c r="L61" s="5"/>
      <c r="M61" s="5"/>
      <c r="N61" s="5"/>
      <c r="O61" s="5"/>
      <c r="P61" s="5"/>
      <c r="Q61" s="5"/>
      <c r="R61" s="141"/>
      <c r="S61" s="141"/>
      <c r="T61" s="141"/>
      <c r="U61" s="141"/>
    </row>
    <row r="62" spans="1:22" ht="15.75" customHeight="1">
      <c r="A62" s="30"/>
      <c r="B62" s="83" t="s">
        <v>46</v>
      </c>
      <c r="C62" s="72"/>
      <c r="D62" s="73"/>
      <c r="E62" s="74"/>
      <c r="F62" s="75"/>
      <c r="G62" s="75"/>
      <c r="H62" s="76" t="s">
        <v>118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30">
        <v>16</v>
      </c>
      <c r="B63" s="14" t="s">
        <v>47</v>
      </c>
      <c r="C63" s="16" t="s">
        <v>106</v>
      </c>
      <c r="D63" s="14" t="s">
        <v>67</v>
      </c>
      <c r="E63" s="18">
        <v>2</v>
      </c>
      <c r="F63" s="65">
        <f>E63</f>
        <v>2</v>
      </c>
      <c r="G63" s="13">
        <v>276.74</v>
      </c>
      <c r="H63" s="61">
        <f t="shared" ref="H63:H79" si="8">SUM(F63*G63/1000)</f>
        <v>0.55347999999999997</v>
      </c>
      <c r="I63" s="13">
        <f>G63</f>
        <v>276.74</v>
      </c>
    </row>
    <row r="64" spans="1:22" ht="15.75" hidden="1" customHeight="1">
      <c r="A64" s="30"/>
      <c r="B64" s="14" t="s">
        <v>48</v>
      </c>
      <c r="C64" s="16" t="s">
        <v>106</v>
      </c>
      <c r="D64" s="14" t="s">
        <v>67</v>
      </c>
      <c r="E64" s="18">
        <v>1</v>
      </c>
      <c r="F64" s="65">
        <f>E64</f>
        <v>1</v>
      </c>
      <c r="G64" s="13">
        <v>94.89</v>
      </c>
      <c r="H64" s="61">
        <f t="shared" si="8"/>
        <v>9.4890000000000002E-2</v>
      </c>
      <c r="I64" s="13">
        <v>0</v>
      </c>
    </row>
    <row r="65" spans="1:9" ht="15.75" hidden="1" customHeight="1">
      <c r="A65" s="30"/>
      <c r="B65" s="14" t="s">
        <v>49</v>
      </c>
      <c r="C65" s="16" t="s">
        <v>110</v>
      </c>
      <c r="D65" s="14" t="s">
        <v>54</v>
      </c>
      <c r="E65" s="64">
        <v>6307</v>
      </c>
      <c r="F65" s="13">
        <f>SUM(E65/100)</f>
        <v>63.07</v>
      </c>
      <c r="G65" s="13">
        <v>263.99</v>
      </c>
      <c r="H65" s="61">
        <f t="shared" si="8"/>
        <v>16.649849300000003</v>
      </c>
      <c r="I65" s="13">
        <v>0</v>
      </c>
    </row>
    <row r="66" spans="1:9" ht="15.75" hidden="1" customHeight="1">
      <c r="A66" s="30"/>
      <c r="B66" s="14" t="s">
        <v>50</v>
      </c>
      <c r="C66" s="16" t="s">
        <v>111</v>
      </c>
      <c r="D66" s="14"/>
      <c r="E66" s="64">
        <v>6307</v>
      </c>
      <c r="F66" s="13">
        <f>SUM(E66/1000)</f>
        <v>6.3070000000000004</v>
      </c>
      <c r="G66" s="13">
        <v>205.57</v>
      </c>
      <c r="H66" s="61">
        <f t="shared" si="8"/>
        <v>1.29652999</v>
      </c>
      <c r="I66" s="13">
        <v>0</v>
      </c>
    </row>
    <row r="67" spans="1:9" ht="15.75" hidden="1" customHeight="1">
      <c r="A67" s="30"/>
      <c r="B67" s="14" t="s">
        <v>51</v>
      </c>
      <c r="C67" s="16" t="s">
        <v>76</v>
      </c>
      <c r="D67" s="14" t="s">
        <v>54</v>
      </c>
      <c r="E67" s="64">
        <v>1003</v>
      </c>
      <c r="F67" s="13">
        <f>SUM(E67/100)</f>
        <v>10.029999999999999</v>
      </c>
      <c r="G67" s="13">
        <v>2581.5300000000002</v>
      </c>
      <c r="H67" s="61">
        <f t="shared" si="8"/>
        <v>25.892745900000001</v>
      </c>
      <c r="I67" s="13">
        <v>0</v>
      </c>
    </row>
    <row r="68" spans="1:9" ht="15.75" hidden="1" customHeight="1">
      <c r="A68" s="30"/>
      <c r="B68" s="77" t="s">
        <v>112</v>
      </c>
      <c r="C68" s="16" t="s">
        <v>33</v>
      </c>
      <c r="D68" s="14"/>
      <c r="E68" s="64">
        <v>6.6</v>
      </c>
      <c r="F68" s="13">
        <f>SUM(E68)</f>
        <v>6.6</v>
      </c>
      <c r="G68" s="13">
        <v>47.75</v>
      </c>
      <c r="H68" s="61">
        <f t="shared" si="8"/>
        <v>0.31514999999999999</v>
      </c>
      <c r="I68" s="13">
        <v>0</v>
      </c>
    </row>
    <row r="69" spans="1:9" ht="15.75" hidden="1" customHeight="1">
      <c r="A69" s="30"/>
      <c r="B69" s="77" t="s">
        <v>113</v>
      </c>
      <c r="C69" s="16" t="s">
        <v>33</v>
      </c>
      <c r="D69" s="14"/>
      <c r="E69" s="64">
        <v>6.6</v>
      </c>
      <c r="F69" s="13">
        <f>SUM(E69)</f>
        <v>6.6</v>
      </c>
      <c r="G69" s="13">
        <v>44.27</v>
      </c>
      <c r="H69" s="61">
        <f t="shared" si="8"/>
        <v>0.292182</v>
      </c>
      <c r="I69" s="13">
        <v>0</v>
      </c>
    </row>
    <row r="70" spans="1:9" ht="15.75" hidden="1" customHeight="1">
      <c r="A70" s="30">
        <v>19</v>
      </c>
      <c r="B70" s="14" t="s">
        <v>58</v>
      </c>
      <c r="C70" s="16" t="s">
        <v>59</v>
      </c>
      <c r="D70" s="14" t="s">
        <v>54</v>
      </c>
      <c r="E70" s="18">
        <v>3</v>
      </c>
      <c r="F70" s="65">
        <v>3</v>
      </c>
      <c r="G70" s="13">
        <v>62.07</v>
      </c>
      <c r="H70" s="61">
        <f t="shared" si="8"/>
        <v>0.18621000000000001</v>
      </c>
      <c r="I70" s="13">
        <f>F70*G70</f>
        <v>186.21</v>
      </c>
    </row>
    <row r="71" spans="1:9" ht="15.75" customHeight="1">
      <c r="A71" s="30">
        <v>13</v>
      </c>
      <c r="B71" s="14" t="s">
        <v>126</v>
      </c>
      <c r="C71" s="30" t="s">
        <v>127</v>
      </c>
      <c r="D71" s="14"/>
      <c r="E71" s="18">
        <v>1536.4</v>
      </c>
      <c r="F71" s="56">
        <f>E71*12</f>
        <v>18436.800000000003</v>
      </c>
      <c r="G71" s="13">
        <v>2.16</v>
      </c>
      <c r="H71" s="61">
        <f t="shared" si="8"/>
        <v>39.823488000000012</v>
      </c>
      <c r="I71" s="13">
        <f>F71/12*G71</f>
        <v>3318.6240000000007</v>
      </c>
    </row>
    <row r="72" spans="1:9" ht="15.75" customHeight="1">
      <c r="A72" s="30"/>
      <c r="B72" s="93" t="s">
        <v>71</v>
      </c>
      <c r="C72" s="16"/>
      <c r="D72" s="14"/>
      <c r="E72" s="18"/>
      <c r="F72" s="13"/>
      <c r="G72" s="13"/>
      <c r="H72" s="61" t="s">
        <v>118</v>
      </c>
      <c r="I72" s="13"/>
    </row>
    <row r="73" spans="1:9" ht="15.75" hidden="1" customHeight="1">
      <c r="A73" s="30"/>
      <c r="B73" s="14" t="s">
        <v>129</v>
      </c>
      <c r="C73" s="16" t="s">
        <v>130</v>
      </c>
      <c r="D73" s="14" t="s">
        <v>67</v>
      </c>
      <c r="E73" s="18">
        <v>1</v>
      </c>
      <c r="F73" s="13">
        <f>E73</f>
        <v>1</v>
      </c>
      <c r="G73" s="13">
        <v>976.4</v>
      </c>
      <c r="H73" s="61">
        <f t="shared" ref="H73:H74" si="9">SUM(F73*G73/1000)</f>
        <v>0.97639999999999993</v>
      </c>
      <c r="I73" s="13">
        <v>0</v>
      </c>
    </row>
    <row r="74" spans="1:9" ht="15.75" hidden="1" customHeight="1">
      <c r="A74" s="30"/>
      <c r="B74" s="14" t="s">
        <v>131</v>
      </c>
      <c r="C74" s="16" t="s">
        <v>132</v>
      </c>
      <c r="D74" s="14"/>
      <c r="E74" s="18">
        <v>1</v>
      </c>
      <c r="F74" s="13">
        <v>1</v>
      </c>
      <c r="G74" s="13">
        <v>650</v>
      </c>
      <c r="H74" s="61">
        <f t="shared" si="9"/>
        <v>0.65</v>
      </c>
      <c r="I74" s="13">
        <v>0</v>
      </c>
    </row>
    <row r="75" spans="1:9" ht="15.75" hidden="1" customHeight="1">
      <c r="A75" s="30"/>
      <c r="B75" s="14" t="s">
        <v>72</v>
      </c>
      <c r="C75" s="16" t="s">
        <v>74</v>
      </c>
      <c r="D75" s="14"/>
      <c r="E75" s="18">
        <v>3</v>
      </c>
      <c r="F75" s="13">
        <v>0.3</v>
      </c>
      <c r="G75" s="13">
        <v>624.16999999999996</v>
      </c>
      <c r="H75" s="61">
        <f t="shared" si="8"/>
        <v>0.18725099999999997</v>
      </c>
      <c r="I75" s="13">
        <v>0</v>
      </c>
    </row>
    <row r="76" spans="1:9" ht="15.75" hidden="1" customHeight="1">
      <c r="A76" s="30"/>
      <c r="B76" s="14" t="s">
        <v>73</v>
      </c>
      <c r="C76" s="16" t="s">
        <v>31</v>
      </c>
      <c r="D76" s="14"/>
      <c r="E76" s="18">
        <v>1</v>
      </c>
      <c r="F76" s="56">
        <v>1</v>
      </c>
      <c r="G76" s="13">
        <v>1061.4100000000001</v>
      </c>
      <c r="H76" s="61">
        <f>F76*G76/1000</f>
        <v>1.0614100000000002</v>
      </c>
      <c r="I76" s="13">
        <v>0</v>
      </c>
    </row>
    <row r="77" spans="1:9" ht="15.75" customHeight="1">
      <c r="A77" s="30">
        <v>14</v>
      </c>
      <c r="B77" s="46" t="s">
        <v>133</v>
      </c>
      <c r="C77" s="47" t="s">
        <v>106</v>
      </c>
      <c r="D77" s="14" t="s">
        <v>203</v>
      </c>
      <c r="E77" s="18">
        <v>1</v>
      </c>
      <c r="F77" s="13">
        <f>E77*12</f>
        <v>12</v>
      </c>
      <c r="G77" s="13">
        <v>50.69</v>
      </c>
      <c r="H77" s="61">
        <f>G77*F77/1000</f>
        <v>0.60827999999999993</v>
      </c>
      <c r="I77" s="13">
        <f>G77</f>
        <v>50.69</v>
      </c>
    </row>
    <row r="78" spans="1:9" ht="15.75" hidden="1" customHeight="1">
      <c r="A78" s="30"/>
      <c r="B78" s="79" t="s">
        <v>75</v>
      </c>
      <c r="C78" s="16"/>
      <c r="D78" s="14"/>
      <c r="E78" s="18"/>
      <c r="F78" s="13"/>
      <c r="G78" s="13" t="s">
        <v>118</v>
      </c>
      <c r="H78" s="61" t="s">
        <v>118</v>
      </c>
      <c r="I78" s="13" t="str">
        <f>G78</f>
        <v xml:space="preserve"> </v>
      </c>
    </row>
    <row r="79" spans="1:9" ht="15.75" hidden="1" customHeight="1">
      <c r="A79" s="30"/>
      <c r="B79" s="43" t="s">
        <v>134</v>
      </c>
      <c r="C79" s="16" t="s">
        <v>76</v>
      </c>
      <c r="D79" s="14"/>
      <c r="E79" s="18"/>
      <c r="F79" s="13">
        <v>0.1</v>
      </c>
      <c r="G79" s="13">
        <v>3433.69</v>
      </c>
      <c r="H79" s="61">
        <f t="shared" si="8"/>
        <v>0.34336900000000004</v>
      </c>
      <c r="I79" s="13">
        <v>0</v>
      </c>
    </row>
    <row r="80" spans="1:9" ht="15.75" hidden="1" customHeight="1">
      <c r="A80" s="30"/>
      <c r="B80" s="55" t="s">
        <v>90</v>
      </c>
      <c r="C80" s="79"/>
      <c r="D80" s="31"/>
      <c r="E80" s="32"/>
      <c r="F80" s="68"/>
      <c r="G80" s="68"/>
      <c r="H80" s="80">
        <f>SUM(H57:H79)</f>
        <v>96.834317790000014</v>
      </c>
      <c r="I80" s="13"/>
    </row>
    <row r="81" spans="1:9" ht="15.75" hidden="1" customHeight="1">
      <c r="A81" s="30"/>
      <c r="B81" s="62" t="s">
        <v>114</v>
      </c>
      <c r="C81" s="16"/>
      <c r="D81" s="14"/>
      <c r="E81" s="57"/>
      <c r="F81" s="13">
        <v>1</v>
      </c>
      <c r="G81" s="35">
        <v>6105.8</v>
      </c>
      <c r="H81" s="61">
        <f>G81*F81/1000</f>
        <v>6.1058000000000003</v>
      </c>
      <c r="I81" s="13">
        <v>0</v>
      </c>
    </row>
    <row r="82" spans="1:9" ht="15.75" customHeight="1">
      <c r="A82" s="148" t="s">
        <v>146</v>
      </c>
      <c r="B82" s="149"/>
      <c r="C82" s="149"/>
      <c r="D82" s="149"/>
      <c r="E82" s="149"/>
      <c r="F82" s="149"/>
      <c r="G82" s="149"/>
      <c r="H82" s="149"/>
      <c r="I82" s="150"/>
    </row>
    <row r="83" spans="1:9" ht="15.75" customHeight="1">
      <c r="A83" s="30">
        <v>15</v>
      </c>
      <c r="B83" s="62" t="s">
        <v>115</v>
      </c>
      <c r="C83" s="16" t="s">
        <v>55</v>
      </c>
      <c r="D83" s="81"/>
      <c r="E83" s="13">
        <v>1536.4</v>
      </c>
      <c r="F83" s="13">
        <f>SUM(E83*12)</f>
        <v>18436.800000000003</v>
      </c>
      <c r="G83" s="13">
        <v>2.95</v>
      </c>
      <c r="H83" s="61">
        <f>SUM(F83*G83/1000)</f>
        <v>54.388560000000012</v>
      </c>
      <c r="I83" s="13">
        <f>F83/12*G83</f>
        <v>4532.380000000001</v>
      </c>
    </row>
    <row r="84" spans="1:9" ht="31.5" customHeight="1">
      <c r="A84" s="30">
        <v>16</v>
      </c>
      <c r="B84" s="14" t="s">
        <v>77</v>
      </c>
      <c r="C84" s="16"/>
      <c r="D84" s="81"/>
      <c r="E84" s="64">
        <f>E83</f>
        <v>1536.4</v>
      </c>
      <c r="F84" s="13">
        <f>E84*12</f>
        <v>18436.800000000003</v>
      </c>
      <c r="G84" s="13">
        <v>3.05</v>
      </c>
      <c r="H84" s="61">
        <f>F84*G84/1000</f>
        <v>56.232240000000004</v>
      </c>
      <c r="I84" s="13">
        <f>F84/12*G84</f>
        <v>4686.0200000000004</v>
      </c>
    </row>
    <row r="85" spans="1:9" ht="15.75" customHeight="1">
      <c r="A85" s="30"/>
      <c r="B85" s="36" t="s">
        <v>79</v>
      </c>
      <c r="C85" s="79"/>
      <c r="D85" s="78"/>
      <c r="E85" s="68"/>
      <c r="F85" s="68"/>
      <c r="G85" s="68"/>
      <c r="H85" s="80">
        <f>H84</f>
        <v>56.232240000000004</v>
      </c>
      <c r="I85" s="68">
        <f>I84+I83+I77+I71+I61+I57+I43+I42+I41+I40+I39+I38+I27+I18+I17+I16</f>
        <v>22428.975891166669</v>
      </c>
    </row>
    <row r="86" spans="1:9" ht="15.75" customHeight="1">
      <c r="A86" s="134" t="s">
        <v>61</v>
      </c>
      <c r="B86" s="135"/>
      <c r="C86" s="135"/>
      <c r="D86" s="135"/>
      <c r="E86" s="135"/>
      <c r="F86" s="135"/>
      <c r="G86" s="135"/>
      <c r="H86" s="135"/>
      <c r="I86" s="136"/>
    </row>
    <row r="87" spans="1:9" s="100" customFormat="1" ht="15.75" customHeight="1">
      <c r="A87" s="30">
        <v>17</v>
      </c>
      <c r="B87" s="111" t="s">
        <v>170</v>
      </c>
      <c r="C87" s="112" t="s">
        <v>159</v>
      </c>
      <c r="D87" s="43"/>
      <c r="E87" s="13"/>
      <c r="F87" s="13">
        <v>234</v>
      </c>
      <c r="G87" s="34">
        <v>273</v>
      </c>
      <c r="H87" s="13">
        <f t="shared" ref="H87" si="10">G87*F87/1000</f>
        <v>63.881999999999998</v>
      </c>
      <c r="I87" s="13">
        <f>G87*6</f>
        <v>1638</v>
      </c>
    </row>
    <row r="88" spans="1:9" s="100" customFormat="1" ht="15.75" customHeight="1">
      <c r="A88" s="30">
        <v>18</v>
      </c>
      <c r="B88" s="111" t="s">
        <v>173</v>
      </c>
      <c r="C88" s="112" t="s">
        <v>174</v>
      </c>
      <c r="D88" s="43"/>
      <c r="E88" s="13"/>
      <c r="F88" s="13"/>
      <c r="G88" s="34">
        <v>218</v>
      </c>
      <c r="H88" s="13"/>
      <c r="I88" s="13">
        <f>G88*1</f>
        <v>218</v>
      </c>
    </row>
    <row r="89" spans="1:9" s="100" customFormat="1" ht="15.75" customHeight="1">
      <c r="A89" s="30">
        <v>19</v>
      </c>
      <c r="B89" s="111" t="s">
        <v>80</v>
      </c>
      <c r="C89" s="112" t="s">
        <v>106</v>
      </c>
      <c r="D89" s="43"/>
      <c r="E89" s="13"/>
      <c r="F89" s="13"/>
      <c r="G89" s="34">
        <v>207.55</v>
      </c>
      <c r="H89" s="13"/>
      <c r="I89" s="13">
        <f>G89*3</f>
        <v>622.65000000000009</v>
      </c>
    </row>
    <row r="90" spans="1:9" s="100" customFormat="1" ht="15.75" customHeight="1">
      <c r="A90" s="30">
        <v>20</v>
      </c>
      <c r="B90" s="111" t="s">
        <v>165</v>
      </c>
      <c r="C90" s="112" t="s">
        <v>29</v>
      </c>
      <c r="D90" s="121"/>
      <c r="E90" s="17"/>
      <c r="F90" s="122"/>
      <c r="G90" s="34">
        <v>19757.060000000001</v>
      </c>
      <c r="H90" s="102"/>
      <c r="I90" s="13">
        <f>G90*0.599*6/1000</f>
        <v>71.006873640000009</v>
      </c>
    </row>
    <row r="91" spans="1:9" ht="15.75" customHeight="1">
      <c r="A91" s="30"/>
      <c r="B91" s="41" t="s">
        <v>52</v>
      </c>
      <c r="C91" s="37"/>
      <c r="D91" s="44"/>
      <c r="E91" s="37">
        <v>1</v>
      </c>
      <c r="F91" s="37"/>
      <c r="G91" s="37"/>
      <c r="H91" s="37"/>
      <c r="I91" s="32">
        <f>SUM(I87:I90)</f>
        <v>2549.65687364</v>
      </c>
    </row>
    <row r="92" spans="1:9" ht="15.75" customHeight="1">
      <c r="A92" s="30"/>
      <c r="B92" s="43" t="s">
        <v>78</v>
      </c>
      <c r="C92" s="15"/>
      <c r="D92" s="15"/>
      <c r="E92" s="38"/>
      <c r="F92" s="38"/>
      <c r="G92" s="39"/>
      <c r="H92" s="39"/>
      <c r="I92" s="17">
        <v>0</v>
      </c>
    </row>
    <row r="93" spans="1:9">
      <c r="A93" s="45"/>
      <c r="B93" s="42" t="s">
        <v>157</v>
      </c>
      <c r="C93" s="33"/>
      <c r="D93" s="33"/>
      <c r="E93" s="33"/>
      <c r="F93" s="33"/>
      <c r="G93" s="33"/>
      <c r="H93" s="33"/>
      <c r="I93" s="40">
        <f>I85+I91</f>
        <v>24978.632764806669</v>
      </c>
    </row>
    <row r="94" spans="1:9" ht="15.75">
      <c r="A94" s="143" t="s">
        <v>209</v>
      </c>
      <c r="B94" s="143"/>
      <c r="C94" s="143"/>
      <c r="D94" s="143"/>
      <c r="E94" s="143"/>
      <c r="F94" s="143"/>
      <c r="G94" s="143"/>
      <c r="H94" s="143"/>
      <c r="I94" s="143"/>
    </row>
    <row r="95" spans="1:9" ht="15.75" customHeight="1">
      <c r="A95" s="54"/>
      <c r="B95" s="144" t="s">
        <v>210</v>
      </c>
      <c r="C95" s="144"/>
      <c r="D95" s="144"/>
      <c r="E95" s="144"/>
      <c r="F95" s="144"/>
      <c r="G95" s="144"/>
      <c r="H95" s="60"/>
      <c r="I95" s="3"/>
    </row>
    <row r="96" spans="1:9">
      <c r="A96" s="91"/>
      <c r="B96" s="139" t="s">
        <v>6</v>
      </c>
      <c r="C96" s="139"/>
      <c r="D96" s="139"/>
      <c r="E96" s="139"/>
      <c r="F96" s="139"/>
      <c r="G96" s="139"/>
      <c r="H96" s="25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45" t="s">
        <v>7</v>
      </c>
      <c r="B98" s="145"/>
      <c r="C98" s="145"/>
      <c r="D98" s="145"/>
      <c r="E98" s="145"/>
      <c r="F98" s="145"/>
      <c r="G98" s="145"/>
      <c r="H98" s="145"/>
      <c r="I98" s="145"/>
    </row>
    <row r="99" spans="1:9" ht="15.75" customHeight="1">
      <c r="A99" s="145" t="s">
        <v>8</v>
      </c>
      <c r="B99" s="145"/>
      <c r="C99" s="145"/>
      <c r="D99" s="145"/>
      <c r="E99" s="145"/>
      <c r="F99" s="145"/>
      <c r="G99" s="145"/>
      <c r="H99" s="145"/>
      <c r="I99" s="145"/>
    </row>
    <row r="100" spans="1:9" ht="15.75">
      <c r="A100" s="146" t="s">
        <v>62</v>
      </c>
      <c r="B100" s="146"/>
      <c r="C100" s="146"/>
      <c r="D100" s="146"/>
      <c r="E100" s="146"/>
      <c r="F100" s="146"/>
      <c r="G100" s="146"/>
      <c r="H100" s="146"/>
      <c r="I100" s="146"/>
    </row>
    <row r="101" spans="1:9" ht="15.75">
      <c r="A101" s="11"/>
    </row>
    <row r="102" spans="1:9" ht="15.75">
      <c r="A102" s="137" t="s">
        <v>9</v>
      </c>
      <c r="B102" s="137"/>
      <c r="C102" s="137"/>
      <c r="D102" s="137"/>
      <c r="E102" s="137"/>
      <c r="F102" s="137"/>
      <c r="G102" s="137"/>
      <c r="H102" s="137"/>
      <c r="I102" s="137"/>
    </row>
    <row r="103" spans="1:9" ht="15.75">
      <c r="A103" s="4"/>
    </row>
    <row r="104" spans="1:9" ht="15.75">
      <c r="B104" s="88" t="s">
        <v>10</v>
      </c>
      <c r="C104" s="138" t="s">
        <v>137</v>
      </c>
      <c r="D104" s="138"/>
      <c r="E104" s="138"/>
      <c r="F104" s="58"/>
      <c r="I104" s="90"/>
    </row>
    <row r="105" spans="1:9">
      <c r="A105" s="91"/>
      <c r="C105" s="139" t="s">
        <v>11</v>
      </c>
      <c r="D105" s="139"/>
      <c r="E105" s="139"/>
      <c r="F105" s="25"/>
      <c r="I105" s="89" t="s">
        <v>12</v>
      </c>
    </row>
    <row r="106" spans="1:9" ht="15.75">
      <c r="A106" s="26"/>
      <c r="C106" s="12"/>
      <c r="D106" s="12"/>
      <c r="G106" s="12"/>
      <c r="H106" s="12"/>
    </row>
    <row r="107" spans="1:9" ht="15.75" customHeight="1">
      <c r="B107" s="88" t="s">
        <v>13</v>
      </c>
      <c r="C107" s="140"/>
      <c r="D107" s="140"/>
      <c r="E107" s="140"/>
      <c r="F107" s="59"/>
      <c r="I107" s="90"/>
    </row>
    <row r="108" spans="1:9" ht="15.75" customHeight="1">
      <c r="A108" s="91"/>
      <c r="C108" s="141" t="s">
        <v>11</v>
      </c>
      <c r="D108" s="141"/>
      <c r="E108" s="141"/>
      <c r="F108" s="91"/>
      <c r="I108" s="89" t="s">
        <v>12</v>
      </c>
    </row>
    <row r="109" spans="1:9" ht="15.75" customHeight="1">
      <c r="A109" s="4" t="s">
        <v>14</v>
      </c>
    </row>
    <row r="110" spans="1:9">
      <c r="A110" s="142" t="s">
        <v>15</v>
      </c>
      <c r="B110" s="142"/>
      <c r="C110" s="142"/>
      <c r="D110" s="142"/>
      <c r="E110" s="142"/>
      <c r="F110" s="142"/>
      <c r="G110" s="142"/>
      <c r="H110" s="142"/>
      <c r="I110" s="142"/>
    </row>
    <row r="111" spans="1:9" ht="45" customHeight="1">
      <c r="A111" s="133" t="s">
        <v>16</v>
      </c>
      <c r="B111" s="133"/>
      <c r="C111" s="133"/>
      <c r="D111" s="133"/>
      <c r="E111" s="133"/>
      <c r="F111" s="133"/>
      <c r="G111" s="133"/>
      <c r="H111" s="133"/>
      <c r="I111" s="133"/>
    </row>
    <row r="112" spans="1:9" ht="30" customHeight="1">
      <c r="A112" s="133" t="s">
        <v>17</v>
      </c>
      <c r="B112" s="133"/>
      <c r="C112" s="133"/>
      <c r="D112" s="133"/>
      <c r="E112" s="133"/>
      <c r="F112" s="133"/>
      <c r="G112" s="133"/>
      <c r="H112" s="133"/>
      <c r="I112" s="133"/>
    </row>
    <row r="113" spans="1:9" ht="30" customHeight="1">
      <c r="A113" s="133" t="s">
        <v>21</v>
      </c>
      <c r="B113" s="133"/>
      <c r="C113" s="133"/>
      <c r="D113" s="133"/>
      <c r="E113" s="133"/>
      <c r="F113" s="133"/>
      <c r="G113" s="133"/>
      <c r="H113" s="133"/>
      <c r="I113" s="133"/>
    </row>
    <row r="114" spans="1:9" ht="15" customHeight="1">
      <c r="A114" s="133" t="s">
        <v>20</v>
      </c>
      <c r="B114" s="133"/>
      <c r="C114" s="133"/>
      <c r="D114" s="133"/>
      <c r="E114" s="133"/>
      <c r="F114" s="133"/>
      <c r="G114" s="133"/>
      <c r="H114" s="133"/>
      <c r="I114" s="133"/>
    </row>
  </sheetData>
  <autoFilter ref="I12:I56"/>
  <mergeCells count="29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1:U61"/>
    <mergeCell ref="C108:E108"/>
    <mergeCell ref="A86:I86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2:I82"/>
    <mergeCell ref="A110:I110"/>
    <mergeCell ref="A111:I111"/>
    <mergeCell ref="A112:I112"/>
    <mergeCell ref="A113:I113"/>
    <mergeCell ref="A114:I114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J4" sqref="J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162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51" t="s">
        <v>147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136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175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84">
        <v>43585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4" t="s">
        <v>163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5" t="s">
        <v>153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6" t="s">
        <v>60</v>
      </c>
      <c r="B14" s="156"/>
      <c r="C14" s="156"/>
      <c r="D14" s="156"/>
      <c r="E14" s="156"/>
      <c r="F14" s="156"/>
      <c r="G14" s="156"/>
      <c r="H14" s="156"/>
      <c r="I14" s="156"/>
      <c r="J14" s="8"/>
      <c r="K14" s="8"/>
      <c r="L14" s="8"/>
      <c r="M14" s="8"/>
    </row>
    <row r="15" spans="1:13" ht="1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0">
        <v>1</v>
      </c>
      <c r="B16" s="62" t="s">
        <v>83</v>
      </c>
      <c r="C16" s="63" t="s">
        <v>84</v>
      </c>
      <c r="D16" s="62" t="s">
        <v>195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26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116</v>
      </c>
      <c r="C17" s="63" t="s">
        <v>84</v>
      </c>
      <c r="D17" s="62" t="s">
        <v>196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117</v>
      </c>
      <c r="C18" s="63" t="s">
        <v>84</v>
      </c>
      <c r="D18" s="62" t="s">
        <v>197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/>
      <c r="B19" s="62" t="s">
        <v>91</v>
      </c>
      <c r="C19" s="63" t="s">
        <v>92</v>
      </c>
      <c r="D19" s="62" t="s">
        <v>93</v>
      </c>
      <c r="E19" s="64">
        <v>21.6</v>
      </c>
      <c r="F19" s="65">
        <f>SUM(E19/10)</f>
        <v>2.16</v>
      </c>
      <c r="G19" s="65">
        <v>211.74</v>
      </c>
      <c r="H19" s="66">
        <f t="shared" si="0"/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4</v>
      </c>
      <c r="B20" s="62" t="s">
        <v>94</v>
      </c>
      <c r="C20" s="63" t="s">
        <v>84</v>
      </c>
      <c r="D20" s="62" t="s">
        <v>43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0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95</v>
      </c>
      <c r="C21" s="63" t="s">
        <v>84</v>
      </c>
      <c r="D21" s="62" t="s">
        <v>43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0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/>
      <c r="B22" s="62" t="s">
        <v>96</v>
      </c>
      <c r="C22" s="63" t="s">
        <v>53</v>
      </c>
      <c r="D22" s="62" t="s">
        <v>93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0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/>
      <c r="B23" s="62" t="s">
        <v>97</v>
      </c>
      <c r="C23" s="63" t="s">
        <v>53</v>
      </c>
      <c r="D23" s="62" t="s">
        <v>93</v>
      </c>
      <c r="E23" s="67">
        <v>17.64</v>
      </c>
      <c r="F23" s="65">
        <f>SUM(E23/100)</f>
        <v>0.1764</v>
      </c>
      <c r="G23" s="65">
        <v>55.1</v>
      </c>
      <c r="H23" s="66">
        <f t="shared" si="0"/>
        <v>9.7196399999999999E-3</v>
      </c>
      <c r="I23" s="13">
        <f t="shared" ref="I23:I26" si="1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62" t="s">
        <v>98</v>
      </c>
      <c r="C24" s="63" t="s">
        <v>53</v>
      </c>
      <c r="D24" s="62" t="s">
        <v>99</v>
      </c>
      <c r="E24" s="64">
        <v>7.2</v>
      </c>
      <c r="F24" s="65">
        <f>E24/100</f>
        <v>7.2000000000000008E-2</v>
      </c>
      <c r="G24" s="65">
        <v>484.94</v>
      </c>
      <c r="H24" s="66">
        <f t="shared" si="0"/>
        <v>3.4915680000000004E-2</v>
      </c>
      <c r="I24" s="13">
        <f t="shared" si="1"/>
        <v>34.915680000000002</v>
      </c>
      <c r="J24" s="23"/>
      <c r="K24" s="8"/>
      <c r="L24" s="8"/>
      <c r="M24" s="8"/>
    </row>
    <row r="25" spans="1:13" ht="15.75" hidden="1" customHeight="1">
      <c r="A25" s="30"/>
      <c r="B25" s="62" t="s">
        <v>100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0"/>
        <v>2.5412939999999998E-2</v>
      </c>
      <c r="I25" s="13">
        <f t="shared" si="1"/>
        <v>25.412939999999999</v>
      </c>
      <c r="J25" s="23"/>
      <c r="K25" s="8"/>
      <c r="L25" s="8"/>
      <c r="M25" s="8"/>
    </row>
    <row r="26" spans="1:13" ht="15.75" hidden="1" customHeight="1">
      <c r="A26" s="30"/>
      <c r="B26" s="62" t="s">
        <v>101</v>
      </c>
      <c r="C26" s="63" t="s">
        <v>53</v>
      </c>
      <c r="D26" s="62" t="s">
        <v>93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0"/>
        <v>7.387740000000001E-2</v>
      </c>
      <c r="I26" s="13">
        <f t="shared" si="1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126" t="s">
        <v>194</v>
      </c>
      <c r="C27" s="127" t="s">
        <v>25</v>
      </c>
      <c r="D27" s="126" t="s">
        <v>198</v>
      </c>
      <c r="E27" s="128">
        <v>2.91</v>
      </c>
      <c r="F27" s="117">
        <f>E27*258</f>
        <v>750.78000000000009</v>
      </c>
      <c r="G27" s="117">
        <v>10.39</v>
      </c>
      <c r="H27" s="66">
        <f>SUM(F27*G27/1000)</f>
        <v>7.8006042000000013</v>
      </c>
      <c r="I27" s="13">
        <f>F27/12*G27</f>
        <v>650.05035000000009</v>
      </c>
      <c r="J27" s="23"/>
      <c r="K27" s="8"/>
    </row>
    <row r="28" spans="1:13" ht="15.75" hidden="1" customHeight="1">
      <c r="A28" s="30">
        <v>5</v>
      </c>
      <c r="B28" s="70" t="s">
        <v>23</v>
      </c>
      <c r="C28" s="63" t="s">
        <v>24</v>
      </c>
      <c r="D28" s="62"/>
      <c r="E28" s="64">
        <v>1536.4</v>
      </c>
      <c r="F28" s="65">
        <f>SUM(E28*12)</f>
        <v>18436.800000000003</v>
      </c>
      <c r="G28" s="65">
        <v>4.5599999999999996</v>
      </c>
      <c r="H28" s="66">
        <f>SUM(F28*G28/1000)</f>
        <v>84.071808000000004</v>
      </c>
      <c r="I28" s="13">
        <f>F28/12*G28</f>
        <v>7005.9840000000013</v>
      </c>
      <c r="J28" s="24"/>
    </row>
    <row r="29" spans="1:13" ht="15.75" customHeight="1">
      <c r="A29" s="148" t="s">
        <v>154</v>
      </c>
      <c r="B29" s="149"/>
      <c r="C29" s="149"/>
      <c r="D29" s="149"/>
      <c r="E29" s="149"/>
      <c r="F29" s="149"/>
      <c r="G29" s="149"/>
      <c r="H29" s="149"/>
      <c r="I29" s="150"/>
      <c r="J29" s="24"/>
    </row>
    <row r="30" spans="1:13" ht="15.75" hidden="1" customHeight="1">
      <c r="A30" s="30"/>
      <c r="B30" s="82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hidden="1" customHeight="1">
      <c r="A31" s="30">
        <v>8</v>
      </c>
      <c r="B31" s="62" t="s">
        <v>104</v>
      </c>
      <c r="C31" s="63" t="s">
        <v>87</v>
      </c>
      <c r="D31" s="62" t="s">
        <v>155</v>
      </c>
      <c r="E31" s="65">
        <v>61.5</v>
      </c>
      <c r="F31" s="65">
        <f>SUM(E31*52/1000)</f>
        <v>3.198</v>
      </c>
      <c r="G31" s="65">
        <v>193.97</v>
      </c>
      <c r="H31" s="66">
        <f t="shared" ref="H31:H36" si="2">SUM(F31*G31/1000)</f>
        <v>0.62031605999999995</v>
      </c>
      <c r="I31" s="13">
        <f t="shared" ref="I31:I32" si="3">F31/6*G31</f>
        <v>103.38601</v>
      </c>
      <c r="J31" s="23"/>
      <c r="K31" s="8"/>
      <c r="L31" s="8"/>
      <c r="M31" s="8"/>
    </row>
    <row r="32" spans="1:13" ht="31.5" hidden="1" customHeight="1">
      <c r="A32" s="30">
        <v>9</v>
      </c>
      <c r="B32" s="62" t="s">
        <v>103</v>
      </c>
      <c r="C32" s="63" t="s">
        <v>87</v>
      </c>
      <c r="D32" s="62" t="s">
        <v>156</v>
      </c>
      <c r="E32" s="65">
        <v>35.299999999999997</v>
      </c>
      <c r="F32" s="65">
        <f>SUM(E32*78/1000)</f>
        <v>2.7533999999999996</v>
      </c>
      <c r="G32" s="65">
        <v>321.82</v>
      </c>
      <c r="H32" s="66">
        <f t="shared" si="2"/>
        <v>0.88609918799999987</v>
      </c>
      <c r="I32" s="13">
        <f t="shared" si="3"/>
        <v>147.68319799999998</v>
      </c>
      <c r="J32" s="23"/>
      <c r="K32" s="8"/>
      <c r="L32" s="8"/>
      <c r="M32" s="8"/>
    </row>
    <row r="33" spans="1:14" ht="15.75" hidden="1" customHeight="1">
      <c r="A33" s="30"/>
      <c r="B33" s="62" t="s">
        <v>27</v>
      </c>
      <c r="C33" s="63" t="s">
        <v>87</v>
      </c>
      <c r="D33" s="62" t="s">
        <v>54</v>
      </c>
      <c r="E33" s="65">
        <v>61.5</v>
      </c>
      <c r="F33" s="65">
        <f>SUM(E33/1000)</f>
        <v>6.1499999999999999E-2</v>
      </c>
      <c r="G33" s="65">
        <v>3758.28</v>
      </c>
      <c r="H33" s="66">
        <f t="shared" si="2"/>
        <v>0.23113422</v>
      </c>
      <c r="I33" s="13">
        <f>F33*G33</f>
        <v>231.13422</v>
      </c>
      <c r="J33" s="23"/>
      <c r="K33" s="8"/>
      <c r="L33" s="8"/>
      <c r="M33" s="8"/>
    </row>
    <row r="34" spans="1:14" ht="15.75" hidden="1" customHeight="1">
      <c r="A34" s="30">
        <v>10</v>
      </c>
      <c r="B34" s="62" t="s">
        <v>102</v>
      </c>
      <c r="C34" s="63" t="s">
        <v>31</v>
      </c>
      <c r="D34" s="62" t="s">
        <v>64</v>
      </c>
      <c r="E34" s="69">
        <f>1/3</f>
        <v>0.33333333333333331</v>
      </c>
      <c r="F34" s="65">
        <f>155/3</f>
        <v>51.666666666666664</v>
      </c>
      <c r="G34" s="65">
        <v>70.540000000000006</v>
      </c>
      <c r="H34" s="66">
        <f t="shared" si="2"/>
        <v>3.6445666666666665</v>
      </c>
      <c r="I34" s="13">
        <f>F34/6*G34</f>
        <v>607.42777777777781</v>
      </c>
      <c r="J34" s="23"/>
      <c r="K34" s="8"/>
      <c r="L34" s="8"/>
      <c r="M34" s="8"/>
    </row>
    <row r="35" spans="1:14" ht="15.75" hidden="1" customHeight="1">
      <c r="A35" s="30"/>
      <c r="B35" s="62" t="s">
        <v>65</v>
      </c>
      <c r="C35" s="63" t="s">
        <v>33</v>
      </c>
      <c r="D35" s="62" t="s">
        <v>67</v>
      </c>
      <c r="E35" s="64"/>
      <c r="F35" s="65">
        <v>1</v>
      </c>
      <c r="G35" s="65">
        <v>238.07</v>
      </c>
      <c r="H35" s="66">
        <f t="shared" si="2"/>
        <v>0.23807</v>
      </c>
      <c r="I35" s="13">
        <v>0</v>
      </c>
      <c r="J35" s="24"/>
    </row>
    <row r="36" spans="1:14" ht="15.75" hidden="1" customHeight="1">
      <c r="A36" s="30"/>
      <c r="B36" s="62" t="s">
        <v>66</v>
      </c>
      <c r="C36" s="63" t="s">
        <v>32</v>
      </c>
      <c r="D36" s="62" t="s">
        <v>67</v>
      </c>
      <c r="E36" s="64"/>
      <c r="F36" s="65">
        <v>1</v>
      </c>
      <c r="G36" s="65">
        <v>1413.96</v>
      </c>
      <c r="H36" s="66">
        <f t="shared" si="2"/>
        <v>1.4139600000000001</v>
      </c>
      <c r="I36" s="13">
        <v>0</v>
      </c>
      <c r="J36" s="24"/>
    </row>
    <row r="37" spans="1:14" ht="15.75" customHeight="1">
      <c r="A37" s="30"/>
      <c r="B37" s="82" t="s">
        <v>5</v>
      </c>
      <c r="C37" s="63"/>
      <c r="D37" s="62"/>
      <c r="E37" s="64"/>
      <c r="F37" s="65"/>
      <c r="G37" s="65"/>
      <c r="H37" s="66" t="s">
        <v>118</v>
      </c>
      <c r="I37" s="13"/>
      <c r="J37" s="24"/>
      <c r="L37" s="19"/>
      <c r="M37" s="20"/>
      <c r="N37" s="21"/>
    </row>
    <row r="38" spans="1:14" ht="15.75" customHeight="1">
      <c r="A38" s="30">
        <v>5</v>
      </c>
      <c r="B38" s="62" t="s">
        <v>26</v>
      </c>
      <c r="C38" s="63" t="s">
        <v>32</v>
      </c>
      <c r="D38" s="62"/>
      <c r="E38" s="64"/>
      <c r="F38" s="65">
        <v>3</v>
      </c>
      <c r="G38" s="65">
        <v>1900.37</v>
      </c>
      <c r="H38" s="66">
        <f t="shared" ref="H38:H43" si="4">SUM(F38*G38/1000)</f>
        <v>5.7011099999999999</v>
      </c>
      <c r="I38" s="13">
        <f>G38*0.8</f>
        <v>1520.296</v>
      </c>
      <c r="J38" s="24"/>
      <c r="L38" s="19"/>
      <c r="M38" s="20"/>
      <c r="N38" s="21"/>
    </row>
    <row r="39" spans="1:14" ht="31.5" customHeight="1">
      <c r="A39" s="30">
        <v>6</v>
      </c>
      <c r="B39" s="62" t="s">
        <v>119</v>
      </c>
      <c r="C39" s="63" t="s">
        <v>29</v>
      </c>
      <c r="D39" s="62" t="s">
        <v>199</v>
      </c>
      <c r="E39" s="64">
        <v>35.299999999999997</v>
      </c>
      <c r="F39" s="65">
        <f>E39*30/1000</f>
        <v>1.0589999999999999</v>
      </c>
      <c r="G39" s="65">
        <v>2616.4899999999998</v>
      </c>
      <c r="H39" s="66">
        <f t="shared" si="4"/>
        <v>2.77086291</v>
      </c>
      <c r="I39" s="13">
        <f t="shared" ref="I39:I41" si="5">F39/6*G39</f>
        <v>461.81048499999991</v>
      </c>
      <c r="J39" s="24"/>
      <c r="L39" s="19"/>
      <c r="M39" s="20"/>
      <c r="N39" s="21"/>
    </row>
    <row r="40" spans="1:14" ht="15.75" customHeight="1">
      <c r="A40" s="30">
        <v>7</v>
      </c>
      <c r="B40" s="62" t="s">
        <v>120</v>
      </c>
      <c r="C40" s="63" t="s">
        <v>29</v>
      </c>
      <c r="D40" s="62" t="s">
        <v>200</v>
      </c>
      <c r="E40" s="64">
        <v>35.299999999999997</v>
      </c>
      <c r="F40" s="65">
        <f>SUM(E40*155/1000)</f>
        <v>5.4714999999999998</v>
      </c>
      <c r="G40" s="65">
        <v>436.45</v>
      </c>
      <c r="H40" s="66">
        <f t="shared" si="4"/>
        <v>2.3880361749999999</v>
      </c>
      <c r="I40" s="13">
        <f t="shared" si="5"/>
        <v>398.00602916666662</v>
      </c>
      <c r="J40" s="24"/>
      <c r="L40" s="19"/>
      <c r="M40" s="20"/>
      <c r="N40" s="21"/>
    </row>
    <row r="41" spans="1:14" ht="47.25" customHeight="1">
      <c r="A41" s="30">
        <v>8</v>
      </c>
      <c r="B41" s="62" t="s">
        <v>121</v>
      </c>
      <c r="C41" s="63" t="s">
        <v>87</v>
      </c>
      <c r="D41" s="62" t="s">
        <v>201</v>
      </c>
      <c r="E41" s="64">
        <v>35.299999999999997</v>
      </c>
      <c r="F41" s="65">
        <f>SUM(E41*24/1000)</f>
        <v>0.84719999999999995</v>
      </c>
      <c r="G41" s="65">
        <v>7221.21</v>
      </c>
      <c r="H41" s="66">
        <f t="shared" si="4"/>
        <v>6.1178091119999998</v>
      </c>
      <c r="I41" s="13">
        <f t="shared" si="5"/>
        <v>1019.6348519999999</v>
      </c>
      <c r="J41" s="24"/>
      <c r="L41" s="19"/>
      <c r="M41" s="20"/>
      <c r="N41" s="21"/>
    </row>
    <row r="42" spans="1:14" ht="15.75" customHeight="1">
      <c r="A42" s="30">
        <v>9</v>
      </c>
      <c r="B42" s="62" t="s">
        <v>123</v>
      </c>
      <c r="C42" s="63" t="s">
        <v>87</v>
      </c>
      <c r="D42" s="62" t="s">
        <v>202</v>
      </c>
      <c r="E42" s="64">
        <v>35.299999999999997</v>
      </c>
      <c r="F42" s="65">
        <f>SUM(E42*45/1000)</f>
        <v>1.5884999999999998</v>
      </c>
      <c r="G42" s="65">
        <v>533.45000000000005</v>
      </c>
      <c r="H42" s="66">
        <f t="shared" si="4"/>
        <v>0.84738532499999997</v>
      </c>
      <c r="I42" s="13">
        <f>F42/7.5*1.5*G42</f>
        <v>169.47706499999998</v>
      </c>
      <c r="J42" s="24"/>
      <c r="L42" s="19"/>
      <c r="M42" s="20"/>
      <c r="N42" s="21"/>
    </row>
    <row r="43" spans="1:14" ht="15.75" customHeight="1">
      <c r="A43" s="30">
        <v>10</v>
      </c>
      <c r="B43" s="62" t="s">
        <v>69</v>
      </c>
      <c r="C43" s="63" t="s">
        <v>33</v>
      </c>
      <c r="D43" s="62"/>
      <c r="E43" s="64"/>
      <c r="F43" s="65">
        <v>0.3</v>
      </c>
      <c r="G43" s="65">
        <v>992.97</v>
      </c>
      <c r="H43" s="66">
        <f t="shared" si="4"/>
        <v>0.29789100000000002</v>
      </c>
      <c r="I43" s="13">
        <f>F43/7.5*1.5*G43</f>
        <v>59.578200000000002</v>
      </c>
      <c r="J43" s="24"/>
      <c r="L43" s="19"/>
      <c r="M43" s="20"/>
      <c r="N43" s="21"/>
    </row>
    <row r="44" spans="1:14" ht="15.75" hidden="1" customHeight="1">
      <c r="A44" s="148" t="s">
        <v>139</v>
      </c>
      <c r="B44" s="149"/>
      <c r="C44" s="149"/>
      <c r="D44" s="149"/>
      <c r="E44" s="149"/>
      <c r="F44" s="149"/>
      <c r="G44" s="149"/>
      <c r="H44" s="149"/>
      <c r="I44" s="150"/>
      <c r="J44" s="24"/>
      <c r="L44" s="19"/>
      <c r="M44" s="20"/>
      <c r="N44" s="21"/>
    </row>
    <row r="45" spans="1:14" ht="32.25" hidden="1" customHeight="1">
      <c r="A45" s="30">
        <v>11</v>
      </c>
      <c r="B45" s="62" t="s">
        <v>105</v>
      </c>
      <c r="C45" s="63" t="s">
        <v>87</v>
      </c>
      <c r="D45" s="62" t="s">
        <v>43</v>
      </c>
      <c r="E45" s="64">
        <v>907.4</v>
      </c>
      <c r="F45" s="65">
        <f>SUM(E45*2/1000)</f>
        <v>1.8148</v>
      </c>
      <c r="G45" s="13">
        <v>1283.46</v>
      </c>
      <c r="H45" s="66">
        <f t="shared" ref="H45:H54" si="6">SUM(F45*G45/1000)</f>
        <v>2.3292232079999997</v>
      </c>
      <c r="I45" s="13">
        <f>F45/2*G45</f>
        <v>1164.6116039999999</v>
      </c>
      <c r="J45" s="24"/>
      <c r="L45" s="19"/>
      <c r="M45" s="20"/>
      <c r="N45" s="21"/>
    </row>
    <row r="46" spans="1:14" ht="29.25" hidden="1" customHeight="1">
      <c r="A46" s="30">
        <v>12</v>
      </c>
      <c r="B46" s="62" t="s">
        <v>36</v>
      </c>
      <c r="C46" s="63" t="s">
        <v>87</v>
      </c>
      <c r="D46" s="62" t="s">
        <v>43</v>
      </c>
      <c r="E46" s="64">
        <v>27</v>
      </c>
      <c r="F46" s="65">
        <f>SUM(E46*2/1000)</f>
        <v>5.3999999999999999E-2</v>
      </c>
      <c r="G46" s="13">
        <v>4192.6400000000003</v>
      </c>
      <c r="H46" s="66">
        <f t="shared" si="6"/>
        <v>0.22640256000000003</v>
      </c>
      <c r="I46" s="13">
        <f t="shared" ref="I46:I53" si="7">F46/2*G46</f>
        <v>113.20128000000001</v>
      </c>
      <c r="J46" s="24"/>
      <c r="L46" s="19"/>
      <c r="M46" s="20"/>
      <c r="N46" s="21"/>
    </row>
    <row r="47" spans="1:14" ht="29.25" hidden="1" customHeight="1">
      <c r="A47" s="30">
        <v>13</v>
      </c>
      <c r="B47" s="62" t="s">
        <v>37</v>
      </c>
      <c r="C47" s="63" t="s">
        <v>87</v>
      </c>
      <c r="D47" s="62" t="s">
        <v>43</v>
      </c>
      <c r="E47" s="64">
        <v>772</v>
      </c>
      <c r="F47" s="65">
        <f>SUM(E47*2/1000)</f>
        <v>1.544</v>
      </c>
      <c r="G47" s="13">
        <v>1711.28</v>
      </c>
      <c r="H47" s="66">
        <f t="shared" si="6"/>
        <v>2.6422163200000002</v>
      </c>
      <c r="I47" s="13">
        <f t="shared" si="7"/>
        <v>1321.10816</v>
      </c>
      <c r="J47" s="24"/>
      <c r="L47" s="19"/>
      <c r="M47" s="20"/>
      <c r="N47" s="21"/>
    </row>
    <row r="48" spans="1:14" ht="32.25" hidden="1" customHeight="1">
      <c r="A48" s="30">
        <v>14</v>
      </c>
      <c r="B48" s="62" t="s">
        <v>38</v>
      </c>
      <c r="C48" s="63" t="s">
        <v>87</v>
      </c>
      <c r="D48" s="62" t="s">
        <v>43</v>
      </c>
      <c r="E48" s="64">
        <v>959.4</v>
      </c>
      <c r="F48" s="65">
        <f>SUM(E48*2/1000)</f>
        <v>1.9188000000000001</v>
      </c>
      <c r="G48" s="13">
        <v>1179.73</v>
      </c>
      <c r="H48" s="66">
        <f t="shared" si="6"/>
        <v>2.2636659240000001</v>
      </c>
      <c r="I48" s="13">
        <f t="shared" si="7"/>
        <v>1131.832962</v>
      </c>
      <c r="J48" s="24"/>
      <c r="L48" s="19"/>
      <c r="M48" s="20"/>
      <c r="N48" s="21"/>
    </row>
    <row r="49" spans="1:22" ht="36" hidden="1" customHeight="1">
      <c r="A49" s="30">
        <v>15</v>
      </c>
      <c r="B49" s="62" t="s">
        <v>34</v>
      </c>
      <c r="C49" s="63" t="s">
        <v>35</v>
      </c>
      <c r="D49" s="62" t="s">
        <v>43</v>
      </c>
      <c r="E49" s="64">
        <v>66.02</v>
      </c>
      <c r="F49" s="65">
        <f>SUM(E49*2/100)</f>
        <v>1.3204</v>
      </c>
      <c r="G49" s="13">
        <v>90.61</v>
      </c>
      <c r="H49" s="66">
        <f t="shared" si="6"/>
        <v>0.11964144400000001</v>
      </c>
      <c r="I49" s="13">
        <f t="shared" si="7"/>
        <v>59.820722000000004</v>
      </c>
      <c r="J49" s="24"/>
      <c r="L49" s="19"/>
      <c r="M49" s="20"/>
      <c r="N49" s="21"/>
    </row>
    <row r="50" spans="1:22" ht="30.75" hidden="1" customHeight="1">
      <c r="A50" s="30">
        <v>12</v>
      </c>
      <c r="B50" s="62" t="s">
        <v>57</v>
      </c>
      <c r="C50" s="63" t="s">
        <v>87</v>
      </c>
      <c r="D50" s="62" t="s">
        <v>138</v>
      </c>
      <c r="E50" s="64">
        <v>1536.4</v>
      </c>
      <c r="F50" s="65">
        <f>SUM(E50*5/1000)</f>
        <v>7.6820000000000004</v>
      </c>
      <c r="G50" s="13">
        <v>1711.28</v>
      </c>
      <c r="H50" s="66">
        <f t="shared" si="6"/>
        <v>13.14605296</v>
      </c>
      <c r="I50" s="13">
        <f>F50/5*G50</f>
        <v>2629.2105919999999</v>
      </c>
      <c r="J50" s="24"/>
      <c r="L50" s="19"/>
      <c r="M50" s="20"/>
      <c r="N50" s="21"/>
    </row>
    <row r="51" spans="1:22" ht="33.75" hidden="1" customHeight="1">
      <c r="A51" s="30">
        <v>12</v>
      </c>
      <c r="B51" s="62" t="s">
        <v>88</v>
      </c>
      <c r="C51" s="63" t="s">
        <v>87</v>
      </c>
      <c r="D51" s="62" t="s">
        <v>43</v>
      </c>
      <c r="E51" s="64">
        <v>1536.4</v>
      </c>
      <c r="F51" s="65">
        <f>SUM(E51*2/1000)</f>
        <v>3.0728</v>
      </c>
      <c r="G51" s="13">
        <v>1510.06</v>
      </c>
      <c r="H51" s="66">
        <f t="shared" si="6"/>
        <v>4.6401123680000005</v>
      </c>
      <c r="I51" s="13">
        <f t="shared" si="7"/>
        <v>2320.056184</v>
      </c>
      <c r="J51" s="24"/>
      <c r="L51" s="19"/>
      <c r="M51" s="20"/>
      <c r="N51" s="21"/>
    </row>
    <row r="52" spans="1:22" ht="29.25" hidden="1" customHeight="1">
      <c r="A52" s="30">
        <v>13</v>
      </c>
      <c r="B52" s="62" t="s">
        <v>89</v>
      </c>
      <c r="C52" s="63" t="s">
        <v>39</v>
      </c>
      <c r="D52" s="62" t="s">
        <v>43</v>
      </c>
      <c r="E52" s="64">
        <v>9</v>
      </c>
      <c r="F52" s="65">
        <f>SUM(E52*2/100)</f>
        <v>0.18</v>
      </c>
      <c r="G52" s="13">
        <v>3850.4</v>
      </c>
      <c r="H52" s="66">
        <f t="shared" si="6"/>
        <v>0.69307200000000002</v>
      </c>
      <c r="I52" s="13">
        <f t="shared" si="7"/>
        <v>346.536</v>
      </c>
      <c r="J52" s="24"/>
      <c r="L52" s="19"/>
      <c r="M52" s="20"/>
      <c r="N52" s="21"/>
    </row>
    <row r="53" spans="1:22" ht="21.75" hidden="1" customHeight="1">
      <c r="A53" s="30">
        <v>14</v>
      </c>
      <c r="B53" s="62" t="s">
        <v>40</v>
      </c>
      <c r="C53" s="63" t="s">
        <v>41</v>
      </c>
      <c r="D53" s="62" t="s">
        <v>43</v>
      </c>
      <c r="E53" s="64">
        <v>1</v>
      </c>
      <c r="F53" s="65">
        <v>0.02</v>
      </c>
      <c r="G53" s="13">
        <v>7033.13</v>
      </c>
      <c r="H53" s="66">
        <f t="shared" si="6"/>
        <v>0.1406626</v>
      </c>
      <c r="I53" s="13">
        <f t="shared" si="7"/>
        <v>70.331299999999999</v>
      </c>
      <c r="J53" s="24"/>
      <c r="L53" s="19"/>
      <c r="M53" s="20"/>
      <c r="N53" s="21"/>
    </row>
    <row r="54" spans="1:22" ht="27.75" hidden="1" customHeight="1">
      <c r="A54" s="30">
        <v>13</v>
      </c>
      <c r="B54" s="62" t="s">
        <v>42</v>
      </c>
      <c r="C54" s="63" t="s">
        <v>106</v>
      </c>
      <c r="D54" s="62" t="s">
        <v>70</v>
      </c>
      <c r="E54" s="64">
        <v>53</v>
      </c>
      <c r="F54" s="65">
        <f>53*3</f>
        <v>159</v>
      </c>
      <c r="G54" s="13">
        <v>81.73</v>
      </c>
      <c r="H54" s="66">
        <f t="shared" si="6"/>
        <v>12.995070000000002</v>
      </c>
      <c r="I54" s="13">
        <f>F54/3*G54</f>
        <v>4331.6900000000005</v>
      </c>
      <c r="J54" s="24"/>
      <c r="L54" s="19"/>
    </row>
    <row r="55" spans="1:22" ht="15.75" customHeight="1">
      <c r="A55" s="148" t="s">
        <v>145</v>
      </c>
      <c r="B55" s="149"/>
      <c r="C55" s="149"/>
      <c r="D55" s="149"/>
      <c r="E55" s="149"/>
      <c r="F55" s="149"/>
      <c r="G55" s="149"/>
      <c r="H55" s="149"/>
      <c r="I55" s="150"/>
    </row>
    <row r="56" spans="1:22" ht="15.75" hidden="1" customHeight="1">
      <c r="A56" s="30"/>
      <c r="B56" s="82" t="s">
        <v>44</v>
      </c>
      <c r="C56" s="63"/>
      <c r="D56" s="62"/>
      <c r="E56" s="64"/>
      <c r="F56" s="65"/>
      <c r="G56" s="65"/>
      <c r="H56" s="66"/>
      <c r="I56" s="13"/>
    </row>
    <row r="57" spans="1:22" ht="31.5" hidden="1" customHeight="1">
      <c r="A57" s="30">
        <v>12</v>
      </c>
      <c r="B57" s="62" t="s">
        <v>107</v>
      </c>
      <c r="C57" s="63" t="s">
        <v>84</v>
      </c>
      <c r="D57" s="62" t="s">
        <v>108</v>
      </c>
      <c r="E57" s="64">
        <v>11.5</v>
      </c>
      <c r="F57" s="65">
        <f>SUM(E57*6/100)</f>
        <v>0.69</v>
      </c>
      <c r="G57" s="13">
        <v>2306.62</v>
      </c>
      <c r="H57" s="66">
        <f>SUM(F57*G57/1000)</f>
        <v>1.5915677999999998</v>
      </c>
      <c r="I57" s="13">
        <f>F57/6*G57</f>
        <v>265.26129999999995</v>
      </c>
    </row>
    <row r="58" spans="1:22" ht="15.75" hidden="1" customHeight="1">
      <c r="A58" s="30"/>
      <c r="B58" s="62" t="s">
        <v>124</v>
      </c>
      <c r="C58" s="63" t="s">
        <v>125</v>
      </c>
      <c r="D58" s="62" t="s">
        <v>67</v>
      </c>
      <c r="E58" s="64"/>
      <c r="F58" s="65">
        <v>2</v>
      </c>
      <c r="G58" s="85">
        <v>1501</v>
      </c>
      <c r="H58" s="66">
        <f>SUM(F58*G58/1000)</f>
        <v>3.0019999999999998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0"/>
      <c r="B59" s="82" t="s">
        <v>45</v>
      </c>
      <c r="C59" s="63"/>
      <c r="D59" s="62"/>
      <c r="E59" s="64"/>
      <c r="F59" s="65"/>
      <c r="G59" s="86"/>
      <c r="H59" s="66"/>
      <c r="I59" s="13"/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/>
      <c r="B60" s="62" t="s">
        <v>109</v>
      </c>
      <c r="C60" s="63" t="s">
        <v>84</v>
      </c>
      <c r="D60" s="62" t="s">
        <v>54</v>
      </c>
      <c r="E60" s="64">
        <v>148</v>
      </c>
      <c r="F60" s="66">
        <f>E60/100</f>
        <v>1.48</v>
      </c>
      <c r="G60" s="13">
        <v>987.51</v>
      </c>
      <c r="H60" s="71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0">
        <v>11</v>
      </c>
      <c r="B61" s="73" t="s">
        <v>135</v>
      </c>
      <c r="C61" s="72" t="s">
        <v>25</v>
      </c>
      <c r="D61" s="73" t="s">
        <v>176</v>
      </c>
      <c r="E61" s="74">
        <v>140.5</v>
      </c>
      <c r="F61" s="65">
        <f>E61*12</f>
        <v>1686</v>
      </c>
      <c r="G61" s="87">
        <v>1.4</v>
      </c>
      <c r="H61" s="71">
        <f>F61*G61/1000</f>
        <v>2.3603999999999998</v>
      </c>
      <c r="I61" s="13">
        <f>1320/12*G61</f>
        <v>154</v>
      </c>
      <c r="J61" s="5"/>
      <c r="K61" s="5"/>
      <c r="L61" s="5"/>
      <c r="M61" s="5"/>
      <c r="N61" s="5"/>
      <c r="O61" s="5"/>
      <c r="P61" s="5"/>
      <c r="Q61" s="5"/>
      <c r="R61" s="141"/>
      <c r="S61" s="141"/>
      <c r="T61" s="141"/>
      <c r="U61" s="141"/>
    </row>
    <row r="62" spans="1:22" ht="15.75" customHeight="1">
      <c r="A62" s="30"/>
      <c r="B62" s="83" t="s">
        <v>46</v>
      </c>
      <c r="C62" s="72"/>
      <c r="D62" s="73"/>
      <c r="E62" s="74"/>
      <c r="F62" s="75"/>
      <c r="G62" s="75"/>
      <c r="H62" s="76" t="s">
        <v>118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30">
        <v>16</v>
      </c>
      <c r="B63" s="14" t="s">
        <v>47</v>
      </c>
      <c r="C63" s="16" t="s">
        <v>106</v>
      </c>
      <c r="D63" s="14" t="s">
        <v>67</v>
      </c>
      <c r="E63" s="18">
        <v>2</v>
      </c>
      <c r="F63" s="65">
        <f>E63</f>
        <v>2</v>
      </c>
      <c r="G63" s="13">
        <v>276.74</v>
      </c>
      <c r="H63" s="61">
        <f t="shared" ref="H63:H79" si="8">SUM(F63*G63/1000)</f>
        <v>0.55347999999999997</v>
      </c>
      <c r="I63" s="13">
        <f>G63</f>
        <v>276.74</v>
      </c>
    </row>
    <row r="64" spans="1:22" ht="15.75" hidden="1" customHeight="1">
      <c r="A64" s="30"/>
      <c r="B64" s="14" t="s">
        <v>48</v>
      </c>
      <c r="C64" s="16" t="s">
        <v>106</v>
      </c>
      <c r="D64" s="14" t="s">
        <v>67</v>
      </c>
      <c r="E64" s="18">
        <v>1</v>
      </c>
      <c r="F64" s="65">
        <f>E64</f>
        <v>1</v>
      </c>
      <c r="G64" s="13">
        <v>94.89</v>
      </c>
      <c r="H64" s="61">
        <f t="shared" si="8"/>
        <v>9.4890000000000002E-2</v>
      </c>
      <c r="I64" s="13">
        <v>0</v>
      </c>
    </row>
    <row r="65" spans="1:9" ht="15.75" hidden="1" customHeight="1">
      <c r="A65" s="30"/>
      <c r="B65" s="14" t="s">
        <v>49</v>
      </c>
      <c r="C65" s="16" t="s">
        <v>110</v>
      </c>
      <c r="D65" s="14" t="s">
        <v>54</v>
      </c>
      <c r="E65" s="64">
        <v>6307</v>
      </c>
      <c r="F65" s="13">
        <f>SUM(E65/100)</f>
        <v>63.07</v>
      </c>
      <c r="G65" s="13">
        <v>263.99</v>
      </c>
      <c r="H65" s="61">
        <f t="shared" si="8"/>
        <v>16.649849300000003</v>
      </c>
      <c r="I65" s="13">
        <v>0</v>
      </c>
    </row>
    <row r="66" spans="1:9" ht="15.75" hidden="1" customHeight="1">
      <c r="A66" s="30"/>
      <c r="B66" s="14" t="s">
        <v>50</v>
      </c>
      <c r="C66" s="16" t="s">
        <v>111</v>
      </c>
      <c r="D66" s="14"/>
      <c r="E66" s="64">
        <v>6307</v>
      </c>
      <c r="F66" s="13">
        <f>SUM(E66/1000)</f>
        <v>6.3070000000000004</v>
      </c>
      <c r="G66" s="13">
        <v>205.57</v>
      </c>
      <c r="H66" s="61">
        <f t="shared" si="8"/>
        <v>1.29652999</v>
      </c>
      <c r="I66" s="13">
        <v>0</v>
      </c>
    </row>
    <row r="67" spans="1:9" ht="15.75" hidden="1" customHeight="1">
      <c r="A67" s="30"/>
      <c r="B67" s="14" t="s">
        <v>51</v>
      </c>
      <c r="C67" s="16" t="s">
        <v>76</v>
      </c>
      <c r="D67" s="14" t="s">
        <v>54</v>
      </c>
      <c r="E67" s="64">
        <v>1003</v>
      </c>
      <c r="F67" s="13">
        <f>SUM(E67/100)</f>
        <v>10.029999999999999</v>
      </c>
      <c r="G67" s="13">
        <v>2581.5300000000002</v>
      </c>
      <c r="H67" s="61">
        <f t="shared" si="8"/>
        <v>25.892745900000001</v>
      </c>
      <c r="I67" s="13">
        <v>0</v>
      </c>
    </row>
    <row r="68" spans="1:9" ht="15.75" hidden="1" customHeight="1">
      <c r="A68" s="30"/>
      <c r="B68" s="77" t="s">
        <v>112</v>
      </c>
      <c r="C68" s="16" t="s">
        <v>33</v>
      </c>
      <c r="D68" s="14"/>
      <c r="E68" s="64">
        <v>6.6</v>
      </c>
      <c r="F68" s="13">
        <f>SUM(E68)</f>
        <v>6.6</v>
      </c>
      <c r="G68" s="13">
        <v>47.75</v>
      </c>
      <c r="H68" s="61">
        <f t="shared" si="8"/>
        <v>0.31514999999999999</v>
      </c>
      <c r="I68" s="13">
        <v>0</v>
      </c>
    </row>
    <row r="69" spans="1:9" ht="15.75" hidden="1" customHeight="1">
      <c r="A69" s="30"/>
      <c r="B69" s="77" t="s">
        <v>113</v>
      </c>
      <c r="C69" s="16" t="s">
        <v>33</v>
      </c>
      <c r="D69" s="14"/>
      <c r="E69" s="64">
        <v>6.6</v>
      </c>
      <c r="F69" s="13">
        <f>SUM(E69)</f>
        <v>6.6</v>
      </c>
      <c r="G69" s="13">
        <v>44.27</v>
      </c>
      <c r="H69" s="61">
        <f t="shared" si="8"/>
        <v>0.292182</v>
      </c>
      <c r="I69" s="13">
        <v>0</v>
      </c>
    </row>
    <row r="70" spans="1:9" ht="15.75" hidden="1" customHeight="1">
      <c r="A70" s="30">
        <v>19</v>
      </c>
      <c r="B70" s="14" t="s">
        <v>58</v>
      </c>
      <c r="C70" s="16" t="s">
        <v>59</v>
      </c>
      <c r="D70" s="14" t="s">
        <v>54</v>
      </c>
      <c r="E70" s="18">
        <v>3</v>
      </c>
      <c r="F70" s="65">
        <v>3</v>
      </c>
      <c r="G70" s="13">
        <v>62.07</v>
      </c>
      <c r="H70" s="61">
        <f t="shared" si="8"/>
        <v>0.18621000000000001</v>
      </c>
      <c r="I70" s="13">
        <f>F70*G70</f>
        <v>186.21</v>
      </c>
    </row>
    <row r="71" spans="1:9" ht="15.75" customHeight="1">
      <c r="A71" s="30">
        <v>12</v>
      </c>
      <c r="B71" s="14" t="s">
        <v>126</v>
      </c>
      <c r="C71" s="30" t="s">
        <v>127</v>
      </c>
      <c r="D71" s="14" t="s">
        <v>176</v>
      </c>
      <c r="E71" s="18">
        <v>1536.4</v>
      </c>
      <c r="F71" s="56">
        <f>E71*12</f>
        <v>18436.800000000003</v>
      </c>
      <c r="G71" s="13">
        <v>2.16</v>
      </c>
      <c r="H71" s="61">
        <f t="shared" si="8"/>
        <v>39.823488000000012</v>
      </c>
      <c r="I71" s="13">
        <f>F71/12*G71</f>
        <v>3318.6240000000007</v>
      </c>
    </row>
    <row r="72" spans="1:9" ht="15.75" customHeight="1">
      <c r="A72" s="30"/>
      <c r="B72" s="93" t="s">
        <v>71</v>
      </c>
      <c r="C72" s="16"/>
      <c r="D72" s="14"/>
      <c r="E72" s="18"/>
      <c r="F72" s="13"/>
      <c r="G72" s="13"/>
      <c r="H72" s="61" t="s">
        <v>118</v>
      </c>
      <c r="I72" s="13"/>
    </row>
    <row r="73" spans="1:9" ht="15.75" hidden="1" customHeight="1">
      <c r="A73" s="30"/>
      <c r="B73" s="14" t="s">
        <v>129</v>
      </c>
      <c r="C73" s="16" t="s">
        <v>130</v>
      </c>
      <c r="D73" s="14" t="s">
        <v>67</v>
      </c>
      <c r="E73" s="18">
        <v>1</v>
      </c>
      <c r="F73" s="13">
        <f>E73</f>
        <v>1</v>
      </c>
      <c r="G73" s="13">
        <v>976.4</v>
      </c>
      <c r="H73" s="61">
        <f t="shared" ref="H73:H74" si="9">SUM(F73*G73/1000)</f>
        <v>0.97639999999999993</v>
      </c>
      <c r="I73" s="13">
        <v>0</v>
      </c>
    </row>
    <row r="74" spans="1:9" ht="15.75" hidden="1" customHeight="1">
      <c r="A74" s="30"/>
      <c r="B74" s="14" t="s">
        <v>131</v>
      </c>
      <c r="C74" s="16" t="s">
        <v>132</v>
      </c>
      <c r="D74" s="14"/>
      <c r="E74" s="18">
        <v>1</v>
      </c>
      <c r="F74" s="13">
        <v>1</v>
      </c>
      <c r="G74" s="13">
        <v>650</v>
      </c>
      <c r="H74" s="61">
        <f t="shared" si="9"/>
        <v>0.65</v>
      </c>
      <c r="I74" s="13">
        <v>0</v>
      </c>
    </row>
    <row r="75" spans="1:9" ht="15.75" hidden="1" customHeight="1">
      <c r="A75" s="30"/>
      <c r="B75" s="14" t="s">
        <v>72</v>
      </c>
      <c r="C75" s="16" t="s">
        <v>74</v>
      </c>
      <c r="D75" s="14"/>
      <c r="E75" s="18">
        <v>3</v>
      </c>
      <c r="F75" s="13">
        <v>0.3</v>
      </c>
      <c r="G75" s="13">
        <v>624.16999999999996</v>
      </c>
      <c r="H75" s="61">
        <f t="shared" si="8"/>
        <v>0.18725099999999997</v>
      </c>
      <c r="I75" s="13">
        <v>0</v>
      </c>
    </row>
    <row r="76" spans="1:9" ht="15.75" hidden="1" customHeight="1">
      <c r="A76" s="30"/>
      <c r="B76" s="14" t="s">
        <v>73</v>
      </c>
      <c r="C76" s="16" t="s">
        <v>31</v>
      </c>
      <c r="D76" s="14"/>
      <c r="E76" s="18">
        <v>1</v>
      </c>
      <c r="F76" s="56">
        <v>1</v>
      </c>
      <c r="G76" s="13">
        <v>1061.4100000000001</v>
      </c>
      <c r="H76" s="61">
        <f>F76*G76/1000</f>
        <v>1.0614100000000002</v>
      </c>
      <c r="I76" s="13">
        <v>0</v>
      </c>
    </row>
    <row r="77" spans="1:9" ht="15.75" customHeight="1">
      <c r="A77" s="30">
        <v>13</v>
      </c>
      <c r="B77" s="46" t="s">
        <v>133</v>
      </c>
      <c r="C77" s="47" t="s">
        <v>106</v>
      </c>
      <c r="D77" s="14" t="s">
        <v>203</v>
      </c>
      <c r="E77" s="18">
        <v>1</v>
      </c>
      <c r="F77" s="13">
        <f>E77*12</f>
        <v>12</v>
      </c>
      <c r="G77" s="13">
        <v>50.69</v>
      </c>
      <c r="H77" s="61">
        <f>G77*F77/1000</f>
        <v>0.60827999999999993</v>
      </c>
      <c r="I77" s="13">
        <f>G77</f>
        <v>50.69</v>
      </c>
    </row>
    <row r="78" spans="1:9" ht="15.75" hidden="1" customHeight="1">
      <c r="A78" s="30"/>
      <c r="B78" s="79" t="s">
        <v>75</v>
      </c>
      <c r="C78" s="16"/>
      <c r="D78" s="14"/>
      <c r="E78" s="18"/>
      <c r="F78" s="13"/>
      <c r="G78" s="13" t="s">
        <v>118</v>
      </c>
      <c r="H78" s="61" t="s">
        <v>118</v>
      </c>
      <c r="I78" s="13" t="str">
        <f>G78</f>
        <v xml:space="preserve"> </v>
      </c>
    </row>
    <row r="79" spans="1:9" ht="15.75" hidden="1" customHeight="1">
      <c r="A79" s="30"/>
      <c r="B79" s="43" t="s">
        <v>134</v>
      </c>
      <c r="C79" s="16" t="s">
        <v>76</v>
      </c>
      <c r="D79" s="14"/>
      <c r="E79" s="18"/>
      <c r="F79" s="13">
        <v>0.1</v>
      </c>
      <c r="G79" s="13">
        <v>3433.69</v>
      </c>
      <c r="H79" s="61">
        <f t="shared" si="8"/>
        <v>0.34336900000000004</v>
      </c>
      <c r="I79" s="13">
        <v>0</v>
      </c>
    </row>
    <row r="80" spans="1:9" ht="15.75" hidden="1" customHeight="1">
      <c r="A80" s="30"/>
      <c r="B80" s="55" t="s">
        <v>90</v>
      </c>
      <c r="C80" s="79"/>
      <c r="D80" s="31"/>
      <c r="E80" s="32"/>
      <c r="F80" s="68"/>
      <c r="G80" s="68"/>
      <c r="H80" s="80">
        <f>SUM(H57:H79)</f>
        <v>97.346717790000014</v>
      </c>
      <c r="I80" s="13"/>
    </row>
    <row r="81" spans="1:9" ht="15.75" hidden="1" customHeight="1">
      <c r="A81" s="30"/>
      <c r="B81" s="62" t="s">
        <v>114</v>
      </c>
      <c r="C81" s="16"/>
      <c r="D81" s="14"/>
      <c r="E81" s="57"/>
      <c r="F81" s="13">
        <v>1</v>
      </c>
      <c r="G81" s="35">
        <v>6105.8</v>
      </c>
      <c r="H81" s="61">
        <f>G81*F81/1000</f>
        <v>6.1058000000000003</v>
      </c>
      <c r="I81" s="13">
        <v>0</v>
      </c>
    </row>
    <row r="82" spans="1:9" ht="15.75" customHeight="1">
      <c r="A82" s="148" t="s">
        <v>146</v>
      </c>
      <c r="B82" s="149"/>
      <c r="C82" s="149"/>
      <c r="D82" s="149"/>
      <c r="E82" s="149"/>
      <c r="F82" s="149"/>
      <c r="G82" s="149"/>
      <c r="H82" s="149"/>
      <c r="I82" s="150"/>
    </row>
    <row r="83" spans="1:9" ht="15.75" customHeight="1">
      <c r="A83" s="30">
        <v>14</v>
      </c>
      <c r="B83" s="62" t="s">
        <v>115</v>
      </c>
      <c r="C83" s="16" t="s">
        <v>55</v>
      </c>
      <c r="D83" s="81"/>
      <c r="E83" s="13">
        <v>1536.4</v>
      </c>
      <c r="F83" s="13">
        <f>SUM(E83*12)</f>
        <v>18436.800000000003</v>
      </c>
      <c r="G83" s="13">
        <v>2.95</v>
      </c>
      <c r="H83" s="61">
        <f>SUM(F83*G83/1000)</f>
        <v>54.388560000000012</v>
      </c>
      <c r="I83" s="13">
        <f>F83/12*G83</f>
        <v>4532.380000000001</v>
      </c>
    </row>
    <row r="84" spans="1:9" ht="31.5" customHeight="1">
      <c r="A84" s="30">
        <v>15</v>
      </c>
      <c r="B84" s="14" t="s">
        <v>77</v>
      </c>
      <c r="C84" s="16"/>
      <c r="D84" s="81"/>
      <c r="E84" s="64">
        <f>E83</f>
        <v>1536.4</v>
      </c>
      <c r="F84" s="13">
        <f>E84*12</f>
        <v>18436.800000000003</v>
      </c>
      <c r="G84" s="13">
        <v>3.05</v>
      </c>
      <c r="H84" s="61">
        <f>F84*G84/1000</f>
        <v>56.232240000000004</v>
      </c>
      <c r="I84" s="13">
        <f>F84/12*G84</f>
        <v>4686.0200000000004</v>
      </c>
    </row>
    <row r="85" spans="1:9" ht="15.75" customHeight="1">
      <c r="A85" s="30"/>
      <c r="B85" s="36" t="s">
        <v>79</v>
      </c>
      <c r="C85" s="79"/>
      <c r="D85" s="78"/>
      <c r="E85" s="68"/>
      <c r="F85" s="68"/>
      <c r="G85" s="68"/>
      <c r="H85" s="80">
        <f>H84</f>
        <v>56.232240000000004</v>
      </c>
      <c r="I85" s="68">
        <f>I84+I83+I77+I71+I61+I43+I42+I41+I40+I39+I38+I27+I18+I17+I16</f>
        <v>22722.292491166671</v>
      </c>
    </row>
    <row r="86" spans="1:9" ht="15.75" customHeight="1">
      <c r="A86" s="134" t="s">
        <v>61</v>
      </c>
      <c r="B86" s="135"/>
      <c r="C86" s="135"/>
      <c r="D86" s="135"/>
      <c r="E86" s="135"/>
      <c r="F86" s="135"/>
      <c r="G86" s="135"/>
      <c r="H86" s="135"/>
      <c r="I86" s="136"/>
    </row>
    <row r="87" spans="1:9" s="100" customFormat="1" ht="15.75" customHeight="1">
      <c r="A87" s="30">
        <v>16</v>
      </c>
      <c r="B87" s="111" t="s">
        <v>80</v>
      </c>
      <c r="C87" s="112" t="s">
        <v>106</v>
      </c>
      <c r="D87" s="43"/>
      <c r="E87" s="13"/>
      <c r="F87" s="13">
        <v>234</v>
      </c>
      <c r="G87" s="34">
        <v>207.55</v>
      </c>
      <c r="H87" s="13">
        <f t="shared" ref="H87" si="10">G87*F87/1000</f>
        <v>48.566700000000004</v>
      </c>
      <c r="I87" s="13">
        <f>G87*2</f>
        <v>415.1</v>
      </c>
    </row>
    <row r="88" spans="1:9" s="100" customFormat="1" ht="15.75" customHeight="1">
      <c r="A88" s="30">
        <v>17</v>
      </c>
      <c r="B88" s="111" t="s">
        <v>177</v>
      </c>
      <c r="C88" s="112" t="s">
        <v>106</v>
      </c>
      <c r="D88" s="43"/>
      <c r="E88" s="13"/>
      <c r="F88" s="13"/>
      <c r="G88" s="34">
        <v>1000</v>
      </c>
      <c r="H88" s="61"/>
      <c r="I88" s="13">
        <f>G88*1</f>
        <v>1000</v>
      </c>
    </row>
    <row r="89" spans="1:9" s="100" customFormat="1" ht="15.75" customHeight="1">
      <c r="A89" s="30">
        <v>18</v>
      </c>
      <c r="B89" s="111" t="s">
        <v>178</v>
      </c>
      <c r="C89" s="112" t="s">
        <v>29</v>
      </c>
      <c r="D89" s="43"/>
      <c r="E89" s="13"/>
      <c r="F89" s="13"/>
      <c r="G89" s="34">
        <v>1160.81</v>
      </c>
      <c r="H89" s="61"/>
      <c r="I89" s="13">
        <f>G89*0.302</f>
        <v>350.56461999999999</v>
      </c>
    </row>
    <row r="90" spans="1:9" s="100" customFormat="1" ht="15.75" customHeight="1">
      <c r="A90" s="30">
        <v>19</v>
      </c>
      <c r="B90" s="124" t="s">
        <v>179</v>
      </c>
      <c r="C90" s="112" t="s">
        <v>180</v>
      </c>
      <c r="D90" s="43"/>
      <c r="E90" s="13"/>
      <c r="F90" s="13"/>
      <c r="G90" s="34">
        <v>18603.849999999999</v>
      </c>
      <c r="H90" s="61"/>
      <c r="I90" s="13">
        <f>G90*0.01</f>
        <v>186.0385</v>
      </c>
    </row>
    <row r="91" spans="1:9" s="100" customFormat="1" ht="27.75" customHeight="1">
      <c r="A91" s="30">
        <v>20</v>
      </c>
      <c r="B91" s="111" t="s">
        <v>181</v>
      </c>
      <c r="C91" s="112" t="s">
        <v>182</v>
      </c>
      <c r="D91" s="43"/>
      <c r="E91" s="13"/>
      <c r="F91" s="13"/>
      <c r="G91" s="123">
        <v>6499.12</v>
      </c>
      <c r="H91" s="61"/>
      <c r="I91" s="13">
        <f>G91*0.62</f>
        <v>4029.4544000000001</v>
      </c>
    </row>
    <row r="92" spans="1:9" ht="15.75" customHeight="1">
      <c r="A92" s="30"/>
      <c r="B92" s="41" t="s">
        <v>52</v>
      </c>
      <c r="C92" s="37"/>
      <c r="D92" s="44"/>
      <c r="E92" s="37">
        <v>1</v>
      </c>
      <c r="F92" s="37"/>
      <c r="G92" s="37"/>
      <c r="H92" s="37"/>
      <c r="I92" s="32">
        <f>SUM(I87:I91)</f>
        <v>5981.1575200000007</v>
      </c>
    </row>
    <row r="93" spans="1:9" ht="15.75" customHeight="1">
      <c r="A93" s="30"/>
      <c r="B93" s="43" t="s">
        <v>78</v>
      </c>
      <c r="C93" s="15"/>
      <c r="D93" s="15"/>
      <c r="E93" s="38"/>
      <c r="F93" s="38"/>
      <c r="G93" s="39"/>
      <c r="H93" s="39"/>
      <c r="I93" s="17">
        <v>0</v>
      </c>
    </row>
    <row r="94" spans="1:9">
      <c r="A94" s="45"/>
      <c r="B94" s="42" t="s">
        <v>157</v>
      </c>
      <c r="C94" s="33"/>
      <c r="D94" s="33"/>
      <c r="E94" s="33"/>
      <c r="F94" s="33"/>
      <c r="G94" s="33"/>
      <c r="H94" s="33"/>
      <c r="I94" s="40">
        <f>I85+I92</f>
        <v>28703.450011166671</v>
      </c>
    </row>
    <row r="95" spans="1:9" ht="15.75">
      <c r="A95" s="143" t="s">
        <v>249</v>
      </c>
      <c r="B95" s="143"/>
      <c r="C95" s="143"/>
      <c r="D95" s="143"/>
      <c r="E95" s="143"/>
      <c r="F95" s="143"/>
      <c r="G95" s="143"/>
      <c r="H95" s="143"/>
      <c r="I95" s="143"/>
    </row>
    <row r="96" spans="1:9" ht="15.75" customHeight="1">
      <c r="A96" s="54"/>
      <c r="B96" s="144" t="s">
        <v>211</v>
      </c>
      <c r="C96" s="144"/>
      <c r="D96" s="144"/>
      <c r="E96" s="144"/>
      <c r="F96" s="144"/>
      <c r="G96" s="144"/>
      <c r="H96" s="60"/>
      <c r="I96" s="3"/>
    </row>
    <row r="97" spans="1:9">
      <c r="A97" s="91"/>
      <c r="B97" s="139" t="s">
        <v>6</v>
      </c>
      <c r="C97" s="139"/>
      <c r="D97" s="139"/>
      <c r="E97" s="139"/>
      <c r="F97" s="139"/>
      <c r="G97" s="139"/>
      <c r="H97" s="25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45" t="s">
        <v>7</v>
      </c>
      <c r="B99" s="145"/>
      <c r="C99" s="145"/>
      <c r="D99" s="145"/>
      <c r="E99" s="145"/>
      <c r="F99" s="145"/>
      <c r="G99" s="145"/>
      <c r="H99" s="145"/>
      <c r="I99" s="145"/>
    </row>
    <row r="100" spans="1:9" ht="15.75" customHeight="1">
      <c r="A100" s="145" t="s">
        <v>8</v>
      </c>
      <c r="B100" s="145"/>
      <c r="C100" s="145"/>
      <c r="D100" s="145"/>
      <c r="E100" s="145"/>
      <c r="F100" s="145"/>
      <c r="G100" s="145"/>
      <c r="H100" s="145"/>
      <c r="I100" s="145"/>
    </row>
    <row r="101" spans="1:9" ht="15.75">
      <c r="A101" s="146" t="s">
        <v>62</v>
      </c>
      <c r="B101" s="146"/>
      <c r="C101" s="146"/>
      <c r="D101" s="146"/>
      <c r="E101" s="146"/>
      <c r="F101" s="146"/>
      <c r="G101" s="146"/>
      <c r="H101" s="146"/>
      <c r="I101" s="146"/>
    </row>
    <row r="102" spans="1:9" ht="15.75">
      <c r="A102" s="11"/>
    </row>
    <row r="103" spans="1:9" ht="15.75">
      <c r="A103" s="137" t="s">
        <v>9</v>
      </c>
      <c r="B103" s="137"/>
      <c r="C103" s="137"/>
      <c r="D103" s="137"/>
      <c r="E103" s="137"/>
      <c r="F103" s="137"/>
      <c r="G103" s="137"/>
      <c r="H103" s="137"/>
      <c r="I103" s="137"/>
    </row>
    <row r="104" spans="1:9" ht="15.75">
      <c r="A104" s="4"/>
    </row>
    <row r="105" spans="1:9" ht="15.75">
      <c r="B105" s="88" t="s">
        <v>10</v>
      </c>
      <c r="C105" s="138" t="s">
        <v>137</v>
      </c>
      <c r="D105" s="138"/>
      <c r="E105" s="138"/>
      <c r="F105" s="58"/>
      <c r="I105" s="90"/>
    </row>
    <row r="106" spans="1:9">
      <c r="A106" s="91"/>
      <c r="C106" s="139" t="s">
        <v>11</v>
      </c>
      <c r="D106" s="139"/>
      <c r="E106" s="139"/>
      <c r="F106" s="25"/>
      <c r="I106" s="89" t="s">
        <v>12</v>
      </c>
    </row>
    <row r="107" spans="1:9" ht="15.75">
      <c r="A107" s="26"/>
      <c r="C107" s="12"/>
      <c r="D107" s="12"/>
      <c r="G107" s="12"/>
      <c r="H107" s="12"/>
    </row>
    <row r="108" spans="1:9" ht="15.75" customHeight="1">
      <c r="B108" s="88" t="s">
        <v>13</v>
      </c>
      <c r="C108" s="140"/>
      <c r="D108" s="140"/>
      <c r="E108" s="140"/>
      <c r="F108" s="59"/>
      <c r="I108" s="90"/>
    </row>
    <row r="109" spans="1:9" ht="15.75" customHeight="1">
      <c r="A109" s="91"/>
      <c r="C109" s="141" t="s">
        <v>11</v>
      </c>
      <c r="D109" s="141"/>
      <c r="E109" s="141"/>
      <c r="F109" s="91"/>
      <c r="I109" s="89" t="s">
        <v>12</v>
      </c>
    </row>
    <row r="110" spans="1:9" ht="15.75" customHeight="1">
      <c r="A110" s="4" t="s">
        <v>14</v>
      </c>
    </row>
    <row r="111" spans="1:9">
      <c r="A111" s="142" t="s">
        <v>15</v>
      </c>
      <c r="B111" s="142"/>
      <c r="C111" s="142"/>
      <c r="D111" s="142"/>
      <c r="E111" s="142"/>
      <c r="F111" s="142"/>
      <c r="G111" s="142"/>
      <c r="H111" s="142"/>
      <c r="I111" s="142"/>
    </row>
    <row r="112" spans="1:9" ht="45" customHeight="1">
      <c r="A112" s="133" t="s">
        <v>16</v>
      </c>
      <c r="B112" s="133"/>
      <c r="C112" s="133"/>
      <c r="D112" s="133"/>
      <c r="E112" s="133"/>
      <c r="F112" s="133"/>
      <c r="G112" s="133"/>
      <c r="H112" s="133"/>
      <c r="I112" s="133"/>
    </row>
    <row r="113" spans="1:9" ht="30" customHeight="1">
      <c r="A113" s="133" t="s">
        <v>17</v>
      </c>
      <c r="B113" s="133"/>
      <c r="C113" s="133"/>
      <c r="D113" s="133"/>
      <c r="E113" s="133"/>
      <c r="F113" s="133"/>
      <c r="G113" s="133"/>
      <c r="H113" s="133"/>
      <c r="I113" s="133"/>
    </row>
    <row r="114" spans="1:9" ht="30" customHeight="1">
      <c r="A114" s="133" t="s">
        <v>21</v>
      </c>
      <c r="B114" s="133"/>
      <c r="C114" s="133"/>
      <c r="D114" s="133"/>
      <c r="E114" s="133"/>
      <c r="F114" s="133"/>
      <c r="G114" s="133"/>
      <c r="H114" s="133"/>
      <c r="I114" s="133"/>
    </row>
    <row r="115" spans="1:9" ht="15" customHeight="1">
      <c r="A115" s="133" t="s">
        <v>20</v>
      </c>
      <c r="B115" s="133"/>
      <c r="C115" s="133"/>
      <c r="D115" s="133"/>
      <c r="E115" s="133"/>
      <c r="F115" s="133"/>
      <c r="G115" s="133"/>
      <c r="H115" s="133"/>
      <c r="I115" s="133"/>
    </row>
  </sheetData>
  <autoFilter ref="I12:I56"/>
  <mergeCells count="29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1:U61"/>
    <mergeCell ref="C109:E109"/>
    <mergeCell ref="A86:I86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2:I82"/>
    <mergeCell ref="A111:I111"/>
    <mergeCell ref="A112:I112"/>
    <mergeCell ref="A113:I113"/>
    <mergeCell ref="A114:I114"/>
    <mergeCell ref="A115:I115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57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4"/>
  <sheetViews>
    <sheetView view="pageBreakPreview" topLeftCell="A81" zoomScale="60" workbookViewId="0">
      <selection activeCell="A98" sqref="A98:I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162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51" t="s">
        <v>148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136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183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84">
        <v>43616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4" t="s">
        <v>163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5" t="s">
        <v>153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6" t="s">
        <v>60</v>
      </c>
      <c r="B14" s="156"/>
      <c r="C14" s="156"/>
      <c r="D14" s="156"/>
      <c r="E14" s="156"/>
      <c r="F14" s="156"/>
      <c r="G14" s="156"/>
      <c r="H14" s="156"/>
      <c r="I14" s="156"/>
      <c r="J14" s="8"/>
      <c r="K14" s="8"/>
      <c r="L14" s="8"/>
      <c r="M14" s="8"/>
    </row>
    <row r="15" spans="1:13" ht="1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0">
        <v>1</v>
      </c>
      <c r="B16" s="62" t="s">
        <v>83</v>
      </c>
      <c r="C16" s="63" t="s">
        <v>84</v>
      </c>
      <c r="D16" s="62" t="s">
        <v>195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18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116</v>
      </c>
      <c r="C17" s="63" t="s">
        <v>84</v>
      </c>
      <c r="D17" s="62" t="s">
        <v>196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117</v>
      </c>
      <c r="C18" s="63" t="s">
        <v>84</v>
      </c>
      <c r="D18" s="62" t="s">
        <v>197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customHeight="1">
      <c r="A19" s="30">
        <v>4</v>
      </c>
      <c r="B19" s="62" t="s">
        <v>91</v>
      </c>
      <c r="C19" s="63" t="s">
        <v>92</v>
      </c>
      <c r="D19" s="62" t="s">
        <v>212</v>
      </c>
      <c r="E19" s="64">
        <v>21.6</v>
      </c>
      <c r="F19" s="65">
        <f>SUM(E19/10)</f>
        <v>2.16</v>
      </c>
      <c r="G19" s="65">
        <v>211.74</v>
      </c>
      <c r="H19" s="66">
        <f t="shared" ref="H19:H26" si="1">SUM(F19*G19/1000)</f>
        <v>0.45735840000000005</v>
      </c>
      <c r="I19" s="13">
        <f>F19*G19</f>
        <v>457.35840000000007</v>
      </c>
      <c r="J19" s="23"/>
      <c r="K19" s="8"/>
      <c r="L19" s="8"/>
      <c r="M19" s="8"/>
    </row>
    <row r="20" spans="1:13" ht="15.75" customHeight="1">
      <c r="A20" s="30">
        <v>5</v>
      </c>
      <c r="B20" s="62" t="s">
        <v>94</v>
      </c>
      <c r="C20" s="63" t="s">
        <v>84</v>
      </c>
      <c r="D20" s="62" t="s">
        <v>176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1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customHeight="1">
      <c r="A21" s="30">
        <v>6</v>
      </c>
      <c r="B21" s="62" t="s">
        <v>95</v>
      </c>
      <c r="C21" s="63" t="s">
        <v>84</v>
      </c>
      <c r="D21" s="62" t="s">
        <v>176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1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customHeight="1">
      <c r="A22" s="30">
        <v>7</v>
      </c>
      <c r="B22" s="62" t="s">
        <v>96</v>
      </c>
      <c r="C22" s="63" t="s">
        <v>53</v>
      </c>
      <c r="D22" s="62" t="s">
        <v>213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1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customHeight="1">
      <c r="A23" s="30">
        <v>8</v>
      </c>
      <c r="B23" s="62" t="s">
        <v>97</v>
      </c>
      <c r="C23" s="63" t="s">
        <v>53</v>
      </c>
      <c r="D23" s="62" t="s">
        <v>214</v>
      </c>
      <c r="E23" s="67">
        <v>17.64</v>
      </c>
      <c r="F23" s="65">
        <f>SUM(E23/100)</f>
        <v>0.1764</v>
      </c>
      <c r="G23" s="65">
        <v>55.1</v>
      </c>
      <c r="H23" s="66">
        <f t="shared" si="1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customHeight="1">
      <c r="A24" s="30">
        <v>9</v>
      </c>
      <c r="B24" s="62" t="s">
        <v>98</v>
      </c>
      <c r="C24" s="63" t="s">
        <v>53</v>
      </c>
      <c r="D24" s="62" t="s">
        <v>214</v>
      </c>
      <c r="E24" s="64">
        <v>7.2</v>
      </c>
      <c r="F24" s="65">
        <f>E24/100</f>
        <v>7.2000000000000008E-2</v>
      </c>
      <c r="G24" s="65">
        <v>484.94</v>
      </c>
      <c r="H24" s="66">
        <f t="shared" si="1"/>
        <v>3.4915680000000004E-2</v>
      </c>
      <c r="I24" s="13">
        <f t="shared" si="2"/>
        <v>34.915680000000002</v>
      </c>
      <c r="J24" s="23"/>
      <c r="K24" s="8"/>
      <c r="L24" s="8"/>
      <c r="M24" s="8"/>
    </row>
    <row r="25" spans="1:13" ht="15.75" customHeight="1">
      <c r="A25" s="30">
        <v>10</v>
      </c>
      <c r="B25" s="62" t="s">
        <v>100</v>
      </c>
      <c r="C25" s="63" t="s">
        <v>53</v>
      </c>
      <c r="D25" s="62" t="s">
        <v>203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1"/>
        <v>2.5412939999999998E-2</v>
      </c>
      <c r="I25" s="13">
        <f t="shared" si="2"/>
        <v>25.412939999999999</v>
      </c>
      <c r="J25" s="23"/>
      <c r="K25" s="8"/>
      <c r="L25" s="8"/>
      <c r="M25" s="8"/>
    </row>
    <row r="26" spans="1:13" ht="15.75" customHeight="1">
      <c r="A26" s="30">
        <v>11</v>
      </c>
      <c r="B26" s="62" t="s">
        <v>101</v>
      </c>
      <c r="C26" s="63" t="s">
        <v>53</v>
      </c>
      <c r="D26" s="62" t="s">
        <v>212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1"/>
        <v>7.387740000000001E-2</v>
      </c>
      <c r="I26" s="13">
        <f t="shared" si="2"/>
        <v>73.877400000000009</v>
      </c>
      <c r="J26" s="23"/>
      <c r="K26" s="8"/>
      <c r="L26" s="8"/>
      <c r="M26" s="8"/>
    </row>
    <row r="27" spans="1:13" ht="15.75" customHeight="1">
      <c r="A27" s="30">
        <v>12</v>
      </c>
      <c r="B27" s="126" t="s">
        <v>194</v>
      </c>
      <c r="C27" s="127" t="s">
        <v>25</v>
      </c>
      <c r="D27" s="126" t="s">
        <v>198</v>
      </c>
      <c r="E27" s="128">
        <v>2.91</v>
      </c>
      <c r="F27" s="117">
        <f>E27*258</f>
        <v>750.78000000000009</v>
      </c>
      <c r="G27" s="117">
        <v>10.39</v>
      </c>
      <c r="H27" s="66">
        <f>SUM(F27*G27/1000)</f>
        <v>7.8006042000000013</v>
      </c>
      <c r="I27" s="13">
        <f>F27/12*G27</f>
        <v>650.05035000000009</v>
      </c>
      <c r="J27" s="23"/>
      <c r="K27" s="8"/>
    </row>
    <row r="28" spans="1:13" ht="15.75" customHeight="1">
      <c r="A28" s="148" t="s">
        <v>154</v>
      </c>
      <c r="B28" s="149"/>
      <c r="C28" s="149"/>
      <c r="D28" s="149"/>
      <c r="E28" s="149"/>
      <c r="F28" s="149"/>
      <c r="G28" s="149"/>
      <c r="H28" s="149"/>
      <c r="I28" s="150"/>
      <c r="J28" s="24"/>
    </row>
    <row r="29" spans="1:13" ht="15.75" customHeight="1">
      <c r="A29" s="30"/>
      <c r="B29" s="82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customHeight="1">
      <c r="A30" s="30">
        <v>13</v>
      </c>
      <c r="B30" s="62" t="s">
        <v>104</v>
      </c>
      <c r="C30" s="63" t="s">
        <v>87</v>
      </c>
      <c r="D30" s="62" t="s">
        <v>196</v>
      </c>
      <c r="E30" s="65">
        <v>61.5</v>
      </c>
      <c r="F30" s="65">
        <f>SUM(E30*52/1000)</f>
        <v>3.198</v>
      </c>
      <c r="G30" s="65">
        <v>193.97</v>
      </c>
      <c r="H30" s="66">
        <f t="shared" ref="H30:H34" si="3">SUM(F30*G30/1000)</f>
        <v>0.62031605999999995</v>
      </c>
      <c r="I30" s="13">
        <f t="shared" ref="I30:I31" si="4">F30/6*G30</f>
        <v>103.38601</v>
      </c>
      <c r="J30" s="23"/>
      <c r="K30" s="8"/>
      <c r="L30" s="8"/>
      <c r="M30" s="8"/>
    </row>
    <row r="31" spans="1:13" ht="31.5" customHeight="1">
      <c r="A31" s="30">
        <v>14</v>
      </c>
      <c r="B31" s="62" t="s">
        <v>103</v>
      </c>
      <c r="C31" s="63" t="s">
        <v>87</v>
      </c>
      <c r="D31" s="62" t="s">
        <v>195</v>
      </c>
      <c r="E31" s="65">
        <v>35.299999999999997</v>
      </c>
      <c r="F31" s="65">
        <f>SUM(E31*78/1000)</f>
        <v>2.7533999999999996</v>
      </c>
      <c r="G31" s="65">
        <v>321.82</v>
      </c>
      <c r="H31" s="66">
        <f t="shared" si="3"/>
        <v>0.88609918799999987</v>
      </c>
      <c r="I31" s="13">
        <f t="shared" si="4"/>
        <v>147.68319799999998</v>
      </c>
      <c r="J31" s="23"/>
      <c r="K31" s="8"/>
      <c r="L31" s="8"/>
      <c r="M31" s="8"/>
    </row>
    <row r="32" spans="1:13" ht="15.75" customHeight="1">
      <c r="A32" s="30">
        <v>15</v>
      </c>
      <c r="B32" s="62" t="s">
        <v>27</v>
      </c>
      <c r="C32" s="63" t="s">
        <v>87</v>
      </c>
      <c r="D32" s="62" t="s">
        <v>203</v>
      </c>
      <c r="E32" s="65">
        <v>61.5</v>
      </c>
      <c r="F32" s="65">
        <f>SUM(E32/1000)</f>
        <v>6.1499999999999999E-2</v>
      </c>
      <c r="G32" s="65">
        <v>3758.28</v>
      </c>
      <c r="H32" s="66">
        <f t="shared" si="3"/>
        <v>0.23113422</v>
      </c>
      <c r="I32" s="13">
        <f>F32*G32</f>
        <v>231.13422</v>
      </c>
      <c r="J32" s="23"/>
      <c r="K32" s="8"/>
      <c r="L32" s="8"/>
      <c r="M32" s="8"/>
    </row>
    <row r="33" spans="1:14" ht="15.75" hidden="1" customHeight="1">
      <c r="A33" s="30"/>
      <c r="B33" s="62" t="s">
        <v>65</v>
      </c>
      <c r="C33" s="63" t="s">
        <v>33</v>
      </c>
      <c r="D33" s="62" t="s">
        <v>67</v>
      </c>
      <c r="E33" s="64"/>
      <c r="F33" s="65">
        <v>1</v>
      </c>
      <c r="G33" s="65">
        <v>238.07</v>
      </c>
      <c r="H33" s="66">
        <f t="shared" si="3"/>
        <v>0.23807</v>
      </c>
      <c r="I33" s="13">
        <v>0</v>
      </c>
      <c r="J33" s="24"/>
    </row>
    <row r="34" spans="1:14" ht="15.75" hidden="1" customHeight="1">
      <c r="A34" s="30"/>
      <c r="B34" s="62" t="s">
        <v>66</v>
      </c>
      <c r="C34" s="63" t="s">
        <v>32</v>
      </c>
      <c r="D34" s="62" t="s">
        <v>67</v>
      </c>
      <c r="E34" s="64"/>
      <c r="F34" s="65">
        <v>1</v>
      </c>
      <c r="G34" s="65">
        <v>1413.96</v>
      </c>
      <c r="H34" s="66">
        <f t="shared" si="3"/>
        <v>1.4139600000000001</v>
      </c>
      <c r="I34" s="13">
        <v>0</v>
      </c>
      <c r="J34" s="24"/>
    </row>
    <row r="35" spans="1:14" ht="15.75" hidden="1" customHeight="1">
      <c r="A35" s="30"/>
      <c r="B35" s="82" t="s">
        <v>5</v>
      </c>
      <c r="C35" s="63"/>
      <c r="D35" s="62"/>
      <c r="E35" s="64"/>
      <c r="F35" s="65"/>
      <c r="G35" s="65"/>
      <c r="H35" s="66" t="s">
        <v>118</v>
      </c>
      <c r="I35" s="13"/>
      <c r="J35" s="24"/>
      <c r="L35" s="19"/>
      <c r="M35" s="20"/>
      <c r="N35" s="21"/>
    </row>
    <row r="36" spans="1:14" ht="15.75" hidden="1" customHeight="1">
      <c r="A36" s="30">
        <v>6</v>
      </c>
      <c r="B36" s="62" t="s">
        <v>26</v>
      </c>
      <c r="C36" s="63" t="s">
        <v>32</v>
      </c>
      <c r="D36" s="62"/>
      <c r="E36" s="64"/>
      <c r="F36" s="65">
        <v>3</v>
      </c>
      <c r="G36" s="65">
        <v>1900.37</v>
      </c>
      <c r="H36" s="66">
        <f t="shared" ref="H36:H41" si="5">SUM(F36*G36/1000)</f>
        <v>5.7011099999999999</v>
      </c>
      <c r="I36" s="13">
        <f t="shared" ref="I36:I41" si="6">F36/6*G36</f>
        <v>950.18499999999995</v>
      </c>
      <c r="J36" s="24"/>
      <c r="L36" s="19"/>
      <c r="M36" s="20"/>
      <c r="N36" s="21"/>
    </row>
    <row r="37" spans="1:14" ht="31.5" hidden="1" customHeight="1">
      <c r="A37" s="30">
        <v>7</v>
      </c>
      <c r="B37" s="62" t="s">
        <v>119</v>
      </c>
      <c r="C37" s="63" t="s">
        <v>29</v>
      </c>
      <c r="D37" s="62" t="s">
        <v>85</v>
      </c>
      <c r="E37" s="64">
        <v>35.299999999999997</v>
      </c>
      <c r="F37" s="65">
        <f>E37*30/1000</f>
        <v>1.0589999999999999</v>
      </c>
      <c r="G37" s="65">
        <v>2616.4899999999998</v>
      </c>
      <c r="H37" s="66">
        <f t="shared" si="5"/>
        <v>2.77086291</v>
      </c>
      <c r="I37" s="13">
        <f t="shared" si="6"/>
        <v>461.81048499999991</v>
      </c>
      <c r="J37" s="24"/>
      <c r="L37" s="19"/>
      <c r="M37" s="20"/>
      <c r="N37" s="21"/>
    </row>
    <row r="38" spans="1:14" ht="15.75" hidden="1" customHeight="1">
      <c r="A38" s="30">
        <v>8</v>
      </c>
      <c r="B38" s="62" t="s">
        <v>120</v>
      </c>
      <c r="C38" s="63" t="s">
        <v>29</v>
      </c>
      <c r="D38" s="62" t="s">
        <v>86</v>
      </c>
      <c r="E38" s="64">
        <v>35.299999999999997</v>
      </c>
      <c r="F38" s="65">
        <f>SUM(E38*155/1000)</f>
        <v>5.4714999999999998</v>
      </c>
      <c r="G38" s="65">
        <v>436.45</v>
      </c>
      <c r="H38" s="66">
        <f t="shared" si="5"/>
        <v>2.3880361749999999</v>
      </c>
      <c r="I38" s="13">
        <f t="shared" si="6"/>
        <v>398.00602916666662</v>
      </c>
      <c r="J38" s="24"/>
      <c r="L38" s="19"/>
      <c r="M38" s="20"/>
      <c r="N38" s="21"/>
    </row>
    <row r="39" spans="1:14" ht="47.25" hidden="1" customHeight="1">
      <c r="A39" s="30">
        <v>9</v>
      </c>
      <c r="B39" s="62" t="s">
        <v>121</v>
      </c>
      <c r="C39" s="63" t="s">
        <v>87</v>
      </c>
      <c r="D39" s="62" t="s">
        <v>122</v>
      </c>
      <c r="E39" s="64">
        <v>35.299999999999997</v>
      </c>
      <c r="F39" s="65">
        <f>SUM(E39*24/1000)</f>
        <v>0.84719999999999995</v>
      </c>
      <c r="G39" s="65">
        <v>7221.21</v>
      </c>
      <c r="H39" s="66">
        <f t="shared" si="5"/>
        <v>6.1178091119999998</v>
      </c>
      <c r="I39" s="13">
        <f t="shared" si="6"/>
        <v>1019.6348519999999</v>
      </c>
      <c r="J39" s="24"/>
      <c r="L39" s="19"/>
      <c r="M39" s="20"/>
      <c r="N39" s="21"/>
    </row>
    <row r="40" spans="1:14" ht="15.75" hidden="1" customHeight="1">
      <c r="A40" s="30">
        <v>10</v>
      </c>
      <c r="B40" s="62" t="s">
        <v>123</v>
      </c>
      <c r="C40" s="63" t="s">
        <v>87</v>
      </c>
      <c r="D40" s="62" t="s">
        <v>68</v>
      </c>
      <c r="E40" s="64">
        <v>35.299999999999997</v>
      </c>
      <c r="F40" s="65">
        <f>SUM(E40*45/1000)</f>
        <v>1.5884999999999998</v>
      </c>
      <c r="G40" s="65">
        <v>533.45000000000005</v>
      </c>
      <c r="H40" s="66">
        <f t="shared" si="5"/>
        <v>0.84738532499999997</v>
      </c>
      <c r="I40" s="13">
        <f t="shared" si="6"/>
        <v>141.23088749999999</v>
      </c>
      <c r="J40" s="24"/>
      <c r="L40" s="19"/>
      <c r="M40" s="20"/>
      <c r="N40" s="21"/>
    </row>
    <row r="41" spans="1:14" ht="15.75" hidden="1" customHeight="1">
      <c r="A41" s="30">
        <v>11</v>
      </c>
      <c r="B41" s="62" t="s">
        <v>69</v>
      </c>
      <c r="C41" s="63" t="s">
        <v>33</v>
      </c>
      <c r="D41" s="62"/>
      <c r="E41" s="64"/>
      <c r="F41" s="65">
        <v>0.3</v>
      </c>
      <c r="G41" s="65">
        <v>992.97</v>
      </c>
      <c r="H41" s="66">
        <f t="shared" si="5"/>
        <v>0.29789100000000002</v>
      </c>
      <c r="I41" s="13">
        <f t="shared" si="6"/>
        <v>49.648499999999999</v>
      </c>
      <c r="J41" s="24"/>
      <c r="L41" s="19"/>
      <c r="M41" s="20"/>
      <c r="N41" s="21"/>
    </row>
    <row r="42" spans="1:14" ht="15.75" customHeight="1">
      <c r="A42" s="148" t="s">
        <v>139</v>
      </c>
      <c r="B42" s="149"/>
      <c r="C42" s="149"/>
      <c r="D42" s="149"/>
      <c r="E42" s="149"/>
      <c r="F42" s="149"/>
      <c r="G42" s="149"/>
      <c r="H42" s="149"/>
      <c r="I42" s="150"/>
      <c r="J42" s="24"/>
      <c r="L42" s="19"/>
      <c r="M42" s="20"/>
      <c r="N42" s="21"/>
    </row>
    <row r="43" spans="1:14" ht="15.75" customHeight="1">
      <c r="A43" s="30">
        <v>16</v>
      </c>
      <c r="B43" s="62" t="s">
        <v>105</v>
      </c>
      <c r="C43" s="63" t="s">
        <v>87</v>
      </c>
      <c r="D43" s="62" t="s">
        <v>176</v>
      </c>
      <c r="E43" s="64">
        <v>907.4</v>
      </c>
      <c r="F43" s="65">
        <f>SUM(E43*2/1000)</f>
        <v>1.8148</v>
      </c>
      <c r="G43" s="13">
        <v>1283.46</v>
      </c>
      <c r="H43" s="66">
        <f t="shared" ref="H43:H52" si="7">SUM(F43*G43/1000)</f>
        <v>2.3292232079999997</v>
      </c>
      <c r="I43" s="13">
        <f>F43/2*G43</f>
        <v>1164.6116039999999</v>
      </c>
      <c r="J43" s="24"/>
      <c r="L43" s="19"/>
      <c r="M43" s="20"/>
      <c r="N43" s="21"/>
    </row>
    <row r="44" spans="1:14" ht="15.75" customHeight="1">
      <c r="A44" s="30">
        <v>17</v>
      </c>
      <c r="B44" s="62" t="s">
        <v>36</v>
      </c>
      <c r="C44" s="63" t="s">
        <v>87</v>
      </c>
      <c r="D44" s="62" t="s">
        <v>176</v>
      </c>
      <c r="E44" s="64">
        <v>27</v>
      </c>
      <c r="F44" s="65">
        <f>SUM(E44*2/1000)</f>
        <v>5.3999999999999999E-2</v>
      </c>
      <c r="G44" s="13">
        <v>4192.6400000000003</v>
      </c>
      <c r="H44" s="66">
        <f t="shared" si="7"/>
        <v>0.22640256000000003</v>
      </c>
      <c r="I44" s="13">
        <f t="shared" ref="I44:I51" si="8">F44/2*G44</f>
        <v>113.20128000000001</v>
      </c>
      <c r="J44" s="24"/>
      <c r="L44" s="19"/>
      <c r="M44" s="20"/>
      <c r="N44" s="21"/>
    </row>
    <row r="45" spans="1:14" ht="15.75" customHeight="1">
      <c r="A45" s="30">
        <v>18</v>
      </c>
      <c r="B45" s="62" t="s">
        <v>37</v>
      </c>
      <c r="C45" s="63" t="s">
        <v>87</v>
      </c>
      <c r="D45" s="62" t="s">
        <v>176</v>
      </c>
      <c r="E45" s="64">
        <v>772</v>
      </c>
      <c r="F45" s="65">
        <f>SUM(E45*2/1000)</f>
        <v>1.544</v>
      </c>
      <c r="G45" s="13">
        <v>1711.28</v>
      </c>
      <c r="H45" s="66">
        <f t="shared" si="7"/>
        <v>2.6422163200000002</v>
      </c>
      <c r="I45" s="13">
        <f t="shared" si="8"/>
        <v>1321.10816</v>
      </c>
      <c r="J45" s="24"/>
      <c r="L45" s="19"/>
      <c r="M45" s="20"/>
      <c r="N45" s="21"/>
    </row>
    <row r="46" spans="1:14" ht="15.75" customHeight="1">
      <c r="A46" s="30">
        <v>19</v>
      </c>
      <c r="B46" s="62" t="s">
        <v>38</v>
      </c>
      <c r="C46" s="63" t="s">
        <v>87</v>
      </c>
      <c r="D46" s="62" t="s">
        <v>176</v>
      </c>
      <c r="E46" s="64">
        <v>959.4</v>
      </c>
      <c r="F46" s="65">
        <f>SUM(E46*2/1000)</f>
        <v>1.9188000000000001</v>
      </c>
      <c r="G46" s="13">
        <v>1179.73</v>
      </c>
      <c r="H46" s="66">
        <f t="shared" si="7"/>
        <v>2.2636659240000001</v>
      </c>
      <c r="I46" s="13">
        <f t="shared" si="8"/>
        <v>1131.832962</v>
      </c>
      <c r="J46" s="24"/>
      <c r="L46" s="19"/>
      <c r="M46" s="20"/>
      <c r="N46" s="21"/>
    </row>
    <row r="47" spans="1:14" ht="15.75" customHeight="1">
      <c r="A47" s="30">
        <v>20</v>
      </c>
      <c r="B47" s="62" t="s">
        <v>34</v>
      </c>
      <c r="C47" s="63" t="s">
        <v>35</v>
      </c>
      <c r="D47" s="62" t="s">
        <v>176</v>
      </c>
      <c r="E47" s="64">
        <v>66.02</v>
      </c>
      <c r="F47" s="65">
        <f>SUM(E47*2/100)</f>
        <v>1.3204</v>
      </c>
      <c r="G47" s="13">
        <v>90.61</v>
      </c>
      <c r="H47" s="66">
        <f t="shared" si="7"/>
        <v>0.11964144400000001</v>
      </c>
      <c r="I47" s="13">
        <f t="shared" si="8"/>
        <v>59.820722000000004</v>
      </c>
      <c r="J47" s="24"/>
      <c r="L47" s="19"/>
      <c r="M47" s="20"/>
      <c r="N47" s="21"/>
    </row>
    <row r="48" spans="1:14" ht="14.25" customHeight="1">
      <c r="A48" s="30">
        <v>21</v>
      </c>
      <c r="B48" s="62" t="s">
        <v>57</v>
      </c>
      <c r="C48" s="63" t="s">
        <v>87</v>
      </c>
      <c r="D48" s="62" t="s">
        <v>176</v>
      </c>
      <c r="E48" s="64">
        <v>1536.4</v>
      </c>
      <c r="F48" s="65">
        <f>SUM(E48*5/1000)</f>
        <v>7.6820000000000004</v>
      </c>
      <c r="G48" s="13">
        <v>1711.28</v>
      </c>
      <c r="H48" s="66">
        <f t="shared" si="7"/>
        <v>13.14605296</v>
      </c>
      <c r="I48" s="13">
        <f>F48/5*G48</f>
        <v>2629.2105919999999</v>
      </c>
      <c r="J48" s="24"/>
      <c r="L48" s="19"/>
      <c r="M48" s="20"/>
      <c r="N48" s="21"/>
    </row>
    <row r="49" spans="1:22" ht="28.5" customHeight="1">
      <c r="A49" s="30">
        <v>22</v>
      </c>
      <c r="B49" s="62" t="s">
        <v>88</v>
      </c>
      <c r="C49" s="63" t="s">
        <v>87</v>
      </c>
      <c r="D49" s="62" t="s">
        <v>176</v>
      </c>
      <c r="E49" s="64">
        <v>1536.4</v>
      </c>
      <c r="F49" s="65">
        <f>SUM(E49*2/1000)</f>
        <v>3.0728</v>
      </c>
      <c r="G49" s="13">
        <v>1510.06</v>
      </c>
      <c r="H49" s="66">
        <f t="shared" si="7"/>
        <v>4.6401123680000005</v>
      </c>
      <c r="I49" s="13">
        <f t="shared" si="8"/>
        <v>2320.056184</v>
      </c>
      <c r="J49" s="24"/>
      <c r="L49" s="19"/>
      <c r="M49" s="20"/>
      <c r="N49" s="21"/>
    </row>
    <row r="50" spans="1:22" ht="28.5" customHeight="1">
      <c r="A50" s="30">
        <v>23</v>
      </c>
      <c r="B50" s="62" t="s">
        <v>89</v>
      </c>
      <c r="C50" s="63" t="s">
        <v>39</v>
      </c>
      <c r="D50" s="62" t="s">
        <v>176</v>
      </c>
      <c r="E50" s="64">
        <v>9</v>
      </c>
      <c r="F50" s="65">
        <f>SUM(E50*2/100)</f>
        <v>0.18</v>
      </c>
      <c r="G50" s="13">
        <v>3850.4</v>
      </c>
      <c r="H50" s="66">
        <f t="shared" si="7"/>
        <v>0.69307200000000002</v>
      </c>
      <c r="I50" s="13">
        <f t="shared" si="8"/>
        <v>346.536</v>
      </c>
      <c r="J50" s="24"/>
      <c r="L50" s="19"/>
      <c r="M50" s="20"/>
      <c r="N50" s="21"/>
    </row>
    <row r="51" spans="1:22" ht="17.25" customHeight="1">
      <c r="A51" s="30">
        <v>24</v>
      </c>
      <c r="B51" s="62" t="s">
        <v>40</v>
      </c>
      <c r="C51" s="63" t="s">
        <v>41</v>
      </c>
      <c r="D51" s="62" t="s">
        <v>176</v>
      </c>
      <c r="E51" s="64">
        <v>1</v>
      </c>
      <c r="F51" s="65">
        <v>0.02</v>
      </c>
      <c r="G51" s="13">
        <v>7033.13</v>
      </c>
      <c r="H51" s="66">
        <f t="shared" si="7"/>
        <v>0.1406626</v>
      </c>
      <c r="I51" s="13">
        <f t="shared" si="8"/>
        <v>70.331299999999999</v>
      </c>
      <c r="J51" s="24"/>
      <c r="L51" s="19"/>
      <c r="M51" s="20"/>
      <c r="N51" s="21"/>
    </row>
    <row r="52" spans="1:22" ht="15.75" customHeight="1">
      <c r="A52" s="30">
        <v>25</v>
      </c>
      <c r="B52" s="62" t="s">
        <v>42</v>
      </c>
      <c r="C52" s="63" t="s">
        <v>106</v>
      </c>
      <c r="D52" s="129">
        <v>43602</v>
      </c>
      <c r="E52" s="64">
        <v>53</v>
      </c>
      <c r="F52" s="65">
        <v>53</v>
      </c>
      <c r="G52" s="13">
        <v>81.73</v>
      </c>
      <c r="H52" s="66">
        <f t="shared" si="7"/>
        <v>4.3316900000000009</v>
      </c>
      <c r="I52" s="13">
        <f>G52*F52/3</f>
        <v>1443.8966666666668</v>
      </c>
      <c r="J52" s="24"/>
      <c r="L52" s="19"/>
    </row>
    <row r="53" spans="1:22" ht="15.75" customHeight="1">
      <c r="A53" s="148" t="s">
        <v>140</v>
      </c>
      <c r="B53" s="149"/>
      <c r="C53" s="149"/>
      <c r="D53" s="149"/>
      <c r="E53" s="149"/>
      <c r="F53" s="149"/>
      <c r="G53" s="149"/>
      <c r="H53" s="149"/>
      <c r="I53" s="150"/>
    </row>
    <row r="54" spans="1:22" ht="16.5" customHeight="1">
      <c r="A54" s="30"/>
      <c r="B54" s="82" t="s">
        <v>44</v>
      </c>
      <c r="C54" s="63"/>
      <c r="D54" s="62"/>
      <c r="E54" s="64"/>
      <c r="F54" s="65"/>
      <c r="G54" s="65"/>
      <c r="H54" s="66"/>
      <c r="I54" s="13"/>
    </row>
    <row r="55" spans="1:22" ht="18.75" hidden="1" customHeight="1">
      <c r="A55" s="30">
        <v>15</v>
      </c>
      <c r="B55" s="62" t="s">
        <v>107</v>
      </c>
      <c r="C55" s="63" t="s">
        <v>84</v>
      </c>
      <c r="D55" s="62" t="s">
        <v>108</v>
      </c>
      <c r="E55" s="64">
        <v>11.5</v>
      </c>
      <c r="F55" s="65">
        <f>SUM(E55*6/100)</f>
        <v>0.69</v>
      </c>
      <c r="G55" s="13">
        <v>2306.62</v>
      </c>
      <c r="H55" s="66">
        <f>SUM(F55*G55/1000)</f>
        <v>1.5915677999999998</v>
      </c>
      <c r="I55" s="13">
        <f>F55/6*G55</f>
        <v>265.26129999999995</v>
      </c>
    </row>
    <row r="56" spans="1:22" ht="15.75" customHeight="1">
      <c r="A56" s="30">
        <v>26</v>
      </c>
      <c r="B56" s="62" t="s">
        <v>124</v>
      </c>
      <c r="C56" s="63" t="s">
        <v>125</v>
      </c>
      <c r="D56" s="62" t="s">
        <v>67</v>
      </c>
      <c r="E56" s="64"/>
      <c r="F56" s="65">
        <v>2</v>
      </c>
      <c r="G56" s="85">
        <v>1501</v>
      </c>
      <c r="H56" s="66">
        <f>SUM(F56*G56/1000)</f>
        <v>3.0019999999999998</v>
      </c>
      <c r="I56" s="13">
        <f>G56*1</f>
        <v>1501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9"/>
    </row>
    <row r="57" spans="1:22" ht="15.75" customHeight="1">
      <c r="A57" s="30"/>
      <c r="B57" s="82" t="s">
        <v>45</v>
      </c>
      <c r="C57" s="63"/>
      <c r="D57" s="62"/>
      <c r="E57" s="64"/>
      <c r="F57" s="65"/>
      <c r="G57" s="86"/>
      <c r="H57" s="66"/>
      <c r="I57" s="13"/>
      <c r="J57" s="26"/>
      <c r="K57" s="26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2" ht="15.75" hidden="1" customHeight="1">
      <c r="A58" s="30"/>
      <c r="B58" s="62" t="s">
        <v>109</v>
      </c>
      <c r="C58" s="63" t="s">
        <v>84</v>
      </c>
      <c r="D58" s="62" t="s">
        <v>54</v>
      </c>
      <c r="E58" s="64">
        <v>148</v>
      </c>
      <c r="F58" s="66">
        <f>E58/100</f>
        <v>1.48</v>
      </c>
      <c r="G58" s="13">
        <v>987.51</v>
      </c>
      <c r="H58" s="71">
        <f>F58*G58/1000</f>
        <v>1.4615148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S58" s="3"/>
      <c r="T58" s="3"/>
      <c r="U58" s="3"/>
    </row>
    <row r="59" spans="1:22" ht="15.75" customHeight="1">
      <c r="A59" s="30">
        <v>27</v>
      </c>
      <c r="B59" s="73" t="s">
        <v>135</v>
      </c>
      <c r="C59" s="72" t="s">
        <v>25</v>
      </c>
      <c r="D59" s="73" t="s">
        <v>128</v>
      </c>
      <c r="E59" s="74">
        <v>140.5</v>
      </c>
      <c r="F59" s="65">
        <v>1320</v>
      </c>
      <c r="G59" s="87">
        <v>1.4</v>
      </c>
      <c r="H59" s="71">
        <f>F59*G59/1000</f>
        <v>1.8479999999999999</v>
      </c>
      <c r="I59" s="13">
        <f>F59/12*G59</f>
        <v>154</v>
      </c>
      <c r="J59" s="5"/>
      <c r="K59" s="5"/>
      <c r="L59" s="5"/>
      <c r="M59" s="5"/>
      <c r="N59" s="5"/>
      <c r="O59" s="5"/>
      <c r="P59" s="5"/>
      <c r="Q59" s="5"/>
      <c r="R59" s="141"/>
      <c r="S59" s="141"/>
      <c r="T59" s="141"/>
      <c r="U59" s="141"/>
    </row>
    <row r="60" spans="1:22" ht="15.75" hidden="1" customHeight="1">
      <c r="A60" s="30"/>
      <c r="B60" s="83" t="s">
        <v>46</v>
      </c>
      <c r="C60" s="72"/>
      <c r="D60" s="73"/>
      <c r="E60" s="74"/>
      <c r="F60" s="75"/>
      <c r="G60" s="75"/>
      <c r="H60" s="76" t="s">
        <v>118</v>
      </c>
      <c r="I60" s="13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2" ht="15.75" hidden="1" customHeight="1">
      <c r="A61" s="30">
        <v>16</v>
      </c>
      <c r="B61" s="14" t="s">
        <v>47</v>
      </c>
      <c r="C61" s="16" t="s">
        <v>106</v>
      </c>
      <c r="D61" s="14" t="s">
        <v>67</v>
      </c>
      <c r="E61" s="18">
        <v>2</v>
      </c>
      <c r="F61" s="65">
        <f>E61</f>
        <v>2</v>
      </c>
      <c r="G61" s="13">
        <v>276.74</v>
      </c>
      <c r="H61" s="61">
        <f t="shared" ref="H61:H78" si="9">SUM(F61*G61/1000)</f>
        <v>0.55347999999999997</v>
      </c>
      <c r="I61" s="13">
        <f>G61</f>
        <v>276.74</v>
      </c>
    </row>
    <row r="62" spans="1:22" ht="15.75" hidden="1" customHeight="1">
      <c r="A62" s="30"/>
      <c r="B62" s="14" t="s">
        <v>48</v>
      </c>
      <c r="C62" s="16" t="s">
        <v>106</v>
      </c>
      <c r="D62" s="14" t="s">
        <v>67</v>
      </c>
      <c r="E62" s="18">
        <v>1</v>
      </c>
      <c r="F62" s="65">
        <f>E62</f>
        <v>1</v>
      </c>
      <c r="G62" s="13">
        <v>94.89</v>
      </c>
      <c r="H62" s="61">
        <f t="shared" si="9"/>
        <v>9.4890000000000002E-2</v>
      </c>
      <c r="I62" s="13">
        <v>0</v>
      </c>
    </row>
    <row r="63" spans="1:22" ht="15.75" hidden="1" customHeight="1">
      <c r="A63" s="30">
        <v>29</v>
      </c>
      <c r="B63" s="14" t="s">
        <v>49</v>
      </c>
      <c r="C63" s="16" t="s">
        <v>110</v>
      </c>
      <c r="D63" s="14" t="s">
        <v>54</v>
      </c>
      <c r="E63" s="64">
        <v>6307</v>
      </c>
      <c r="F63" s="13">
        <f>SUM(E63/100)</f>
        <v>63.07</v>
      </c>
      <c r="G63" s="13">
        <v>263.99</v>
      </c>
      <c r="H63" s="61">
        <f t="shared" si="9"/>
        <v>16.649849300000003</v>
      </c>
      <c r="I63" s="13">
        <f>F63*G63</f>
        <v>16649.849300000002</v>
      </c>
    </row>
    <row r="64" spans="1:22" ht="15.75" hidden="1" customHeight="1">
      <c r="A64" s="30">
        <v>30</v>
      </c>
      <c r="B64" s="14" t="s">
        <v>50</v>
      </c>
      <c r="C64" s="16" t="s">
        <v>111</v>
      </c>
      <c r="D64" s="14"/>
      <c r="E64" s="64">
        <v>6307</v>
      </c>
      <c r="F64" s="13">
        <f>SUM(E64/1000)</f>
        <v>6.3070000000000004</v>
      </c>
      <c r="G64" s="13">
        <v>205.57</v>
      </c>
      <c r="H64" s="61">
        <f t="shared" si="9"/>
        <v>1.29652999</v>
      </c>
      <c r="I64" s="13">
        <f t="shared" ref="I64:I67" si="10">F64*G64</f>
        <v>1296.52999</v>
      </c>
    </row>
    <row r="65" spans="1:9" ht="15.75" hidden="1" customHeight="1">
      <c r="A65" s="30">
        <v>31</v>
      </c>
      <c r="B65" s="14" t="s">
        <v>51</v>
      </c>
      <c r="C65" s="16" t="s">
        <v>76</v>
      </c>
      <c r="D65" s="14" t="s">
        <v>54</v>
      </c>
      <c r="E65" s="64">
        <v>1003</v>
      </c>
      <c r="F65" s="13">
        <f>SUM(E65/100)</f>
        <v>10.029999999999999</v>
      </c>
      <c r="G65" s="13">
        <v>2581.5300000000002</v>
      </c>
      <c r="H65" s="61">
        <f t="shared" si="9"/>
        <v>25.892745900000001</v>
      </c>
      <c r="I65" s="13">
        <f t="shared" si="10"/>
        <v>25892.745900000002</v>
      </c>
    </row>
    <row r="66" spans="1:9" ht="15.75" hidden="1" customHeight="1">
      <c r="A66" s="30">
        <v>32</v>
      </c>
      <c r="B66" s="77" t="s">
        <v>112</v>
      </c>
      <c r="C66" s="16" t="s">
        <v>33</v>
      </c>
      <c r="D66" s="14"/>
      <c r="E66" s="64">
        <v>6.6</v>
      </c>
      <c r="F66" s="13">
        <f>SUM(E66)</f>
        <v>6.6</v>
      </c>
      <c r="G66" s="13">
        <v>47.75</v>
      </c>
      <c r="H66" s="61">
        <f t="shared" si="9"/>
        <v>0.31514999999999999</v>
      </c>
      <c r="I66" s="13">
        <f t="shared" si="10"/>
        <v>315.14999999999998</v>
      </c>
    </row>
    <row r="67" spans="1:9" ht="15.75" hidden="1" customHeight="1">
      <c r="A67" s="30">
        <v>33</v>
      </c>
      <c r="B67" s="77" t="s">
        <v>113</v>
      </c>
      <c r="C67" s="16" t="s">
        <v>33</v>
      </c>
      <c r="D67" s="14"/>
      <c r="E67" s="64">
        <v>6.6</v>
      </c>
      <c r="F67" s="13">
        <f>SUM(E67)</f>
        <v>6.6</v>
      </c>
      <c r="G67" s="13">
        <v>44.27</v>
      </c>
      <c r="H67" s="61">
        <f t="shared" si="9"/>
        <v>0.292182</v>
      </c>
      <c r="I67" s="13">
        <f t="shared" si="10"/>
        <v>292.18200000000002</v>
      </c>
    </row>
    <row r="68" spans="1:9" ht="9" hidden="1" customHeight="1">
      <c r="A68" s="30">
        <v>19</v>
      </c>
      <c r="B68" s="14" t="s">
        <v>58</v>
      </c>
      <c r="C68" s="16" t="s">
        <v>59</v>
      </c>
      <c r="D68" s="14" t="s">
        <v>54</v>
      </c>
      <c r="E68" s="18">
        <v>3</v>
      </c>
      <c r="F68" s="65">
        <v>3</v>
      </c>
      <c r="G68" s="13">
        <v>62.07</v>
      </c>
      <c r="H68" s="61">
        <f t="shared" si="9"/>
        <v>0.18621000000000001</v>
      </c>
      <c r="I68" s="13">
        <f>F68*G68</f>
        <v>186.21</v>
      </c>
    </row>
    <row r="69" spans="1:9" ht="22.5" customHeight="1">
      <c r="A69" s="30"/>
      <c r="B69" s="125" t="s">
        <v>188</v>
      </c>
      <c r="C69" s="16"/>
      <c r="D69" s="14"/>
      <c r="E69" s="18"/>
      <c r="F69" s="56"/>
      <c r="G69" s="13"/>
      <c r="H69" s="61"/>
      <c r="I69" s="13"/>
    </row>
    <row r="70" spans="1:9" ht="15.75" customHeight="1">
      <c r="A70" s="30">
        <v>28</v>
      </c>
      <c r="B70" s="14" t="s">
        <v>126</v>
      </c>
      <c r="C70" s="30" t="s">
        <v>127</v>
      </c>
      <c r="D70" s="14" t="s">
        <v>128</v>
      </c>
      <c r="E70" s="18">
        <v>1536.4</v>
      </c>
      <c r="F70" s="56">
        <f>E70*12</f>
        <v>18436.800000000003</v>
      </c>
      <c r="G70" s="13">
        <v>2.16</v>
      </c>
      <c r="H70" s="61">
        <f t="shared" si="9"/>
        <v>39.823488000000012</v>
      </c>
      <c r="I70" s="13">
        <f>F70/12*G70</f>
        <v>3318.6240000000007</v>
      </c>
    </row>
    <row r="71" spans="1:9" ht="15.75" customHeight="1">
      <c r="A71" s="30"/>
      <c r="B71" s="93" t="s">
        <v>71</v>
      </c>
      <c r="C71" s="16"/>
      <c r="D71" s="14"/>
      <c r="E71" s="18"/>
      <c r="F71" s="13"/>
      <c r="G71" s="13"/>
      <c r="H71" s="61" t="s">
        <v>118</v>
      </c>
      <c r="I71" s="13"/>
    </row>
    <row r="72" spans="1:9" ht="15.75" hidden="1" customHeight="1">
      <c r="A72" s="30"/>
      <c r="B72" s="14" t="s">
        <v>129</v>
      </c>
      <c r="C72" s="16" t="s">
        <v>130</v>
      </c>
      <c r="D72" s="14" t="s">
        <v>67</v>
      </c>
      <c r="E72" s="18">
        <v>1</v>
      </c>
      <c r="F72" s="13">
        <f>E72</f>
        <v>1</v>
      </c>
      <c r="G72" s="13">
        <v>976.4</v>
      </c>
      <c r="H72" s="61">
        <f t="shared" ref="H72:H73" si="11">SUM(F72*G72/1000)</f>
        <v>0.97639999999999993</v>
      </c>
      <c r="I72" s="13">
        <v>0</v>
      </c>
    </row>
    <row r="73" spans="1:9" ht="15.75" hidden="1" customHeight="1">
      <c r="A73" s="30"/>
      <c r="B73" s="14" t="s">
        <v>131</v>
      </c>
      <c r="C73" s="16" t="s">
        <v>132</v>
      </c>
      <c r="D73" s="14"/>
      <c r="E73" s="18">
        <v>1</v>
      </c>
      <c r="F73" s="13">
        <v>1</v>
      </c>
      <c r="G73" s="13">
        <v>650</v>
      </c>
      <c r="H73" s="61">
        <f t="shared" si="11"/>
        <v>0.65</v>
      </c>
      <c r="I73" s="13">
        <v>0</v>
      </c>
    </row>
    <row r="74" spans="1:9" ht="15.75" hidden="1" customHeight="1">
      <c r="A74" s="30"/>
      <c r="B74" s="14" t="s">
        <v>72</v>
      </c>
      <c r="C74" s="16" t="s">
        <v>74</v>
      </c>
      <c r="D74" s="14"/>
      <c r="E74" s="18">
        <v>3</v>
      </c>
      <c r="F74" s="13">
        <v>0.3</v>
      </c>
      <c r="G74" s="13">
        <v>624.16999999999996</v>
      </c>
      <c r="H74" s="61">
        <f t="shared" si="9"/>
        <v>0.18725099999999997</v>
      </c>
      <c r="I74" s="13">
        <v>0</v>
      </c>
    </row>
    <row r="75" spans="1:9" ht="15.75" hidden="1" customHeight="1">
      <c r="A75" s="30"/>
      <c r="B75" s="14" t="s">
        <v>73</v>
      </c>
      <c r="C75" s="16" t="s">
        <v>31</v>
      </c>
      <c r="D75" s="14"/>
      <c r="E75" s="18">
        <v>1</v>
      </c>
      <c r="F75" s="56">
        <v>1</v>
      </c>
      <c r="G75" s="13">
        <v>1061.4100000000001</v>
      </c>
      <c r="H75" s="61">
        <f>F75*G75/1000</f>
        <v>1.0614100000000002</v>
      </c>
      <c r="I75" s="13">
        <v>0</v>
      </c>
    </row>
    <row r="76" spans="1:9" ht="15.75" customHeight="1">
      <c r="A76" s="30">
        <v>29</v>
      </c>
      <c r="B76" s="46" t="s">
        <v>133</v>
      </c>
      <c r="C76" s="47" t="s">
        <v>106</v>
      </c>
      <c r="D76" s="14" t="s">
        <v>30</v>
      </c>
      <c r="E76" s="18">
        <v>1</v>
      </c>
      <c r="F76" s="13">
        <f>E76*12</f>
        <v>12</v>
      </c>
      <c r="G76" s="13">
        <v>50.69</v>
      </c>
      <c r="H76" s="61">
        <f>G76*F76/1000</f>
        <v>0.60827999999999993</v>
      </c>
      <c r="I76" s="13">
        <f>G76</f>
        <v>50.69</v>
      </c>
    </row>
    <row r="77" spans="1:9" ht="15.75" hidden="1" customHeight="1">
      <c r="A77" s="30"/>
      <c r="B77" s="79" t="s">
        <v>75</v>
      </c>
      <c r="C77" s="16"/>
      <c r="D77" s="14"/>
      <c r="E77" s="18"/>
      <c r="F77" s="13"/>
      <c r="G77" s="13" t="s">
        <v>118</v>
      </c>
      <c r="H77" s="61" t="s">
        <v>118</v>
      </c>
      <c r="I77" s="13" t="str">
        <f>G77</f>
        <v xml:space="preserve"> </v>
      </c>
    </row>
    <row r="78" spans="1:9" ht="15.75" hidden="1" customHeight="1">
      <c r="A78" s="30"/>
      <c r="B78" s="43" t="s">
        <v>134</v>
      </c>
      <c r="C78" s="16" t="s">
        <v>76</v>
      </c>
      <c r="D78" s="14"/>
      <c r="E78" s="18"/>
      <c r="F78" s="13">
        <v>0.1</v>
      </c>
      <c r="G78" s="13">
        <v>3433.69</v>
      </c>
      <c r="H78" s="61">
        <f t="shared" si="9"/>
        <v>0.34336900000000004</v>
      </c>
      <c r="I78" s="13">
        <v>0</v>
      </c>
    </row>
    <row r="79" spans="1:9" ht="15.75" hidden="1" customHeight="1">
      <c r="A79" s="30"/>
      <c r="B79" s="55" t="s">
        <v>90</v>
      </c>
      <c r="C79" s="79"/>
      <c r="D79" s="31"/>
      <c r="E79" s="32"/>
      <c r="F79" s="68"/>
      <c r="G79" s="68"/>
      <c r="H79" s="80">
        <f>SUM(H55:H78)</f>
        <v>96.834317790000014</v>
      </c>
      <c r="I79" s="13"/>
    </row>
    <row r="80" spans="1:9" ht="15.75" hidden="1" customHeight="1">
      <c r="A80" s="30"/>
      <c r="B80" s="62" t="s">
        <v>114</v>
      </c>
      <c r="C80" s="16"/>
      <c r="D80" s="14"/>
      <c r="E80" s="57"/>
      <c r="F80" s="13">
        <v>1</v>
      </c>
      <c r="G80" s="35">
        <v>6105.8</v>
      </c>
      <c r="H80" s="61">
        <f>G80*F80/1000</f>
        <v>6.1058000000000003</v>
      </c>
      <c r="I80" s="13">
        <v>0</v>
      </c>
    </row>
    <row r="81" spans="1:9" ht="15.75" customHeight="1">
      <c r="A81" s="148" t="s">
        <v>141</v>
      </c>
      <c r="B81" s="149"/>
      <c r="C81" s="149"/>
      <c r="D81" s="149"/>
      <c r="E81" s="149"/>
      <c r="F81" s="149"/>
      <c r="G81" s="149"/>
      <c r="H81" s="149"/>
      <c r="I81" s="150"/>
    </row>
    <row r="82" spans="1:9" ht="15.75" customHeight="1">
      <c r="A82" s="30">
        <v>30</v>
      </c>
      <c r="B82" s="62" t="s">
        <v>115</v>
      </c>
      <c r="C82" s="16" t="s">
        <v>55</v>
      </c>
      <c r="D82" s="81" t="s">
        <v>56</v>
      </c>
      <c r="E82" s="13">
        <v>1536.4</v>
      </c>
      <c r="F82" s="13">
        <f>SUM(E82*12)</f>
        <v>18436.800000000003</v>
      </c>
      <c r="G82" s="13">
        <v>2.95</v>
      </c>
      <c r="H82" s="61">
        <f>SUM(F82*G82/1000)</f>
        <v>54.388560000000012</v>
      </c>
      <c r="I82" s="13">
        <f>F82/12*G82</f>
        <v>4532.380000000001</v>
      </c>
    </row>
    <row r="83" spans="1:9" ht="31.5" customHeight="1">
      <c r="A83" s="30">
        <v>31</v>
      </c>
      <c r="B83" s="14" t="s">
        <v>77</v>
      </c>
      <c r="C83" s="16"/>
      <c r="D83" s="81" t="s">
        <v>56</v>
      </c>
      <c r="E83" s="64">
        <f>E82</f>
        <v>1536.4</v>
      </c>
      <c r="F83" s="13">
        <f>E83*12</f>
        <v>18436.800000000003</v>
      </c>
      <c r="G83" s="13">
        <v>3.05</v>
      </c>
      <c r="H83" s="61">
        <f>F83*G83/1000</f>
        <v>56.232240000000004</v>
      </c>
      <c r="I83" s="13">
        <f>F83/12*G83</f>
        <v>4686.0200000000004</v>
      </c>
    </row>
    <row r="84" spans="1:9" ht="15.75" customHeight="1">
      <c r="A84" s="30"/>
      <c r="B84" s="36" t="s">
        <v>79</v>
      </c>
      <c r="C84" s="79"/>
      <c r="D84" s="78"/>
      <c r="E84" s="68"/>
      <c r="F84" s="68"/>
      <c r="G84" s="68"/>
      <c r="H84" s="80">
        <f>H83</f>
        <v>56.232240000000004</v>
      </c>
      <c r="I84" s="68">
        <f>I83+I82+I76+I70+I59+I56+I52+I51+I50+I49+I48+I47+I46+I45+I44+I43+I32+I31+I30+I27+I26+I25+I24+I23+I22+I21+I20+I19+I18+I17+I16</f>
        <v>33063.436314666666</v>
      </c>
    </row>
    <row r="85" spans="1:9" ht="15.75" customHeight="1">
      <c r="A85" s="134" t="s">
        <v>61</v>
      </c>
      <c r="B85" s="135"/>
      <c r="C85" s="135"/>
      <c r="D85" s="135"/>
      <c r="E85" s="135"/>
      <c r="F85" s="135"/>
      <c r="G85" s="135"/>
      <c r="H85" s="135"/>
      <c r="I85" s="136"/>
    </row>
    <row r="86" spans="1:9" s="100" customFormat="1" ht="31.5" customHeight="1">
      <c r="A86" s="30">
        <v>32</v>
      </c>
      <c r="B86" s="111" t="s">
        <v>171</v>
      </c>
      <c r="C86" s="112" t="s">
        <v>39</v>
      </c>
      <c r="D86" s="43"/>
      <c r="E86" s="13"/>
      <c r="F86" s="13">
        <v>234</v>
      </c>
      <c r="G86" s="34">
        <v>3914.31</v>
      </c>
      <c r="H86" s="13">
        <f t="shared" ref="H86:H89" si="12">G86*F86/1000</f>
        <v>915.94854000000009</v>
      </c>
      <c r="I86" s="13">
        <f>G86*0.01</f>
        <v>39.143099999999997</v>
      </c>
    </row>
    <row r="87" spans="1:9" s="100" customFormat="1" ht="15.75" customHeight="1">
      <c r="A87" s="30">
        <v>33</v>
      </c>
      <c r="B87" s="111" t="s">
        <v>184</v>
      </c>
      <c r="C87" s="112" t="s">
        <v>185</v>
      </c>
      <c r="D87" s="101"/>
      <c r="E87" s="34"/>
      <c r="F87" s="34">
        <v>1</v>
      </c>
      <c r="G87" s="34">
        <v>1263.56</v>
      </c>
      <c r="H87" s="102">
        <f t="shared" si="12"/>
        <v>1.26356</v>
      </c>
      <c r="I87" s="13">
        <f>G87*0.5</f>
        <v>631.78</v>
      </c>
    </row>
    <row r="88" spans="1:9" s="100" customFormat="1" ht="15.75" hidden="1" customHeight="1">
      <c r="A88" s="30">
        <v>37</v>
      </c>
      <c r="B88" s="104"/>
      <c r="C88" s="47"/>
      <c r="D88" s="43"/>
      <c r="E88" s="13"/>
      <c r="F88" s="13">
        <v>4</v>
      </c>
      <c r="G88" s="13"/>
      <c r="H88" s="102">
        <f t="shared" si="12"/>
        <v>0</v>
      </c>
      <c r="I88" s="13"/>
    </row>
    <row r="89" spans="1:9" s="100" customFormat="1" ht="15.75" hidden="1" customHeight="1">
      <c r="A89" s="30">
        <v>38</v>
      </c>
      <c r="B89" s="104"/>
      <c r="C89" s="47"/>
      <c r="D89" s="43"/>
      <c r="E89" s="13"/>
      <c r="F89" s="13">
        <v>3</v>
      </c>
      <c r="G89" s="13"/>
      <c r="H89" s="102">
        <f t="shared" si="12"/>
        <v>0</v>
      </c>
      <c r="I89" s="103"/>
    </row>
    <row r="90" spans="1:9" s="100" customFormat="1" ht="15.75" customHeight="1">
      <c r="A90" s="30">
        <v>34</v>
      </c>
      <c r="B90" s="124" t="s">
        <v>186</v>
      </c>
      <c r="C90" s="112" t="s">
        <v>187</v>
      </c>
      <c r="D90" s="43"/>
      <c r="E90" s="13"/>
      <c r="F90" s="13"/>
      <c r="G90" s="34">
        <v>1855</v>
      </c>
      <c r="H90" s="102"/>
      <c r="I90" s="103">
        <f>G90*0.5</f>
        <v>927.5</v>
      </c>
    </row>
    <row r="91" spans="1:9" ht="15.75" customHeight="1">
      <c r="A91" s="30"/>
      <c r="B91" s="41" t="s">
        <v>52</v>
      </c>
      <c r="C91" s="37"/>
      <c r="D91" s="44"/>
      <c r="E91" s="37">
        <v>1</v>
      </c>
      <c r="F91" s="37"/>
      <c r="G91" s="37"/>
      <c r="H91" s="37"/>
      <c r="I91" s="32">
        <f>SUM(I86:I90)</f>
        <v>1598.4231</v>
      </c>
    </row>
    <row r="92" spans="1:9" ht="15.75" customHeight="1">
      <c r="A92" s="30"/>
      <c r="B92" s="43" t="s">
        <v>78</v>
      </c>
      <c r="C92" s="15"/>
      <c r="D92" s="15"/>
      <c r="E92" s="38"/>
      <c r="F92" s="38"/>
      <c r="G92" s="39"/>
      <c r="H92" s="39"/>
      <c r="I92" s="17">
        <v>0</v>
      </c>
    </row>
    <row r="93" spans="1:9">
      <c r="A93" s="45"/>
      <c r="B93" s="42" t="s">
        <v>157</v>
      </c>
      <c r="C93" s="33"/>
      <c r="D93" s="33"/>
      <c r="E93" s="33"/>
      <c r="F93" s="33"/>
      <c r="G93" s="33"/>
      <c r="H93" s="33"/>
      <c r="I93" s="40">
        <f>I84+I91</f>
        <v>34661.859414666666</v>
      </c>
    </row>
    <row r="94" spans="1:9" ht="15.75">
      <c r="A94" s="143" t="s">
        <v>215</v>
      </c>
      <c r="B94" s="143"/>
      <c r="C94" s="143"/>
      <c r="D94" s="143"/>
      <c r="E94" s="143"/>
      <c r="F94" s="143"/>
      <c r="G94" s="143"/>
      <c r="H94" s="143"/>
      <c r="I94" s="143"/>
    </row>
    <row r="95" spans="1:9" ht="15.75" customHeight="1">
      <c r="A95" s="54"/>
      <c r="B95" s="144" t="s">
        <v>216</v>
      </c>
      <c r="C95" s="144"/>
      <c r="D95" s="144"/>
      <c r="E95" s="144"/>
      <c r="F95" s="144"/>
      <c r="G95" s="144"/>
      <c r="H95" s="60"/>
      <c r="I95" s="3"/>
    </row>
    <row r="96" spans="1:9">
      <c r="A96" s="91"/>
      <c r="B96" s="139" t="s">
        <v>6</v>
      </c>
      <c r="C96" s="139"/>
      <c r="D96" s="139"/>
      <c r="E96" s="139"/>
      <c r="F96" s="139"/>
      <c r="G96" s="139"/>
      <c r="H96" s="25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45" t="s">
        <v>7</v>
      </c>
      <c r="B98" s="145"/>
      <c r="C98" s="145"/>
      <c r="D98" s="145"/>
      <c r="E98" s="145"/>
      <c r="F98" s="145"/>
      <c r="G98" s="145"/>
      <c r="H98" s="145"/>
      <c r="I98" s="145"/>
    </row>
    <row r="99" spans="1:9" ht="15.75" customHeight="1">
      <c r="A99" s="145" t="s">
        <v>8</v>
      </c>
      <c r="B99" s="145"/>
      <c r="C99" s="145"/>
      <c r="D99" s="145"/>
      <c r="E99" s="145"/>
      <c r="F99" s="145"/>
      <c r="G99" s="145"/>
      <c r="H99" s="145"/>
      <c r="I99" s="145"/>
    </row>
    <row r="100" spans="1:9" ht="15.75">
      <c r="A100" s="146" t="s">
        <v>62</v>
      </c>
      <c r="B100" s="146"/>
      <c r="C100" s="146"/>
      <c r="D100" s="146"/>
      <c r="E100" s="146"/>
      <c r="F100" s="146"/>
      <c r="G100" s="146"/>
      <c r="H100" s="146"/>
      <c r="I100" s="146"/>
    </row>
    <row r="101" spans="1:9" ht="15.75">
      <c r="A101" s="11"/>
    </row>
    <row r="102" spans="1:9" ht="15.75">
      <c r="A102" s="137" t="s">
        <v>9</v>
      </c>
      <c r="B102" s="137"/>
      <c r="C102" s="137"/>
      <c r="D102" s="137"/>
      <c r="E102" s="137"/>
      <c r="F102" s="137"/>
      <c r="G102" s="137"/>
      <c r="H102" s="137"/>
      <c r="I102" s="137"/>
    </row>
    <row r="103" spans="1:9" ht="15.75">
      <c r="A103" s="4"/>
    </row>
    <row r="104" spans="1:9" ht="15.75">
      <c r="B104" s="88" t="s">
        <v>10</v>
      </c>
      <c r="C104" s="138" t="s">
        <v>137</v>
      </c>
      <c r="D104" s="138"/>
      <c r="E104" s="138"/>
      <c r="F104" s="58"/>
      <c r="I104" s="90"/>
    </row>
    <row r="105" spans="1:9">
      <c r="A105" s="91"/>
      <c r="C105" s="139" t="s">
        <v>11</v>
      </c>
      <c r="D105" s="139"/>
      <c r="E105" s="139"/>
      <c r="F105" s="25"/>
      <c r="I105" s="89" t="s">
        <v>12</v>
      </c>
    </row>
    <row r="106" spans="1:9" ht="15.75">
      <c r="A106" s="26"/>
      <c r="C106" s="12"/>
      <c r="D106" s="12"/>
      <c r="G106" s="12"/>
      <c r="H106" s="12"/>
    </row>
    <row r="107" spans="1:9" ht="15.75" customHeight="1">
      <c r="B107" s="88" t="s">
        <v>13</v>
      </c>
      <c r="C107" s="140"/>
      <c r="D107" s="140"/>
      <c r="E107" s="140"/>
      <c r="F107" s="59"/>
      <c r="I107" s="90"/>
    </row>
    <row r="108" spans="1:9" ht="15.75" customHeight="1">
      <c r="A108" s="91"/>
      <c r="C108" s="141" t="s">
        <v>11</v>
      </c>
      <c r="D108" s="141"/>
      <c r="E108" s="141"/>
      <c r="F108" s="91"/>
      <c r="I108" s="89" t="s">
        <v>12</v>
      </c>
    </row>
    <row r="109" spans="1:9" ht="15.75" customHeight="1">
      <c r="A109" s="4" t="s">
        <v>14</v>
      </c>
    </row>
    <row r="110" spans="1:9">
      <c r="A110" s="142" t="s">
        <v>15</v>
      </c>
      <c r="B110" s="142"/>
      <c r="C110" s="142"/>
      <c r="D110" s="142"/>
      <c r="E110" s="142"/>
      <c r="F110" s="142"/>
      <c r="G110" s="142"/>
      <c r="H110" s="142"/>
      <c r="I110" s="142"/>
    </row>
    <row r="111" spans="1:9" ht="45" customHeight="1">
      <c r="A111" s="133" t="s">
        <v>16</v>
      </c>
      <c r="B111" s="133"/>
      <c r="C111" s="133"/>
      <c r="D111" s="133"/>
      <c r="E111" s="133"/>
      <c r="F111" s="133"/>
      <c r="G111" s="133"/>
      <c r="H111" s="133"/>
      <c r="I111" s="133"/>
    </row>
    <row r="112" spans="1:9" ht="30" customHeight="1">
      <c r="A112" s="133" t="s">
        <v>17</v>
      </c>
      <c r="B112" s="133"/>
      <c r="C112" s="133"/>
      <c r="D112" s="133"/>
      <c r="E112" s="133"/>
      <c r="F112" s="133"/>
      <c r="G112" s="133"/>
      <c r="H112" s="133"/>
      <c r="I112" s="133"/>
    </row>
    <row r="113" spans="1:9" ht="30" customHeight="1">
      <c r="A113" s="133" t="s">
        <v>21</v>
      </c>
      <c r="B113" s="133"/>
      <c r="C113" s="133"/>
      <c r="D113" s="133"/>
      <c r="E113" s="133"/>
      <c r="F113" s="133"/>
      <c r="G113" s="133"/>
      <c r="H113" s="133"/>
      <c r="I113" s="133"/>
    </row>
    <row r="114" spans="1:9" ht="15" customHeight="1">
      <c r="A114" s="133" t="s">
        <v>20</v>
      </c>
      <c r="B114" s="133"/>
      <c r="C114" s="133"/>
      <c r="D114" s="133"/>
      <c r="E114" s="133"/>
      <c r="F114" s="133"/>
      <c r="G114" s="133"/>
      <c r="H114" s="133"/>
      <c r="I114" s="133"/>
    </row>
  </sheetData>
  <autoFilter ref="I12:I54"/>
  <mergeCells count="29">
    <mergeCell ref="A14:I14"/>
    <mergeCell ref="A15:I15"/>
    <mergeCell ref="A28:I28"/>
    <mergeCell ref="A42:I42"/>
    <mergeCell ref="A53:I53"/>
    <mergeCell ref="A3:I3"/>
    <mergeCell ref="A4:I4"/>
    <mergeCell ref="A5:I5"/>
    <mergeCell ref="A8:I8"/>
    <mergeCell ref="A10:I10"/>
    <mergeCell ref="R59:U59"/>
    <mergeCell ref="C108:E108"/>
    <mergeCell ref="A85:I85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1:I81"/>
    <mergeCell ref="A110:I110"/>
    <mergeCell ref="A111:I111"/>
    <mergeCell ref="A112:I112"/>
    <mergeCell ref="A113:I113"/>
    <mergeCell ref="A114:I114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rowBreaks count="1" manualBreakCount="1">
    <brk id="101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0"/>
  <sheetViews>
    <sheetView topLeftCell="A63" workbookViewId="0">
      <selection activeCell="J92" sqref="J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162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51" t="s">
        <v>149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136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189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84">
        <v>43646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4" t="s">
        <v>163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5" t="s">
        <v>153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6" t="s">
        <v>60</v>
      </c>
      <c r="B14" s="156"/>
      <c r="C14" s="156"/>
      <c r="D14" s="156"/>
      <c r="E14" s="156"/>
      <c r="F14" s="156"/>
      <c r="G14" s="156"/>
      <c r="H14" s="156"/>
      <c r="I14" s="156"/>
      <c r="J14" s="8"/>
      <c r="K14" s="8"/>
      <c r="L14" s="8"/>
      <c r="M14" s="8"/>
    </row>
    <row r="15" spans="1:13" ht="1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0">
        <v>1</v>
      </c>
      <c r="B16" s="62" t="s">
        <v>83</v>
      </c>
      <c r="C16" s="63" t="s">
        <v>84</v>
      </c>
      <c r="D16" s="62" t="s">
        <v>195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26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116</v>
      </c>
      <c r="C17" s="63" t="s">
        <v>84</v>
      </c>
      <c r="D17" s="62" t="s">
        <v>196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117</v>
      </c>
      <c r="C18" s="63" t="s">
        <v>84</v>
      </c>
      <c r="D18" s="62" t="s">
        <v>197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>
        <v>4</v>
      </c>
      <c r="B19" s="62" t="s">
        <v>91</v>
      </c>
      <c r="C19" s="63" t="s">
        <v>92</v>
      </c>
      <c r="D19" s="62" t="s">
        <v>93</v>
      </c>
      <c r="E19" s="64">
        <v>21.6</v>
      </c>
      <c r="F19" s="65">
        <f>SUM(E19/10)</f>
        <v>2.16</v>
      </c>
      <c r="G19" s="65">
        <v>211.74</v>
      </c>
      <c r="H19" s="66">
        <f t="shared" si="0"/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5</v>
      </c>
      <c r="B20" s="62" t="s">
        <v>94</v>
      </c>
      <c r="C20" s="63" t="s">
        <v>84</v>
      </c>
      <c r="D20" s="62" t="s">
        <v>43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0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6</v>
      </c>
      <c r="B21" s="62" t="s">
        <v>95</v>
      </c>
      <c r="C21" s="63" t="s">
        <v>84</v>
      </c>
      <c r="D21" s="62" t="s">
        <v>43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0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>
        <v>7</v>
      </c>
      <c r="B22" s="62" t="s">
        <v>96</v>
      </c>
      <c r="C22" s="63" t="s">
        <v>53</v>
      </c>
      <c r="D22" s="62" t="s">
        <v>93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0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>
        <v>8</v>
      </c>
      <c r="B23" s="62" t="s">
        <v>97</v>
      </c>
      <c r="C23" s="63" t="s">
        <v>53</v>
      </c>
      <c r="D23" s="62" t="s">
        <v>93</v>
      </c>
      <c r="E23" s="67">
        <v>17.64</v>
      </c>
      <c r="F23" s="65">
        <f>SUM(E23/100)</f>
        <v>0.1764</v>
      </c>
      <c r="G23" s="65">
        <v>55.1</v>
      </c>
      <c r="H23" s="66">
        <f t="shared" si="0"/>
        <v>9.7196399999999999E-3</v>
      </c>
      <c r="I23" s="13">
        <f t="shared" ref="I23:I26" si="1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62" t="s">
        <v>98</v>
      </c>
      <c r="C24" s="63" t="s">
        <v>53</v>
      </c>
      <c r="D24" s="62" t="s">
        <v>99</v>
      </c>
      <c r="E24" s="64">
        <v>7.2</v>
      </c>
      <c r="F24" s="65">
        <f>E24/100</f>
        <v>7.2000000000000008E-2</v>
      </c>
      <c r="G24" s="65">
        <v>484.94</v>
      </c>
      <c r="H24" s="66">
        <f t="shared" si="0"/>
        <v>3.4915680000000004E-2</v>
      </c>
      <c r="I24" s="13">
        <f t="shared" si="1"/>
        <v>34.915680000000002</v>
      </c>
      <c r="J24" s="23"/>
      <c r="K24" s="8"/>
      <c r="L24" s="8"/>
      <c r="M24" s="8"/>
    </row>
    <row r="25" spans="1:13" ht="15.75" hidden="1" customHeight="1">
      <c r="A25" s="30">
        <v>10</v>
      </c>
      <c r="B25" s="62" t="s">
        <v>100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0"/>
        <v>2.5412939999999998E-2</v>
      </c>
      <c r="I25" s="13">
        <f t="shared" si="1"/>
        <v>25.412939999999999</v>
      </c>
      <c r="J25" s="23"/>
      <c r="K25" s="8"/>
      <c r="L25" s="8"/>
      <c r="M25" s="8"/>
    </row>
    <row r="26" spans="1:13" ht="15.75" hidden="1" customHeight="1">
      <c r="A26" s="30">
        <v>11</v>
      </c>
      <c r="B26" s="62" t="s">
        <v>101</v>
      </c>
      <c r="C26" s="63" t="s">
        <v>53</v>
      </c>
      <c r="D26" s="62" t="s">
        <v>93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0"/>
        <v>7.387740000000001E-2</v>
      </c>
      <c r="I26" s="13">
        <f t="shared" si="1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126" t="s">
        <v>194</v>
      </c>
      <c r="C27" s="127" t="s">
        <v>25</v>
      </c>
      <c r="D27" s="126" t="s">
        <v>198</v>
      </c>
      <c r="E27" s="128">
        <v>2.91</v>
      </c>
      <c r="F27" s="117">
        <f>E27*258</f>
        <v>750.78000000000009</v>
      </c>
      <c r="G27" s="117">
        <v>10.39</v>
      </c>
      <c r="H27" s="66">
        <f>SUM(F27*G27/1000)</f>
        <v>7.8006042000000013</v>
      </c>
      <c r="I27" s="13">
        <f>F27/12*G27</f>
        <v>650.05035000000009</v>
      </c>
      <c r="J27" s="23"/>
      <c r="K27" s="8"/>
    </row>
    <row r="28" spans="1:13" ht="15.75" customHeight="1">
      <c r="A28" s="148" t="s">
        <v>154</v>
      </c>
      <c r="B28" s="149"/>
      <c r="C28" s="149"/>
      <c r="D28" s="149"/>
      <c r="E28" s="149"/>
      <c r="F28" s="149"/>
      <c r="G28" s="149"/>
      <c r="H28" s="149"/>
      <c r="I28" s="150"/>
      <c r="J28" s="24"/>
    </row>
    <row r="29" spans="1:13" ht="15.75" customHeight="1">
      <c r="A29" s="30"/>
      <c r="B29" s="82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customHeight="1">
      <c r="A30" s="30">
        <v>5</v>
      </c>
      <c r="B30" s="62" t="s">
        <v>104</v>
      </c>
      <c r="C30" s="63" t="s">
        <v>87</v>
      </c>
      <c r="D30" s="62" t="s">
        <v>196</v>
      </c>
      <c r="E30" s="65">
        <v>61.5</v>
      </c>
      <c r="F30" s="65">
        <f>SUM(E30*52/1000)</f>
        <v>3.198</v>
      </c>
      <c r="G30" s="65">
        <v>193.97</v>
      </c>
      <c r="H30" s="66">
        <f t="shared" ref="H30:H34" si="2">SUM(F30*G30/1000)</f>
        <v>0.62031605999999995</v>
      </c>
      <c r="I30" s="13">
        <f t="shared" ref="I30:I31" si="3">F30/6*G30</f>
        <v>103.38601</v>
      </c>
      <c r="J30" s="23"/>
      <c r="K30" s="8"/>
      <c r="L30" s="8"/>
      <c r="M30" s="8"/>
    </row>
    <row r="31" spans="1:13" ht="31.5" customHeight="1">
      <c r="A31" s="30">
        <v>6</v>
      </c>
      <c r="B31" s="62" t="s">
        <v>103</v>
      </c>
      <c r="C31" s="63" t="s">
        <v>87</v>
      </c>
      <c r="D31" s="62" t="s">
        <v>195</v>
      </c>
      <c r="E31" s="65">
        <v>35.299999999999997</v>
      </c>
      <c r="F31" s="65">
        <f>SUM(E31*78/1000)</f>
        <v>2.7533999999999996</v>
      </c>
      <c r="G31" s="65">
        <v>321.82</v>
      </c>
      <c r="H31" s="66">
        <f t="shared" si="2"/>
        <v>0.88609918799999987</v>
      </c>
      <c r="I31" s="13">
        <f t="shared" si="3"/>
        <v>147.68319799999998</v>
      </c>
      <c r="J31" s="23"/>
      <c r="K31" s="8"/>
      <c r="L31" s="8"/>
      <c r="M31" s="8"/>
    </row>
    <row r="32" spans="1:13" ht="15.75" hidden="1" customHeight="1">
      <c r="A32" s="30">
        <v>16</v>
      </c>
      <c r="B32" s="62" t="s">
        <v>27</v>
      </c>
      <c r="C32" s="63" t="s">
        <v>87</v>
      </c>
      <c r="D32" s="62" t="s">
        <v>54</v>
      </c>
      <c r="E32" s="65">
        <v>61.5</v>
      </c>
      <c r="F32" s="65">
        <f>SUM(E32/1000)</f>
        <v>6.1499999999999999E-2</v>
      </c>
      <c r="G32" s="65">
        <v>3758.28</v>
      </c>
      <c r="H32" s="66">
        <f t="shared" si="2"/>
        <v>0.23113422</v>
      </c>
      <c r="I32" s="13">
        <f>F32*G32</f>
        <v>231.13422</v>
      </c>
      <c r="J32" s="23"/>
      <c r="K32" s="8"/>
      <c r="L32" s="8"/>
      <c r="M32" s="8"/>
    </row>
    <row r="33" spans="1:14" ht="15.75" hidden="1" customHeight="1">
      <c r="A33" s="30"/>
      <c r="B33" s="62" t="s">
        <v>65</v>
      </c>
      <c r="C33" s="63" t="s">
        <v>33</v>
      </c>
      <c r="D33" s="62" t="s">
        <v>67</v>
      </c>
      <c r="E33" s="64"/>
      <c r="F33" s="65">
        <v>1</v>
      </c>
      <c r="G33" s="65">
        <v>238.07</v>
      </c>
      <c r="H33" s="66">
        <f t="shared" si="2"/>
        <v>0.23807</v>
      </c>
      <c r="I33" s="13">
        <v>0</v>
      </c>
      <c r="J33" s="24"/>
    </row>
    <row r="34" spans="1:14" ht="15.75" hidden="1" customHeight="1">
      <c r="A34" s="30"/>
      <c r="B34" s="62" t="s">
        <v>66</v>
      </c>
      <c r="C34" s="63" t="s">
        <v>32</v>
      </c>
      <c r="D34" s="62" t="s">
        <v>67</v>
      </c>
      <c r="E34" s="64"/>
      <c r="F34" s="65">
        <v>1</v>
      </c>
      <c r="G34" s="65">
        <v>1413.96</v>
      </c>
      <c r="H34" s="66">
        <f t="shared" si="2"/>
        <v>1.4139600000000001</v>
      </c>
      <c r="I34" s="13">
        <v>0</v>
      </c>
      <c r="J34" s="24"/>
    </row>
    <row r="35" spans="1:14" ht="15.75" hidden="1" customHeight="1">
      <c r="A35" s="30"/>
      <c r="B35" s="82" t="s">
        <v>5</v>
      </c>
      <c r="C35" s="63"/>
      <c r="D35" s="62"/>
      <c r="E35" s="64"/>
      <c r="F35" s="65"/>
      <c r="G35" s="65"/>
      <c r="H35" s="66" t="s">
        <v>118</v>
      </c>
      <c r="I35" s="13"/>
      <c r="J35" s="24"/>
      <c r="L35" s="19"/>
      <c r="M35" s="20"/>
      <c r="N35" s="21"/>
    </row>
    <row r="36" spans="1:14" ht="15.75" hidden="1" customHeight="1">
      <c r="A36" s="30">
        <v>6</v>
      </c>
      <c r="B36" s="62" t="s">
        <v>26</v>
      </c>
      <c r="C36" s="63" t="s">
        <v>32</v>
      </c>
      <c r="D36" s="62"/>
      <c r="E36" s="64"/>
      <c r="F36" s="65">
        <v>3</v>
      </c>
      <c r="G36" s="65">
        <v>1900.37</v>
      </c>
      <c r="H36" s="66">
        <f t="shared" ref="H36:H41" si="4">SUM(F36*G36/1000)</f>
        <v>5.7011099999999999</v>
      </c>
      <c r="I36" s="13">
        <f t="shared" ref="I36:I41" si="5">F36/6*G36</f>
        <v>950.18499999999995</v>
      </c>
      <c r="J36" s="24"/>
      <c r="L36" s="19"/>
      <c r="M36" s="20"/>
      <c r="N36" s="21"/>
    </row>
    <row r="37" spans="1:14" ht="31.5" hidden="1" customHeight="1">
      <c r="A37" s="30">
        <v>7</v>
      </c>
      <c r="B37" s="62" t="s">
        <v>119</v>
      </c>
      <c r="C37" s="63" t="s">
        <v>29</v>
      </c>
      <c r="D37" s="62" t="s">
        <v>85</v>
      </c>
      <c r="E37" s="64">
        <v>35.299999999999997</v>
      </c>
      <c r="F37" s="65">
        <f>E37*30/1000</f>
        <v>1.0589999999999999</v>
      </c>
      <c r="G37" s="65">
        <v>2616.4899999999998</v>
      </c>
      <c r="H37" s="66">
        <f t="shared" si="4"/>
        <v>2.77086291</v>
      </c>
      <c r="I37" s="13">
        <f t="shared" si="5"/>
        <v>461.81048499999991</v>
      </c>
      <c r="J37" s="24"/>
      <c r="L37" s="19"/>
      <c r="M37" s="20"/>
      <c r="N37" s="21"/>
    </row>
    <row r="38" spans="1:14" ht="15.75" hidden="1" customHeight="1">
      <c r="A38" s="30">
        <v>8</v>
      </c>
      <c r="B38" s="62" t="s">
        <v>120</v>
      </c>
      <c r="C38" s="63" t="s">
        <v>29</v>
      </c>
      <c r="D38" s="62" t="s">
        <v>86</v>
      </c>
      <c r="E38" s="64">
        <v>35.299999999999997</v>
      </c>
      <c r="F38" s="65">
        <f>SUM(E38*155/1000)</f>
        <v>5.4714999999999998</v>
      </c>
      <c r="G38" s="65">
        <v>436.45</v>
      </c>
      <c r="H38" s="66">
        <f t="shared" si="4"/>
        <v>2.3880361749999999</v>
      </c>
      <c r="I38" s="13">
        <f t="shared" si="5"/>
        <v>398.00602916666662</v>
      </c>
      <c r="J38" s="24"/>
      <c r="L38" s="19"/>
      <c r="M38" s="20"/>
      <c r="N38" s="21"/>
    </row>
    <row r="39" spans="1:14" ht="47.25" hidden="1" customHeight="1">
      <c r="A39" s="30">
        <v>9</v>
      </c>
      <c r="B39" s="62" t="s">
        <v>121</v>
      </c>
      <c r="C39" s="63" t="s">
        <v>87</v>
      </c>
      <c r="D39" s="62" t="s">
        <v>122</v>
      </c>
      <c r="E39" s="64">
        <v>35.299999999999997</v>
      </c>
      <c r="F39" s="65">
        <f>SUM(E39*24/1000)</f>
        <v>0.84719999999999995</v>
      </c>
      <c r="G39" s="65">
        <v>7221.21</v>
      </c>
      <c r="H39" s="66">
        <f t="shared" si="4"/>
        <v>6.1178091119999998</v>
      </c>
      <c r="I39" s="13">
        <f t="shared" si="5"/>
        <v>1019.6348519999999</v>
      </c>
      <c r="J39" s="24"/>
      <c r="L39" s="19"/>
      <c r="M39" s="20"/>
      <c r="N39" s="21"/>
    </row>
    <row r="40" spans="1:14" ht="15.75" hidden="1" customHeight="1">
      <c r="A40" s="30">
        <v>10</v>
      </c>
      <c r="B40" s="62" t="s">
        <v>123</v>
      </c>
      <c r="C40" s="63" t="s">
        <v>87</v>
      </c>
      <c r="D40" s="62" t="s">
        <v>68</v>
      </c>
      <c r="E40" s="64">
        <v>35.299999999999997</v>
      </c>
      <c r="F40" s="65">
        <f>SUM(E40*45/1000)</f>
        <v>1.5884999999999998</v>
      </c>
      <c r="G40" s="65">
        <v>533.45000000000005</v>
      </c>
      <c r="H40" s="66">
        <f t="shared" si="4"/>
        <v>0.84738532499999997</v>
      </c>
      <c r="I40" s="13">
        <f t="shared" si="5"/>
        <v>141.23088749999999</v>
      </c>
      <c r="J40" s="24"/>
      <c r="L40" s="19"/>
      <c r="M40" s="20"/>
      <c r="N40" s="21"/>
    </row>
    <row r="41" spans="1:14" ht="15.75" hidden="1" customHeight="1">
      <c r="A41" s="30">
        <v>11</v>
      </c>
      <c r="B41" s="62" t="s">
        <v>69</v>
      </c>
      <c r="C41" s="63" t="s">
        <v>33</v>
      </c>
      <c r="D41" s="62"/>
      <c r="E41" s="64"/>
      <c r="F41" s="65">
        <v>0.3</v>
      </c>
      <c r="G41" s="65">
        <v>992.97</v>
      </c>
      <c r="H41" s="66">
        <f t="shared" si="4"/>
        <v>0.29789100000000002</v>
      </c>
      <c r="I41" s="13">
        <f t="shared" si="5"/>
        <v>49.648499999999999</v>
      </c>
      <c r="J41" s="24"/>
      <c r="L41" s="19"/>
      <c r="M41" s="20"/>
      <c r="N41" s="21"/>
    </row>
    <row r="42" spans="1:14" ht="15.75" hidden="1" customHeight="1">
      <c r="A42" s="148" t="s">
        <v>139</v>
      </c>
      <c r="B42" s="149"/>
      <c r="C42" s="149"/>
      <c r="D42" s="149"/>
      <c r="E42" s="149"/>
      <c r="F42" s="149"/>
      <c r="G42" s="149"/>
      <c r="H42" s="149"/>
      <c r="I42" s="150"/>
      <c r="J42" s="24"/>
      <c r="L42" s="19"/>
      <c r="M42" s="20"/>
      <c r="N42" s="21"/>
    </row>
    <row r="43" spans="1:14" ht="15.75" hidden="1" customHeight="1">
      <c r="A43" s="30">
        <v>18</v>
      </c>
      <c r="B43" s="62" t="s">
        <v>105</v>
      </c>
      <c r="C43" s="63" t="s">
        <v>87</v>
      </c>
      <c r="D43" s="62" t="s">
        <v>43</v>
      </c>
      <c r="E43" s="64">
        <v>907.4</v>
      </c>
      <c r="F43" s="65">
        <f>SUM(E43*2/1000)</f>
        <v>1.8148</v>
      </c>
      <c r="G43" s="13">
        <v>1283.46</v>
      </c>
      <c r="H43" s="66">
        <f t="shared" ref="H43:H52" si="6">SUM(F43*G43/1000)</f>
        <v>2.3292232079999997</v>
      </c>
      <c r="I43" s="13">
        <f>F43/2*G43</f>
        <v>1164.6116039999999</v>
      </c>
      <c r="J43" s="24"/>
      <c r="L43" s="19"/>
      <c r="M43" s="20"/>
      <c r="N43" s="21"/>
    </row>
    <row r="44" spans="1:14" ht="15.75" hidden="1" customHeight="1">
      <c r="A44" s="30">
        <v>19</v>
      </c>
      <c r="B44" s="62" t="s">
        <v>36</v>
      </c>
      <c r="C44" s="63" t="s">
        <v>87</v>
      </c>
      <c r="D44" s="62" t="s">
        <v>43</v>
      </c>
      <c r="E44" s="64">
        <v>27</v>
      </c>
      <c r="F44" s="65">
        <f>SUM(E44*2/1000)</f>
        <v>5.3999999999999999E-2</v>
      </c>
      <c r="G44" s="13">
        <v>4192.6400000000003</v>
      </c>
      <c r="H44" s="66">
        <f t="shared" si="6"/>
        <v>0.22640256000000003</v>
      </c>
      <c r="I44" s="13">
        <f t="shared" ref="I44:I51" si="7">F44/2*G44</f>
        <v>113.20128000000001</v>
      </c>
      <c r="J44" s="24"/>
      <c r="L44" s="19"/>
      <c r="M44" s="20"/>
      <c r="N44" s="21"/>
    </row>
    <row r="45" spans="1:14" ht="15.75" hidden="1" customHeight="1">
      <c r="A45" s="30">
        <v>20</v>
      </c>
      <c r="B45" s="62" t="s">
        <v>37</v>
      </c>
      <c r="C45" s="63" t="s">
        <v>87</v>
      </c>
      <c r="D45" s="62" t="s">
        <v>43</v>
      </c>
      <c r="E45" s="64">
        <v>772</v>
      </c>
      <c r="F45" s="65">
        <f>SUM(E45*2/1000)</f>
        <v>1.544</v>
      </c>
      <c r="G45" s="13">
        <v>1711.28</v>
      </c>
      <c r="H45" s="66">
        <f t="shared" si="6"/>
        <v>2.6422163200000002</v>
      </c>
      <c r="I45" s="13">
        <f t="shared" si="7"/>
        <v>1321.10816</v>
      </c>
      <c r="J45" s="24"/>
      <c r="L45" s="19"/>
      <c r="M45" s="20"/>
      <c r="N45" s="21"/>
    </row>
    <row r="46" spans="1:14" ht="15.75" hidden="1" customHeight="1">
      <c r="A46" s="30">
        <v>21</v>
      </c>
      <c r="B46" s="62" t="s">
        <v>38</v>
      </c>
      <c r="C46" s="63" t="s">
        <v>87</v>
      </c>
      <c r="D46" s="62" t="s">
        <v>43</v>
      </c>
      <c r="E46" s="64">
        <v>959.4</v>
      </c>
      <c r="F46" s="65">
        <f>SUM(E46*2/1000)</f>
        <v>1.9188000000000001</v>
      </c>
      <c r="G46" s="13">
        <v>1179.73</v>
      </c>
      <c r="H46" s="66">
        <f t="shared" si="6"/>
        <v>2.2636659240000001</v>
      </c>
      <c r="I46" s="13">
        <f t="shared" si="7"/>
        <v>1131.832962</v>
      </c>
      <c r="J46" s="24"/>
      <c r="L46" s="19"/>
      <c r="M46" s="20"/>
      <c r="N46" s="21"/>
    </row>
    <row r="47" spans="1:14" ht="15.75" hidden="1" customHeight="1">
      <c r="A47" s="30">
        <v>22</v>
      </c>
      <c r="B47" s="62" t="s">
        <v>34</v>
      </c>
      <c r="C47" s="63" t="s">
        <v>35</v>
      </c>
      <c r="D47" s="62" t="s">
        <v>43</v>
      </c>
      <c r="E47" s="64">
        <v>66.02</v>
      </c>
      <c r="F47" s="65">
        <f>SUM(E47*2/100)</f>
        <v>1.3204</v>
      </c>
      <c r="G47" s="13">
        <v>90.61</v>
      </c>
      <c r="H47" s="66">
        <f t="shared" si="6"/>
        <v>0.11964144400000001</v>
      </c>
      <c r="I47" s="13">
        <f t="shared" si="7"/>
        <v>59.820722000000004</v>
      </c>
      <c r="J47" s="24"/>
      <c r="L47" s="19"/>
      <c r="M47" s="20"/>
      <c r="N47" s="21"/>
    </row>
    <row r="48" spans="1:14" ht="15.75" hidden="1" customHeight="1">
      <c r="A48" s="30">
        <v>23</v>
      </c>
      <c r="B48" s="62" t="s">
        <v>57</v>
      </c>
      <c r="C48" s="63" t="s">
        <v>87</v>
      </c>
      <c r="D48" s="62" t="s">
        <v>138</v>
      </c>
      <c r="E48" s="64">
        <v>1536.4</v>
      </c>
      <c r="F48" s="65">
        <f>SUM(E48*5/1000)</f>
        <v>7.6820000000000004</v>
      </c>
      <c r="G48" s="13">
        <v>1711.28</v>
      </c>
      <c r="H48" s="66">
        <f t="shared" si="6"/>
        <v>13.14605296</v>
      </c>
      <c r="I48" s="13">
        <f>F48/5*G48</f>
        <v>2629.2105919999999</v>
      </c>
      <c r="J48" s="24"/>
      <c r="L48" s="19"/>
      <c r="M48" s="20"/>
      <c r="N48" s="21"/>
    </row>
    <row r="49" spans="1:22" ht="32.25" hidden="1" customHeight="1">
      <c r="A49" s="30">
        <v>12</v>
      </c>
      <c r="B49" s="62" t="s">
        <v>88</v>
      </c>
      <c r="C49" s="63" t="s">
        <v>87</v>
      </c>
      <c r="D49" s="62" t="s">
        <v>43</v>
      </c>
      <c r="E49" s="64">
        <v>1536.4</v>
      </c>
      <c r="F49" s="65">
        <f>SUM(E49*2/1000)</f>
        <v>3.0728</v>
      </c>
      <c r="G49" s="13">
        <v>1510.06</v>
      </c>
      <c r="H49" s="66">
        <f t="shared" si="6"/>
        <v>4.6401123680000005</v>
      </c>
      <c r="I49" s="13">
        <f t="shared" si="7"/>
        <v>2320.056184</v>
      </c>
      <c r="J49" s="24"/>
      <c r="L49" s="19"/>
      <c r="M49" s="20"/>
      <c r="N49" s="21"/>
    </row>
    <row r="50" spans="1:22" ht="32.25" hidden="1" customHeight="1">
      <c r="A50" s="30">
        <v>13</v>
      </c>
      <c r="B50" s="62" t="s">
        <v>89</v>
      </c>
      <c r="C50" s="63" t="s">
        <v>39</v>
      </c>
      <c r="D50" s="62" t="s">
        <v>43</v>
      </c>
      <c r="E50" s="64">
        <v>9</v>
      </c>
      <c r="F50" s="65">
        <f>SUM(E50*2/100)</f>
        <v>0.18</v>
      </c>
      <c r="G50" s="13">
        <v>3850.4</v>
      </c>
      <c r="H50" s="66">
        <f t="shared" si="6"/>
        <v>0.69307200000000002</v>
      </c>
      <c r="I50" s="13">
        <f t="shared" si="7"/>
        <v>346.536</v>
      </c>
      <c r="J50" s="24"/>
      <c r="L50" s="19"/>
      <c r="M50" s="20"/>
      <c r="N50" s="21"/>
    </row>
    <row r="51" spans="1:22" ht="15.75" hidden="1" customHeight="1">
      <c r="A51" s="30">
        <v>14</v>
      </c>
      <c r="B51" s="62" t="s">
        <v>40</v>
      </c>
      <c r="C51" s="63" t="s">
        <v>41</v>
      </c>
      <c r="D51" s="62" t="s">
        <v>43</v>
      </c>
      <c r="E51" s="64">
        <v>1</v>
      </c>
      <c r="F51" s="65">
        <v>0.02</v>
      </c>
      <c r="G51" s="13">
        <v>7033.13</v>
      </c>
      <c r="H51" s="66">
        <f t="shared" si="6"/>
        <v>0.1406626</v>
      </c>
      <c r="I51" s="13">
        <f t="shared" si="7"/>
        <v>70.331299999999999</v>
      </c>
      <c r="J51" s="24"/>
      <c r="L51" s="19"/>
      <c r="M51" s="20"/>
      <c r="N51" s="21"/>
    </row>
    <row r="52" spans="1:22" ht="15.75" hidden="1" customHeight="1">
      <c r="A52" s="30">
        <v>24</v>
      </c>
      <c r="B52" s="62" t="s">
        <v>42</v>
      </c>
      <c r="C52" s="63" t="s">
        <v>106</v>
      </c>
      <c r="D52" s="62" t="s">
        <v>70</v>
      </c>
      <c r="E52" s="64">
        <v>53</v>
      </c>
      <c r="F52" s="65">
        <f>53*3</f>
        <v>159</v>
      </c>
      <c r="G52" s="13">
        <v>81.73</v>
      </c>
      <c r="H52" s="66">
        <f t="shared" si="6"/>
        <v>12.995070000000002</v>
      </c>
      <c r="I52" s="13">
        <f>F52/3*G52</f>
        <v>4331.6900000000005</v>
      </c>
      <c r="J52" s="24"/>
      <c r="L52" s="19"/>
    </row>
    <row r="53" spans="1:22" ht="15.75" customHeight="1">
      <c r="A53" s="148" t="s">
        <v>145</v>
      </c>
      <c r="B53" s="149"/>
      <c r="C53" s="149"/>
      <c r="D53" s="149"/>
      <c r="E53" s="149"/>
      <c r="F53" s="149"/>
      <c r="G53" s="149"/>
      <c r="H53" s="149"/>
      <c r="I53" s="150"/>
    </row>
    <row r="54" spans="1:22" ht="15.75" hidden="1" customHeight="1">
      <c r="A54" s="30"/>
      <c r="B54" s="82" t="s">
        <v>44</v>
      </c>
      <c r="C54" s="63"/>
      <c r="D54" s="62"/>
      <c r="E54" s="64"/>
      <c r="F54" s="65"/>
      <c r="G54" s="65"/>
      <c r="H54" s="66"/>
      <c r="I54" s="13"/>
    </row>
    <row r="55" spans="1:22" ht="31.5" hidden="1" customHeight="1">
      <c r="A55" s="30">
        <v>15</v>
      </c>
      <c r="B55" s="62" t="s">
        <v>107</v>
      </c>
      <c r="C55" s="63" t="s">
        <v>84</v>
      </c>
      <c r="D55" s="62" t="s">
        <v>108</v>
      </c>
      <c r="E55" s="64">
        <v>11.5</v>
      </c>
      <c r="F55" s="65">
        <f>SUM(E55*6/100)</f>
        <v>0.69</v>
      </c>
      <c r="G55" s="13">
        <v>2306.62</v>
      </c>
      <c r="H55" s="66">
        <f>SUM(F55*G55/1000)</f>
        <v>1.5915677999999998</v>
      </c>
      <c r="I55" s="13">
        <f>F55/6*G55</f>
        <v>265.26129999999995</v>
      </c>
    </row>
    <row r="56" spans="1:22" ht="15.75" hidden="1" customHeight="1">
      <c r="A56" s="30"/>
      <c r="B56" s="62" t="s">
        <v>124</v>
      </c>
      <c r="C56" s="63" t="s">
        <v>125</v>
      </c>
      <c r="D56" s="62" t="s">
        <v>67</v>
      </c>
      <c r="E56" s="64"/>
      <c r="F56" s="65">
        <v>2</v>
      </c>
      <c r="G56" s="85">
        <v>1501</v>
      </c>
      <c r="H56" s="66">
        <f>SUM(F56*G56/1000)</f>
        <v>3.0019999999999998</v>
      </c>
      <c r="I56" s="13">
        <v>0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9"/>
    </row>
    <row r="57" spans="1:22" ht="15.75" customHeight="1">
      <c r="A57" s="30"/>
      <c r="B57" s="82" t="s">
        <v>45</v>
      </c>
      <c r="C57" s="63"/>
      <c r="D57" s="62"/>
      <c r="E57" s="64"/>
      <c r="F57" s="65"/>
      <c r="G57" s="86"/>
      <c r="H57" s="66"/>
      <c r="I57" s="13"/>
      <c r="J57" s="26"/>
      <c r="K57" s="26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2" ht="15.75" hidden="1" customHeight="1">
      <c r="A58" s="30"/>
      <c r="B58" s="62" t="s">
        <v>109</v>
      </c>
      <c r="C58" s="63" t="s">
        <v>84</v>
      </c>
      <c r="D58" s="62" t="s">
        <v>54</v>
      </c>
      <c r="E58" s="64">
        <v>148</v>
      </c>
      <c r="F58" s="66">
        <f>E58/100</f>
        <v>1.48</v>
      </c>
      <c r="G58" s="13">
        <v>987.51</v>
      </c>
      <c r="H58" s="71">
        <f>F58*G58/1000</f>
        <v>1.4615148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S58" s="3"/>
      <c r="T58" s="3"/>
      <c r="U58" s="3"/>
    </row>
    <row r="59" spans="1:22" ht="15.75" customHeight="1">
      <c r="A59" s="30">
        <v>7</v>
      </c>
      <c r="B59" s="73" t="s">
        <v>135</v>
      </c>
      <c r="C59" s="72" t="s">
        <v>25</v>
      </c>
      <c r="D59" s="73" t="s">
        <v>176</v>
      </c>
      <c r="E59" s="74">
        <v>140.5</v>
      </c>
      <c r="F59" s="65">
        <v>1320</v>
      </c>
      <c r="G59" s="87">
        <v>1.4</v>
      </c>
      <c r="H59" s="71">
        <f>F59*G59/1000</f>
        <v>1.8479999999999999</v>
      </c>
      <c r="I59" s="13">
        <f>F59/12*G59</f>
        <v>154</v>
      </c>
      <c r="J59" s="5"/>
      <c r="K59" s="5"/>
      <c r="L59" s="5"/>
      <c r="M59" s="5"/>
      <c r="N59" s="5"/>
      <c r="O59" s="5"/>
      <c r="P59" s="5"/>
      <c r="Q59" s="5"/>
      <c r="R59" s="141"/>
      <c r="S59" s="141"/>
      <c r="T59" s="141"/>
      <c r="U59" s="141"/>
    </row>
    <row r="60" spans="1:22" ht="15.75" customHeight="1">
      <c r="A60" s="30"/>
      <c r="B60" s="83" t="s">
        <v>46</v>
      </c>
      <c r="C60" s="72"/>
      <c r="D60" s="73"/>
      <c r="E60" s="74"/>
      <c r="F60" s="75"/>
      <c r="G60" s="75"/>
      <c r="H60" s="76" t="s">
        <v>118</v>
      </c>
      <c r="I60" s="13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2" ht="21" customHeight="1">
      <c r="A61" s="30">
        <v>8</v>
      </c>
      <c r="B61" s="14" t="s">
        <v>47</v>
      </c>
      <c r="C61" s="16" t="s">
        <v>106</v>
      </c>
      <c r="D61" s="14" t="s">
        <v>197</v>
      </c>
      <c r="E61" s="18">
        <v>2</v>
      </c>
      <c r="F61" s="65">
        <f>E61</f>
        <v>2</v>
      </c>
      <c r="G61" s="13">
        <v>276.74</v>
      </c>
      <c r="H61" s="61">
        <f t="shared" ref="H61:H77" si="8">SUM(F61*G61/1000)</f>
        <v>0.55347999999999997</v>
      </c>
      <c r="I61" s="13">
        <f>G61*2</f>
        <v>553.48</v>
      </c>
    </row>
    <row r="62" spans="1:22" ht="26.25" hidden="1" customHeight="1">
      <c r="A62" s="30"/>
      <c r="B62" s="14" t="s">
        <v>48</v>
      </c>
      <c r="C62" s="16" t="s">
        <v>106</v>
      </c>
      <c r="D62" s="14" t="s">
        <v>67</v>
      </c>
      <c r="E62" s="18">
        <v>1</v>
      </c>
      <c r="F62" s="65">
        <f>E62</f>
        <v>1</v>
      </c>
      <c r="G62" s="13">
        <v>94.89</v>
      </c>
      <c r="H62" s="61">
        <f t="shared" si="8"/>
        <v>9.4890000000000002E-2</v>
      </c>
      <c r="I62" s="13">
        <v>0</v>
      </c>
    </row>
    <row r="63" spans="1:22" ht="17.25" customHeight="1">
      <c r="A63" s="30">
        <v>9</v>
      </c>
      <c r="B63" s="14" t="s">
        <v>49</v>
      </c>
      <c r="C63" s="16" t="s">
        <v>110</v>
      </c>
      <c r="D63" s="14"/>
      <c r="E63" s="64">
        <v>6307</v>
      </c>
      <c r="F63" s="13">
        <f>SUM(E63/100)</f>
        <v>63.07</v>
      </c>
      <c r="G63" s="13">
        <v>263.99</v>
      </c>
      <c r="H63" s="61">
        <f t="shared" si="8"/>
        <v>16.649849300000003</v>
      </c>
      <c r="I63" s="13">
        <f>F63*G63</f>
        <v>16649.849300000002</v>
      </c>
    </row>
    <row r="64" spans="1:22" ht="18.75" customHeight="1">
      <c r="A64" s="30">
        <v>10</v>
      </c>
      <c r="B64" s="14" t="s">
        <v>50</v>
      </c>
      <c r="C64" s="16" t="s">
        <v>111</v>
      </c>
      <c r="D64" s="14"/>
      <c r="E64" s="64">
        <v>6307</v>
      </c>
      <c r="F64" s="13">
        <f>SUM(E64/1000)</f>
        <v>6.3070000000000004</v>
      </c>
      <c r="G64" s="13">
        <v>205.57</v>
      </c>
      <c r="H64" s="61">
        <f t="shared" si="8"/>
        <v>1.29652999</v>
      </c>
      <c r="I64" s="13">
        <f t="shared" ref="I64:I67" si="9">F64*G64</f>
        <v>1296.52999</v>
      </c>
    </row>
    <row r="65" spans="1:9" ht="21" customHeight="1">
      <c r="A65" s="30">
        <v>11</v>
      </c>
      <c r="B65" s="14" t="s">
        <v>51</v>
      </c>
      <c r="C65" s="16" t="s">
        <v>76</v>
      </c>
      <c r="D65" s="14"/>
      <c r="E65" s="64">
        <v>1003</v>
      </c>
      <c r="F65" s="13">
        <f>SUM(E65/100)</f>
        <v>10.029999999999999</v>
      </c>
      <c r="G65" s="13">
        <v>2581.5300000000002</v>
      </c>
      <c r="H65" s="61">
        <f t="shared" si="8"/>
        <v>25.892745900000001</v>
      </c>
      <c r="I65" s="13">
        <f t="shared" si="9"/>
        <v>25892.745900000002</v>
      </c>
    </row>
    <row r="66" spans="1:9" ht="19.5" customHeight="1">
      <c r="A66" s="30">
        <v>12</v>
      </c>
      <c r="B66" s="77" t="s">
        <v>112</v>
      </c>
      <c r="C66" s="16" t="s">
        <v>33</v>
      </c>
      <c r="D66" s="14"/>
      <c r="E66" s="64">
        <v>6.6</v>
      </c>
      <c r="F66" s="13">
        <f>SUM(E66)</f>
        <v>6.6</v>
      </c>
      <c r="G66" s="13">
        <v>47.75</v>
      </c>
      <c r="H66" s="61">
        <f t="shared" si="8"/>
        <v>0.31514999999999999</v>
      </c>
      <c r="I66" s="13">
        <f t="shared" si="9"/>
        <v>315.14999999999998</v>
      </c>
    </row>
    <row r="67" spans="1:9" ht="17.25" customHeight="1">
      <c r="A67" s="30">
        <v>13</v>
      </c>
      <c r="B67" s="77" t="s">
        <v>113</v>
      </c>
      <c r="C67" s="16" t="s">
        <v>33</v>
      </c>
      <c r="D67" s="14"/>
      <c r="E67" s="64">
        <v>6.6</v>
      </c>
      <c r="F67" s="13">
        <f>SUM(E67)</f>
        <v>6.6</v>
      </c>
      <c r="G67" s="13">
        <v>44.27</v>
      </c>
      <c r="H67" s="61">
        <f t="shared" si="8"/>
        <v>0.292182</v>
      </c>
      <c r="I67" s="13">
        <f t="shared" si="9"/>
        <v>292.18200000000002</v>
      </c>
    </row>
    <row r="68" spans="1:9" ht="18.75" hidden="1" customHeight="1">
      <c r="A68" s="30">
        <v>11</v>
      </c>
      <c r="B68" s="14" t="s">
        <v>58</v>
      </c>
      <c r="C68" s="16" t="s">
        <v>59</v>
      </c>
      <c r="D68" s="14" t="s">
        <v>54</v>
      </c>
      <c r="E68" s="18">
        <v>3</v>
      </c>
      <c r="F68" s="65">
        <v>3</v>
      </c>
      <c r="G68" s="13">
        <v>62.07</v>
      </c>
      <c r="H68" s="61">
        <f t="shared" si="8"/>
        <v>0.18621000000000001</v>
      </c>
      <c r="I68" s="13">
        <f>F68*G68</f>
        <v>186.21</v>
      </c>
    </row>
    <row r="69" spans="1:9" ht="15.75" customHeight="1">
      <c r="A69" s="30">
        <v>14</v>
      </c>
      <c r="B69" s="14" t="s">
        <v>126</v>
      </c>
      <c r="C69" s="30" t="s">
        <v>127</v>
      </c>
      <c r="D69" s="14"/>
      <c r="E69" s="18">
        <v>1536.4</v>
      </c>
      <c r="F69" s="56">
        <f>E69*12</f>
        <v>18436.800000000003</v>
      </c>
      <c r="G69" s="13">
        <v>2.16</v>
      </c>
      <c r="H69" s="61">
        <f t="shared" si="8"/>
        <v>39.823488000000012</v>
      </c>
      <c r="I69" s="13">
        <f>F69/12*G69</f>
        <v>3318.6240000000007</v>
      </c>
    </row>
    <row r="70" spans="1:9" ht="15.75" customHeight="1">
      <c r="A70" s="30"/>
      <c r="B70" s="93" t="s">
        <v>71</v>
      </c>
      <c r="C70" s="16"/>
      <c r="D70" s="14"/>
      <c r="E70" s="18"/>
      <c r="F70" s="13"/>
      <c r="G70" s="13"/>
      <c r="H70" s="61" t="s">
        <v>118</v>
      </c>
      <c r="I70" s="13"/>
    </row>
    <row r="71" spans="1:9" ht="15.75" hidden="1" customHeight="1">
      <c r="A71" s="30"/>
      <c r="B71" s="14" t="s">
        <v>129</v>
      </c>
      <c r="C71" s="16" t="s">
        <v>130</v>
      </c>
      <c r="D71" s="14" t="s">
        <v>67</v>
      </c>
      <c r="E71" s="18">
        <v>1</v>
      </c>
      <c r="F71" s="13">
        <f>E71</f>
        <v>1</v>
      </c>
      <c r="G71" s="13">
        <v>976.4</v>
      </c>
      <c r="H71" s="61">
        <f t="shared" ref="H71:H72" si="10">SUM(F71*G71/1000)</f>
        <v>0.97639999999999993</v>
      </c>
      <c r="I71" s="13">
        <v>0</v>
      </c>
    </row>
    <row r="72" spans="1:9" ht="15.75" hidden="1" customHeight="1">
      <c r="A72" s="30"/>
      <c r="B72" s="14" t="s">
        <v>131</v>
      </c>
      <c r="C72" s="16" t="s">
        <v>132</v>
      </c>
      <c r="D72" s="14"/>
      <c r="E72" s="18">
        <v>1</v>
      </c>
      <c r="F72" s="13">
        <v>1</v>
      </c>
      <c r="G72" s="13">
        <v>650</v>
      </c>
      <c r="H72" s="61">
        <f t="shared" si="10"/>
        <v>0.65</v>
      </c>
      <c r="I72" s="13">
        <v>0</v>
      </c>
    </row>
    <row r="73" spans="1:9" ht="15.75" hidden="1" customHeight="1">
      <c r="A73" s="30">
        <v>11</v>
      </c>
      <c r="B73" s="14" t="s">
        <v>72</v>
      </c>
      <c r="C73" s="16" t="s">
        <v>74</v>
      </c>
      <c r="D73" s="14"/>
      <c r="E73" s="18">
        <v>3</v>
      </c>
      <c r="F73" s="13">
        <v>0.3</v>
      </c>
      <c r="G73" s="13">
        <v>624.16999999999996</v>
      </c>
      <c r="H73" s="61">
        <f t="shared" si="8"/>
        <v>0.18725099999999997</v>
      </c>
      <c r="I73" s="13">
        <f>G73*0.3</f>
        <v>187.25099999999998</v>
      </c>
    </row>
    <row r="74" spans="1:9" ht="15.75" hidden="1" customHeight="1">
      <c r="A74" s="30"/>
      <c r="B74" s="14" t="s">
        <v>73</v>
      </c>
      <c r="C74" s="16" t="s">
        <v>31</v>
      </c>
      <c r="D74" s="14"/>
      <c r="E74" s="18">
        <v>1</v>
      </c>
      <c r="F74" s="56">
        <v>1</v>
      </c>
      <c r="G74" s="13">
        <v>1061.4100000000001</v>
      </c>
      <c r="H74" s="61">
        <f>F74*G74/1000</f>
        <v>1.0614100000000002</v>
      </c>
      <c r="I74" s="13">
        <v>0</v>
      </c>
    </row>
    <row r="75" spans="1:9" ht="15.75" customHeight="1">
      <c r="A75" s="30">
        <v>15</v>
      </c>
      <c r="B75" s="46" t="s">
        <v>133</v>
      </c>
      <c r="C75" s="47" t="s">
        <v>106</v>
      </c>
      <c r="D75" s="14" t="s">
        <v>203</v>
      </c>
      <c r="E75" s="18">
        <v>1</v>
      </c>
      <c r="F75" s="13">
        <f>E75*12</f>
        <v>12</v>
      </c>
      <c r="G75" s="13">
        <v>50.69</v>
      </c>
      <c r="H75" s="61">
        <f>G75*F75/1000</f>
        <v>0.60827999999999993</v>
      </c>
      <c r="I75" s="13">
        <f>G75</f>
        <v>50.69</v>
      </c>
    </row>
    <row r="76" spans="1:9" ht="20.25" hidden="1" customHeight="1">
      <c r="A76" s="30"/>
      <c r="B76" s="79" t="s">
        <v>75</v>
      </c>
      <c r="C76" s="16"/>
      <c r="D76" s="14"/>
      <c r="E76" s="18"/>
      <c r="F76" s="13"/>
      <c r="G76" s="13" t="s">
        <v>118</v>
      </c>
      <c r="H76" s="61" t="s">
        <v>118</v>
      </c>
      <c r="I76" s="13" t="str">
        <f>G76</f>
        <v xml:space="preserve"> </v>
      </c>
    </row>
    <row r="77" spans="1:9" ht="20.25" hidden="1" customHeight="1">
      <c r="A77" s="30"/>
      <c r="B77" s="43" t="s">
        <v>134</v>
      </c>
      <c r="C77" s="16" t="s">
        <v>76</v>
      </c>
      <c r="D77" s="14"/>
      <c r="E77" s="18"/>
      <c r="F77" s="13">
        <v>0.1</v>
      </c>
      <c r="G77" s="13">
        <v>3433.69</v>
      </c>
      <c r="H77" s="61">
        <f t="shared" si="8"/>
        <v>0.34336900000000004</v>
      </c>
      <c r="I77" s="13">
        <v>0</v>
      </c>
    </row>
    <row r="78" spans="1:9" ht="24.75" hidden="1" customHeight="1">
      <c r="A78" s="30"/>
      <c r="B78" s="55" t="s">
        <v>90</v>
      </c>
      <c r="C78" s="79"/>
      <c r="D78" s="31"/>
      <c r="E78" s="32"/>
      <c r="F78" s="68"/>
      <c r="G78" s="68"/>
      <c r="H78" s="80">
        <f>SUM(H55:H77)</f>
        <v>96.834317790000014</v>
      </c>
      <c r="I78" s="13"/>
    </row>
    <row r="79" spans="1:9" ht="18.75" hidden="1" customHeight="1">
      <c r="A79" s="30">
        <v>13</v>
      </c>
      <c r="B79" s="62" t="s">
        <v>114</v>
      </c>
      <c r="C79" s="16"/>
      <c r="D79" s="14"/>
      <c r="E79" s="57"/>
      <c r="F79" s="13">
        <v>1</v>
      </c>
      <c r="G79" s="35">
        <v>6486.6</v>
      </c>
      <c r="H79" s="61">
        <f>G79*F79/1000</f>
        <v>6.4866000000000001</v>
      </c>
      <c r="I79" s="13">
        <f>G79</f>
        <v>6486.6</v>
      </c>
    </row>
    <row r="80" spans="1:9" ht="15.75" customHeight="1">
      <c r="A80" s="148" t="s">
        <v>146</v>
      </c>
      <c r="B80" s="149"/>
      <c r="C80" s="149"/>
      <c r="D80" s="149"/>
      <c r="E80" s="149"/>
      <c r="F80" s="149"/>
      <c r="G80" s="149"/>
      <c r="H80" s="149"/>
      <c r="I80" s="150"/>
    </row>
    <row r="81" spans="1:9" ht="15.75" customHeight="1">
      <c r="A81" s="30">
        <v>16</v>
      </c>
      <c r="B81" s="62" t="s">
        <v>115</v>
      </c>
      <c r="C81" s="16" t="s">
        <v>55</v>
      </c>
      <c r="D81" s="81"/>
      <c r="E81" s="13">
        <v>1536.4</v>
      </c>
      <c r="F81" s="13">
        <f>SUM(E81*12)</f>
        <v>18436.800000000003</v>
      </c>
      <c r="G81" s="13">
        <v>2.95</v>
      </c>
      <c r="H81" s="61">
        <f>SUM(F81*G81/1000)</f>
        <v>54.388560000000012</v>
      </c>
      <c r="I81" s="13">
        <f>F81/12*G81</f>
        <v>4532.380000000001</v>
      </c>
    </row>
    <row r="82" spans="1:9" ht="31.5" customHeight="1">
      <c r="A82" s="30">
        <v>17</v>
      </c>
      <c r="B82" s="14" t="s">
        <v>77</v>
      </c>
      <c r="C82" s="16"/>
      <c r="D82" s="81"/>
      <c r="E82" s="64">
        <f>E81</f>
        <v>1536.4</v>
      </c>
      <c r="F82" s="13">
        <f>E82*12</f>
        <v>18436.800000000003</v>
      </c>
      <c r="G82" s="13">
        <v>3.05</v>
      </c>
      <c r="H82" s="61">
        <f>F82*G82/1000</f>
        <v>56.232240000000004</v>
      </c>
      <c r="I82" s="13">
        <f>F82/12*G82</f>
        <v>4686.0200000000004</v>
      </c>
    </row>
    <row r="83" spans="1:9" ht="15.75" customHeight="1">
      <c r="A83" s="30"/>
      <c r="B83" s="36" t="s">
        <v>79</v>
      </c>
      <c r="C83" s="79"/>
      <c r="D83" s="78"/>
      <c r="E83" s="68"/>
      <c r="F83" s="68"/>
      <c r="G83" s="68"/>
      <c r="H83" s="80">
        <f>H82</f>
        <v>56.232240000000004</v>
      </c>
      <c r="I83" s="68">
        <f>I82+I81+I75+I69+I67+I66+I65+I64+I63+I61+I59+I31+I30+I27+I18+I17+I16</f>
        <v>64344.496258000014</v>
      </c>
    </row>
    <row r="84" spans="1:9" ht="15.75" customHeight="1">
      <c r="A84" s="134" t="s">
        <v>61</v>
      </c>
      <c r="B84" s="135"/>
      <c r="C84" s="135"/>
      <c r="D84" s="135"/>
      <c r="E84" s="135"/>
      <c r="F84" s="135"/>
      <c r="G84" s="135"/>
      <c r="H84" s="135"/>
      <c r="I84" s="136"/>
    </row>
    <row r="85" spans="1:9" s="100" customFormat="1" ht="15.75" customHeight="1">
      <c r="A85" s="30">
        <v>18</v>
      </c>
      <c r="B85" s="111" t="s">
        <v>190</v>
      </c>
      <c r="C85" s="112" t="s">
        <v>191</v>
      </c>
      <c r="D85" s="43"/>
      <c r="E85" s="13"/>
      <c r="F85" s="13">
        <v>234</v>
      </c>
      <c r="G85" s="34">
        <v>225.75</v>
      </c>
      <c r="H85" s="13">
        <f t="shared" ref="H85:H86" si="11">G85*F85/1000</f>
        <v>52.825499999999998</v>
      </c>
      <c r="I85" s="13">
        <f>G85*1</f>
        <v>225.75</v>
      </c>
    </row>
    <row r="86" spans="1:9" s="100" customFormat="1" ht="15.75" customHeight="1">
      <c r="A86" s="30">
        <v>19</v>
      </c>
      <c r="B86" s="124" t="s">
        <v>192</v>
      </c>
      <c r="C86" s="112" t="s">
        <v>55</v>
      </c>
      <c r="D86" s="16" t="s">
        <v>193</v>
      </c>
      <c r="E86" s="13"/>
      <c r="F86" s="13">
        <v>4</v>
      </c>
      <c r="G86" s="34">
        <v>494.86</v>
      </c>
      <c r="H86" s="61">
        <f t="shared" si="11"/>
        <v>1.9794400000000001</v>
      </c>
      <c r="I86" s="13">
        <f>G86*2.5</f>
        <v>1237.1500000000001</v>
      </c>
    </row>
    <row r="87" spans="1:9" ht="15.75" customHeight="1">
      <c r="A87" s="30"/>
      <c r="B87" s="41" t="s">
        <v>52</v>
      </c>
      <c r="C87" s="37"/>
      <c r="D87" s="44"/>
      <c r="E87" s="37">
        <v>1</v>
      </c>
      <c r="F87" s="37"/>
      <c r="G87" s="37"/>
      <c r="H87" s="37"/>
      <c r="I87" s="32">
        <f>SUM(I85:I86)</f>
        <v>1462.9</v>
      </c>
    </row>
    <row r="88" spans="1:9" ht="15.75" customHeight="1">
      <c r="A88" s="30"/>
      <c r="B88" s="43" t="s">
        <v>78</v>
      </c>
      <c r="C88" s="15"/>
      <c r="D88" s="15"/>
      <c r="E88" s="38"/>
      <c r="F88" s="38"/>
      <c r="G88" s="39"/>
      <c r="H88" s="39"/>
      <c r="I88" s="17">
        <v>0</v>
      </c>
    </row>
    <row r="89" spans="1:9">
      <c r="A89" s="45"/>
      <c r="B89" s="42" t="s">
        <v>157</v>
      </c>
      <c r="C89" s="33"/>
      <c r="D89" s="33"/>
      <c r="E89" s="33"/>
      <c r="F89" s="33"/>
      <c r="G89" s="33"/>
      <c r="H89" s="33"/>
      <c r="I89" s="40">
        <f>I83+I87</f>
        <v>65807.396258000008</v>
      </c>
    </row>
    <row r="90" spans="1:9" ht="15.75">
      <c r="A90" s="143" t="s">
        <v>217</v>
      </c>
      <c r="B90" s="143"/>
      <c r="C90" s="143"/>
      <c r="D90" s="143"/>
      <c r="E90" s="143"/>
      <c r="F90" s="143"/>
      <c r="G90" s="143"/>
      <c r="H90" s="143"/>
      <c r="I90" s="143"/>
    </row>
    <row r="91" spans="1:9" ht="15.75" customHeight="1">
      <c r="A91" s="54"/>
      <c r="B91" s="144" t="s">
        <v>218</v>
      </c>
      <c r="C91" s="144"/>
      <c r="D91" s="144"/>
      <c r="E91" s="144"/>
      <c r="F91" s="144"/>
      <c r="G91" s="144"/>
      <c r="H91" s="60"/>
      <c r="I91" s="3"/>
    </row>
    <row r="92" spans="1:9">
      <c r="A92" s="91"/>
      <c r="B92" s="139" t="s">
        <v>6</v>
      </c>
      <c r="C92" s="139"/>
      <c r="D92" s="139"/>
      <c r="E92" s="139"/>
      <c r="F92" s="139"/>
      <c r="G92" s="139"/>
      <c r="H92" s="25"/>
      <c r="I92" s="5"/>
    </row>
    <row r="93" spans="1:9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5.75">
      <c r="A94" s="145" t="s">
        <v>7</v>
      </c>
      <c r="B94" s="145"/>
      <c r="C94" s="145"/>
      <c r="D94" s="145"/>
      <c r="E94" s="145"/>
      <c r="F94" s="145"/>
      <c r="G94" s="145"/>
      <c r="H94" s="145"/>
      <c r="I94" s="145"/>
    </row>
    <row r="95" spans="1:9" ht="15.75" customHeight="1">
      <c r="A95" s="145" t="s">
        <v>8</v>
      </c>
      <c r="B95" s="145"/>
      <c r="C95" s="145"/>
      <c r="D95" s="145"/>
      <c r="E95" s="145"/>
      <c r="F95" s="145"/>
      <c r="G95" s="145"/>
      <c r="H95" s="145"/>
      <c r="I95" s="145"/>
    </row>
    <row r="96" spans="1:9" ht="15.75">
      <c r="A96" s="146" t="s">
        <v>62</v>
      </c>
      <c r="B96" s="146"/>
      <c r="C96" s="146"/>
      <c r="D96" s="146"/>
      <c r="E96" s="146"/>
      <c r="F96" s="146"/>
      <c r="G96" s="146"/>
      <c r="H96" s="146"/>
      <c r="I96" s="146"/>
    </row>
    <row r="97" spans="1:9" ht="15.75">
      <c r="A97" s="11"/>
    </row>
    <row r="98" spans="1:9" ht="15.75">
      <c r="A98" s="137" t="s">
        <v>9</v>
      </c>
      <c r="B98" s="137"/>
      <c r="C98" s="137"/>
      <c r="D98" s="137"/>
      <c r="E98" s="137"/>
      <c r="F98" s="137"/>
      <c r="G98" s="137"/>
      <c r="H98" s="137"/>
      <c r="I98" s="137"/>
    </row>
    <row r="99" spans="1:9" ht="15.75">
      <c r="A99" s="4"/>
    </row>
    <row r="100" spans="1:9" ht="15.75">
      <c r="B100" s="88" t="s">
        <v>10</v>
      </c>
      <c r="C100" s="138" t="s">
        <v>137</v>
      </c>
      <c r="D100" s="138"/>
      <c r="E100" s="138"/>
      <c r="F100" s="58"/>
      <c r="I100" s="90"/>
    </row>
    <row r="101" spans="1:9">
      <c r="A101" s="91"/>
      <c r="C101" s="139" t="s">
        <v>11</v>
      </c>
      <c r="D101" s="139"/>
      <c r="E101" s="139"/>
      <c r="F101" s="25"/>
      <c r="I101" s="89" t="s">
        <v>12</v>
      </c>
    </row>
    <row r="102" spans="1:9" ht="15.75">
      <c r="A102" s="26"/>
      <c r="C102" s="12"/>
      <c r="D102" s="12"/>
      <c r="G102" s="12"/>
      <c r="H102" s="12"/>
    </row>
    <row r="103" spans="1:9" ht="15.75" customHeight="1">
      <c r="B103" s="88" t="s">
        <v>13</v>
      </c>
      <c r="C103" s="140"/>
      <c r="D103" s="140"/>
      <c r="E103" s="140"/>
      <c r="F103" s="59"/>
      <c r="I103" s="90"/>
    </row>
    <row r="104" spans="1:9" ht="15.75" customHeight="1">
      <c r="A104" s="91"/>
      <c r="C104" s="141" t="s">
        <v>11</v>
      </c>
      <c r="D104" s="141"/>
      <c r="E104" s="141"/>
      <c r="F104" s="91"/>
      <c r="I104" s="89" t="s">
        <v>12</v>
      </c>
    </row>
    <row r="105" spans="1:9" ht="15.75" customHeight="1">
      <c r="A105" s="4" t="s">
        <v>14</v>
      </c>
    </row>
    <row r="106" spans="1:9">
      <c r="A106" s="142" t="s">
        <v>15</v>
      </c>
      <c r="B106" s="142"/>
      <c r="C106" s="142"/>
      <c r="D106" s="142"/>
      <c r="E106" s="142"/>
      <c r="F106" s="142"/>
      <c r="G106" s="142"/>
      <c r="H106" s="142"/>
      <c r="I106" s="142"/>
    </row>
    <row r="107" spans="1:9" ht="45" customHeight="1">
      <c r="A107" s="133" t="s">
        <v>16</v>
      </c>
      <c r="B107" s="133"/>
      <c r="C107" s="133"/>
      <c r="D107" s="133"/>
      <c r="E107" s="133"/>
      <c r="F107" s="133"/>
      <c r="G107" s="133"/>
      <c r="H107" s="133"/>
      <c r="I107" s="133"/>
    </row>
    <row r="108" spans="1:9" ht="30" customHeight="1">
      <c r="A108" s="133" t="s">
        <v>17</v>
      </c>
      <c r="B108" s="133"/>
      <c r="C108" s="133"/>
      <c r="D108" s="133"/>
      <c r="E108" s="133"/>
      <c r="F108" s="133"/>
      <c r="G108" s="133"/>
      <c r="H108" s="133"/>
      <c r="I108" s="133"/>
    </row>
    <row r="109" spans="1:9" ht="30" customHeight="1">
      <c r="A109" s="133" t="s">
        <v>21</v>
      </c>
      <c r="B109" s="133"/>
      <c r="C109" s="133"/>
      <c r="D109" s="133"/>
      <c r="E109" s="133"/>
      <c r="F109" s="133"/>
      <c r="G109" s="133"/>
      <c r="H109" s="133"/>
      <c r="I109" s="133"/>
    </row>
    <row r="110" spans="1:9" ht="15" customHeight="1">
      <c r="A110" s="133" t="s">
        <v>20</v>
      </c>
      <c r="B110" s="133"/>
      <c r="C110" s="133"/>
      <c r="D110" s="133"/>
      <c r="E110" s="133"/>
      <c r="F110" s="133"/>
      <c r="G110" s="133"/>
      <c r="H110" s="133"/>
      <c r="I110" s="133"/>
    </row>
  </sheetData>
  <autoFilter ref="I12:I54"/>
  <mergeCells count="29">
    <mergeCell ref="A14:I14"/>
    <mergeCell ref="A15:I15"/>
    <mergeCell ref="A28:I28"/>
    <mergeCell ref="A42:I42"/>
    <mergeCell ref="A53:I53"/>
    <mergeCell ref="A3:I3"/>
    <mergeCell ref="A4:I4"/>
    <mergeCell ref="A5:I5"/>
    <mergeCell ref="A8:I8"/>
    <mergeCell ref="A10:I10"/>
    <mergeCell ref="R59:U59"/>
    <mergeCell ref="C104:E104"/>
    <mergeCell ref="A84:I84"/>
    <mergeCell ref="A90:I90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A80:I80"/>
    <mergeCell ref="A106:I106"/>
    <mergeCell ref="A107:I107"/>
    <mergeCell ref="A108:I108"/>
    <mergeCell ref="A109:I109"/>
    <mergeCell ref="A110:I110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1"/>
  <sheetViews>
    <sheetView topLeftCell="A60" workbookViewId="0">
      <selection activeCell="M30" sqref="M3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162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51" t="s">
        <v>150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136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221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84">
        <v>43677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4" t="s">
        <v>163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5" t="s">
        <v>153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6" t="s">
        <v>60</v>
      </c>
      <c r="B14" s="156"/>
      <c r="C14" s="156"/>
      <c r="D14" s="156"/>
      <c r="E14" s="156"/>
      <c r="F14" s="156"/>
      <c r="G14" s="156"/>
      <c r="H14" s="156"/>
      <c r="I14" s="156"/>
      <c r="J14" s="8"/>
      <c r="K14" s="8"/>
      <c r="L14" s="8"/>
      <c r="M14" s="8"/>
    </row>
    <row r="15" spans="1:13" ht="1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0">
        <v>1</v>
      </c>
      <c r="B16" s="62" t="s">
        <v>83</v>
      </c>
      <c r="C16" s="63" t="s">
        <v>84</v>
      </c>
      <c r="D16" s="62" t="s">
        <v>195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26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116</v>
      </c>
      <c r="C17" s="63" t="s">
        <v>84</v>
      </c>
      <c r="D17" s="62" t="s">
        <v>196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117</v>
      </c>
      <c r="C18" s="63" t="s">
        <v>84</v>
      </c>
      <c r="D18" s="62" t="s">
        <v>197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>
        <v>4</v>
      </c>
      <c r="B19" s="62" t="s">
        <v>91</v>
      </c>
      <c r="C19" s="63" t="s">
        <v>92</v>
      </c>
      <c r="D19" s="62" t="s">
        <v>93</v>
      </c>
      <c r="E19" s="64">
        <v>21.6</v>
      </c>
      <c r="F19" s="65">
        <f>SUM(E19/10)</f>
        <v>2.16</v>
      </c>
      <c r="G19" s="65">
        <v>211.74</v>
      </c>
      <c r="H19" s="66">
        <f t="shared" si="0"/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5</v>
      </c>
      <c r="B20" s="62" t="s">
        <v>94</v>
      </c>
      <c r="C20" s="63" t="s">
        <v>84</v>
      </c>
      <c r="D20" s="62" t="s">
        <v>43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0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6</v>
      </c>
      <c r="B21" s="62" t="s">
        <v>95</v>
      </c>
      <c r="C21" s="63" t="s">
        <v>84</v>
      </c>
      <c r="D21" s="62" t="s">
        <v>43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0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>
        <v>7</v>
      </c>
      <c r="B22" s="62" t="s">
        <v>96</v>
      </c>
      <c r="C22" s="63" t="s">
        <v>53</v>
      </c>
      <c r="D22" s="62" t="s">
        <v>93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0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>
        <v>8</v>
      </c>
      <c r="B23" s="62" t="s">
        <v>97</v>
      </c>
      <c r="C23" s="63" t="s">
        <v>53</v>
      </c>
      <c r="D23" s="62" t="s">
        <v>93</v>
      </c>
      <c r="E23" s="67">
        <v>17.64</v>
      </c>
      <c r="F23" s="65">
        <f>SUM(E23/100)</f>
        <v>0.1764</v>
      </c>
      <c r="G23" s="65">
        <v>55.1</v>
      </c>
      <c r="H23" s="66">
        <f t="shared" si="0"/>
        <v>9.7196399999999999E-3</v>
      </c>
      <c r="I23" s="13">
        <f t="shared" ref="I23:I26" si="1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62" t="s">
        <v>98</v>
      </c>
      <c r="C24" s="63" t="s">
        <v>53</v>
      </c>
      <c r="D24" s="62" t="s">
        <v>99</v>
      </c>
      <c r="E24" s="64">
        <v>7.2</v>
      </c>
      <c r="F24" s="65">
        <f>E24/100</f>
        <v>7.2000000000000008E-2</v>
      </c>
      <c r="G24" s="65">
        <v>484.94</v>
      </c>
      <c r="H24" s="66">
        <f t="shared" si="0"/>
        <v>3.4915680000000004E-2</v>
      </c>
      <c r="I24" s="13">
        <f t="shared" si="1"/>
        <v>34.915680000000002</v>
      </c>
      <c r="J24" s="23"/>
      <c r="K24" s="8"/>
      <c r="L24" s="8"/>
      <c r="M24" s="8"/>
    </row>
    <row r="25" spans="1:13" ht="15.75" hidden="1" customHeight="1">
      <c r="A25" s="30">
        <v>10</v>
      </c>
      <c r="B25" s="62" t="s">
        <v>100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0"/>
        <v>2.5412939999999998E-2</v>
      </c>
      <c r="I25" s="13">
        <f t="shared" si="1"/>
        <v>25.412939999999999</v>
      </c>
      <c r="J25" s="23"/>
      <c r="K25" s="8"/>
      <c r="L25" s="8"/>
      <c r="M25" s="8"/>
    </row>
    <row r="26" spans="1:13" ht="15.75" hidden="1" customHeight="1">
      <c r="A26" s="30">
        <v>11</v>
      </c>
      <c r="B26" s="62" t="s">
        <v>101</v>
      </c>
      <c r="C26" s="63" t="s">
        <v>53</v>
      </c>
      <c r="D26" s="62" t="s">
        <v>93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0"/>
        <v>7.387740000000001E-2</v>
      </c>
      <c r="I26" s="13">
        <f t="shared" si="1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126" t="s">
        <v>194</v>
      </c>
      <c r="C27" s="127" t="s">
        <v>25</v>
      </c>
      <c r="D27" s="126" t="s">
        <v>198</v>
      </c>
      <c r="E27" s="128">
        <v>2.91</v>
      </c>
      <c r="F27" s="117">
        <f>E27*258</f>
        <v>750.78000000000009</v>
      </c>
      <c r="G27" s="117">
        <v>10.39</v>
      </c>
      <c r="H27" s="66">
        <f>SUM(F27*G27/1000)</f>
        <v>7.8006042000000013</v>
      </c>
      <c r="I27" s="13">
        <f>F27/12*G27</f>
        <v>650.05035000000009</v>
      </c>
      <c r="J27" s="23"/>
      <c r="K27" s="8"/>
    </row>
    <row r="28" spans="1:13" s="100" customFormat="1" ht="15.75" hidden="1" customHeight="1">
      <c r="A28" s="30">
        <v>5</v>
      </c>
      <c r="B28" s="70" t="s">
        <v>23</v>
      </c>
      <c r="C28" s="63" t="s">
        <v>24</v>
      </c>
      <c r="D28" s="62"/>
      <c r="E28" s="64">
        <v>1536.4</v>
      </c>
      <c r="F28" s="65">
        <f>SUM(E28*12)</f>
        <v>18436.800000000003</v>
      </c>
      <c r="G28" s="65">
        <v>4.5599999999999996</v>
      </c>
      <c r="H28" s="66">
        <f>SUM(F28*G28/1000)</f>
        <v>84.071808000000004</v>
      </c>
      <c r="I28" s="13">
        <f>F28/12*G28</f>
        <v>7005.9840000000013</v>
      </c>
      <c r="J28" s="103"/>
    </row>
    <row r="29" spans="1:13" ht="15.75" customHeight="1">
      <c r="A29" s="148" t="s">
        <v>154</v>
      </c>
      <c r="B29" s="149"/>
      <c r="C29" s="149"/>
      <c r="D29" s="149"/>
      <c r="E29" s="149"/>
      <c r="F29" s="149"/>
      <c r="G29" s="149"/>
      <c r="H29" s="149"/>
      <c r="I29" s="150"/>
      <c r="J29" s="24"/>
    </row>
    <row r="30" spans="1:13" ht="15.75" customHeight="1">
      <c r="A30" s="30"/>
      <c r="B30" s="82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customHeight="1">
      <c r="A31" s="30">
        <v>5</v>
      </c>
      <c r="B31" s="62" t="s">
        <v>104</v>
      </c>
      <c r="C31" s="63" t="s">
        <v>87</v>
      </c>
      <c r="D31" s="62" t="s">
        <v>196</v>
      </c>
      <c r="E31" s="65">
        <v>61.5</v>
      </c>
      <c r="F31" s="65">
        <f>SUM(E31*52/1000)</f>
        <v>3.198</v>
      </c>
      <c r="G31" s="65">
        <v>193.97</v>
      </c>
      <c r="H31" s="66">
        <f t="shared" ref="H31:H35" si="2">SUM(F31*G31/1000)</f>
        <v>0.62031605999999995</v>
      </c>
      <c r="I31" s="13">
        <f t="shared" ref="I31:I32" si="3">F31/6*G31</f>
        <v>103.38601</v>
      </c>
      <c r="J31" s="23"/>
      <c r="K31" s="8"/>
      <c r="L31" s="8"/>
      <c r="M31" s="8"/>
    </row>
    <row r="32" spans="1:13" ht="31.5" customHeight="1">
      <c r="A32" s="30">
        <v>6</v>
      </c>
      <c r="B32" s="62" t="s">
        <v>103</v>
      </c>
      <c r="C32" s="63" t="s">
        <v>87</v>
      </c>
      <c r="D32" s="62" t="s">
        <v>195</v>
      </c>
      <c r="E32" s="65">
        <v>35.299999999999997</v>
      </c>
      <c r="F32" s="65">
        <f>SUM(E32*78/1000)</f>
        <v>2.7533999999999996</v>
      </c>
      <c r="G32" s="65">
        <v>321.82</v>
      </c>
      <c r="H32" s="66">
        <f t="shared" si="2"/>
        <v>0.88609918799999987</v>
      </c>
      <c r="I32" s="13">
        <f t="shared" si="3"/>
        <v>147.68319799999998</v>
      </c>
      <c r="J32" s="23"/>
      <c r="K32" s="8"/>
      <c r="L32" s="8"/>
      <c r="M32" s="8"/>
    </row>
    <row r="33" spans="1:14" ht="15.75" hidden="1" customHeight="1">
      <c r="A33" s="30">
        <v>16</v>
      </c>
      <c r="B33" s="62" t="s">
        <v>27</v>
      </c>
      <c r="C33" s="63" t="s">
        <v>87</v>
      </c>
      <c r="D33" s="62" t="s">
        <v>54</v>
      </c>
      <c r="E33" s="65">
        <v>61.5</v>
      </c>
      <c r="F33" s="65">
        <f>SUM(E33/1000)</f>
        <v>6.1499999999999999E-2</v>
      </c>
      <c r="G33" s="65">
        <v>3758.28</v>
      </c>
      <c r="H33" s="66">
        <f t="shared" si="2"/>
        <v>0.23113422</v>
      </c>
      <c r="I33" s="13">
        <f>F33*G33</f>
        <v>231.13422</v>
      </c>
      <c r="J33" s="23"/>
      <c r="K33" s="8"/>
      <c r="L33" s="8"/>
      <c r="M33" s="8"/>
    </row>
    <row r="34" spans="1:14" ht="15.75" hidden="1" customHeight="1">
      <c r="A34" s="30"/>
      <c r="B34" s="62" t="s">
        <v>65</v>
      </c>
      <c r="C34" s="63" t="s">
        <v>33</v>
      </c>
      <c r="D34" s="62" t="s">
        <v>67</v>
      </c>
      <c r="E34" s="64"/>
      <c r="F34" s="65">
        <v>1</v>
      </c>
      <c r="G34" s="65">
        <v>238.07</v>
      </c>
      <c r="H34" s="66">
        <f t="shared" si="2"/>
        <v>0.23807</v>
      </c>
      <c r="I34" s="13">
        <v>0</v>
      </c>
      <c r="J34" s="24"/>
    </row>
    <row r="35" spans="1:14" ht="15.75" hidden="1" customHeight="1">
      <c r="A35" s="30"/>
      <c r="B35" s="62" t="s">
        <v>66</v>
      </c>
      <c r="C35" s="63" t="s">
        <v>32</v>
      </c>
      <c r="D35" s="62" t="s">
        <v>67</v>
      </c>
      <c r="E35" s="64"/>
      <c r="F35" s="65">
        <v>1</v>
      </c>
      <c r="G35" s="65">
        <v>1413.96</v>
      </c>
      <c r="H35" s="66">
        <f t="shared" si="2"/>
        <v>1.4139600000000001</v>
      </c>
      <c r="I35" s="13">
        <v>0</v>
      </c>
      <c r="J35" s="24"/>
    </row>
    <row r="36" spans="1:14" ht="15.75" hidden="1" customHeight="1">
      <c r="A36" s="30"/>
      <c r="B36" s="82" t="s">
        <v>5</v>
      </c>
      <c r="C36" s="63"/>
      <c r="D36" s="62"/>
      <c r="E36" s="64"/>
      <c r="F36" s="65"/>
      <c r="G36" s="65"/>
      <c r="H36" s="66" t="s">
        <v>118</v>
      </c>
      <c r="I36" s="13"/>
      <c r="J36" s="24"/>
      <c r="L36" s="19"/>
      <c r="M36" s="20"/>
      <c r="N36" s="21"/>
    </row>
    <row r="37" spans="1:14" ht="15.75" hidden="1" customHeight="1">
      <c r="A37" s="30">
        <v>6</v>
      </c>
      <c r="B37" s="62" t="s">
        <v>26</v>
      </c>
      <c r="C37" s="63" t="s">
        <v>32</v>
      </c>
      <c r="D37" s="62"/>
      <c r="E37" s="64"/>
      <c r="F37" s="65">
        <v>3</v>
      </c>
      <c r="G37" s="65">
        <v>1900.37</v>
      </c>
      <c r="H37" s="66">
        <f t="shared" ref="H37:H42" si="4">SUM(F37*G37/1000)</f>
        <v>5.7011099999999999</v>
      </c>
      <c r="I37" s="13">
        <f t="shared" ref="I37:I42" si="5">F37/6*G37</f>
        <v>950.18499999999995</v>
      </c>
      <c r="J37" s="24"/>
      <c r="L37" s="19"/>
      <c r="M37" s="20"/>
      <c r="N37" s="21"/>
    </row>
    <row r="38" spans="1:14" ht="31.5" hidden="1" customHeight="1">
      <c r="A38" s="30">
        <v>7</v>
      </c>
      <c r="B38" s="62" t="s">
        <v>119</v>
      </c>
      <c r="C38" s="63" t="s">
        <v>29</v>
      </c>
      <c r="D38" s="62" t="s">
        <v>85</v>
      </c>
      <c r="E38" s="64">
        <v>35.299999999999997</v>
      </c>
      <c r="F38" s="65">
        <f>E38*30/1000</f>
        <v>1.0589999999999999</v>
      </c>
      <c r="G38" s="65">
        <v>2616.4899999999998</v>
      </c>
      <c r="H38" s="66">
        <f t="shared" si="4"/>
        <v>2.77086291</v>
      </c>
      <c r="I38" s="13">
        <f t="shared" si="5"/>
        <v>461.81048499999991</v>
      </c>
      <c r="J38" s="24"/>
      <c r="L38" s="19"/>
      <c r="M38" s="20"/>
      <c r="N38" s="21"/>
    </row>
    <row r="39" spans="1:14" ht="15.75" hidden="1" customHeight="1">
      <c r="A39" s="30">
        <v>8</v>
      </c>
      <c r="B39" s="62" t="s">
        <v>120</v>
      </c>
      <c r="C39" s="63" t="s">
        <v>29</v>
      </c>
      <c r="D39" s="62" t="s">
        <v>86</v>
      </c>
      <c r="E39" s="64">
        <v>35.299999999999997</v>
      </c>
      <c r="F39" s="65">
        <f>SUM(E39*155/1000)</f>
        <v>5.4714999999999998</v>
      </c>
      <c r="G39" s="65">
        <v>436.45</v>
      </c>
      <c r="H39" s="66">
        <f t="shared" si="4"/>
        <v>2.3880361749999999</v>
      </c>
      <c r="I39" s="13">
        <f t="shared" si="5"/>
        <v>398.00602916666662</v>
      </c>
      <c r="J39" s="24"/>
      <c r="L39" s="19"/>
      <c r="M39" s="20"/>
      <c r="N39" s="21"/>
    </row>
    <row r="40" spans="1:14" ht="47.25" hidden="1" customHeight="1">
      <c r="A40" s="30">
        <v>9</v>
      </c>
      <c r="B40" s="62" t="s">
        <v>121</v>
      </c>
      <c r="C40" s="63" t="s">
        <v>87</v>
      </c>
      <c r="D40" s="62" t="s">
        <v>122</v>
      </c>
      <c r="E40" s="64">
        <v>35.299999999999997</v>
      </c>
      <c r="F40" s="65">
        <f>SUM(E40*24/1000)</f>
        <v>0.84719999999999995</v>
      </c>
      <c r="G40" s="65">
        <v>7221.21</v>
      </c>
      <c r="H40" s="66">
        <f t="shared" si="4"/>
        <v>6.1178091119999998</v>
      </c>
      <c r="I40" s="13">
        <f t="shared" si="5"/>
        <v>1019.6348519999999</v>
      </c>
      <c r="J40" s="24"/>
      <c r="L40" s="19"/>
      <c r="M40" s="20"/>
      <c r="N40" s="21"/>
    </row>
    <row r="41" spans="1:14" ht="15.75" hidden="1" customHeight="1">
      <c r="A41" s="30">
        <v>10</v>
      </c>
      <c r="B41" s="62" t="s">
        <v>123</v>
      </c>
      <c r="C41" s="63" t="s">
        <v>87</v>
      </c>
      <c r="D41" s="62" t="s">
        <v>68</v>
      </c>
      <c r="E41" s="64">
        <v>35.299999999999997</v>
      </c>
      <c r="F41" s="65">
        <f>SUM(E41*45/1000)</f>
        <v>1.5884999999999998</v>
      </c>
      <c r="G41" s="65">
        <v>533.45000000000005</v>
      </c>
      <c r="H41" s="66">
        <f t="shared" si="4"/>
        <v>0.84738532499999997</v>
      </c>
      <c r="I41" s="13">
        <f t="shared" si="5"/>
        <v>141.23088749999999</v>
      </c>
      <c r="J41" s="24"/>
      <c r="L41" s="19"/>
      <c r="M41" s="20"/>
      <c r="N41" s="21"/>
    </row>
    <row r="42" spans="1:14" ht="15.75" hidden="1" customHeight="1">
      <c r="A42" s="30">
        <v>11</v>
      </c>
      <c r="B42" s="62" t="s">
        <v>69</v>
      </c>
      <c r="C42" s="63" t="s">
        <v>33</v>
      </c>
      <c r="D42" s="62"/>
      <c r="E42" s="64"/>
      <c r="F42" s="65">
        <v>0.3</v>
      </c>
      <c r="G42" s="65">
        <v>992.97</v>
      </c>
      <c r="H42" s="66">
        <f t="shared" si="4"/>
        <v>0.29789100000000002</v>
      </c>
      <c r="I42" s="13">
        <f t="shared" si="5"/>
        <v>49.648499999999999</v>
      </c>
      <c r="J42" s="24"/>
      <c r="L42" s="19"/>
      <c r="M42" s="20"/>
      <c r="N42" s="21"/>
    </row>
    <row r="43" spans="1:14" ht="15.75" hidden="1" customHeight="1">
      <c r="A43" s="148" t="s">
        <v>139</v>
      </c>
      <c r="B43" s="149"/>
      <c r="C43" s="149"/>
      <c r="D43" s="149"/>
      <c r="E43" s="149"/>
      <c r="F43" s="149"/>
      <c r="G43" s="149"/>
      <c r="H43" s="149"/>
      <c r="I43" s="150"/>
      <c r="J43" s="24"/>
      <c r="L43" s="19"/>
      <c r="M43" s="20"/>
      <c r="N43" s="21"/>
    </row>
    <row r="44" spans="1:14" ht="15.75" hidden="1" customHeight="1">
      <c r="A44" s="30">
        <v>18</v>
      </c>
      <c r="B44" s="62" t="s">
        <v>105</v>
      </c>
      <c r="C44" s="63" t="s">
        <v>87</v>
      </c>
      <c r="D44" s="62" t="s">
        <v>43</v>
      </c>
      <c r="E44" s="64">
        <v>907.4</v>
      </c>
      <c r="F44" s="65">
        <f>SUM(E44*2/1000)</f>
        <v>1.8148</v>
      </c>
      <c r="G44" s="13">
        <v>1283.46</v>
      </c>
      <c r="H44" s="66">
        <f t="shared" ref="H44:H53" si="6">SUM(F44*G44/1000)</f>
        <v>2.3292232079999997</v>
      </c>
      <c r="I44" s="13">
        <f>F44/2*G44</f>
        <v>1164.6116039999999</v>
      </c>
      <c r="J44" s="24"/>
      <c r="L44" s="19"/>
      <c r="M44" s="20"/>
      <c r="N44" s="21"/>
    </row>
    <row r="45" spans="1:14" ht="15.75" hidden="1" customHeight="1">
      <c r="A45" s="30">
        <v>19</v>
      </c>
      <c r="B45" s="62" t="s">
        <v>36</v>
      </c>
      <c r="C45" s="63" t="s">
        <v>87</v>
      </c>
      <c r="D45" s="62" t="s">
        <v>43</v>
      </c>
      <c r="E45" s="64">
        <v>27</v>
      </c>
      <c r="F45" s="65">
        <f>SUM(E45*2/1000)</f>
        <v>5.3999999999999999E-2</v>
      </c>
      <c r="G45" s="13">
        <v>4192.6400000000003</v>
      </c>
      <c r="H45" s="66">
        <f t="shared" si="6"/>
        <v>0.22640256000000003</v>
      </c>
      <c r="I45" s="13">
        <f t="shared" ref="I45:I52" si="7">F45/2*G45</f>
        <v>113.20128000000001</v>
      </c>
      <c r="J45" s="24"/>
      <c r="L45" s="19"/>
      <c r="M45" s="20"/>
      <c r="N45" s="21"/>
    </row>
    <row r="46" spans="1:14" ht="15.75" hidden="1" customHeight="1">
      <c r="A46" s="30">
        <v>20</v>
      </c>
      <c r="B46" s="62" t="s">
        <v>37</v>
      </c>
      <c r="C46" s="63" t="s">
        <v>87</v>
      </c>
      <c r="D46" s="62" t="s">
        <v>43</v>
      </c>
      <c r="E46" s="64">
        <v>772</v>
      </c>
      <c r="F46" s="65">
        <f>SUM(E46*2/1000)</f>
        <v>1.544</v>
      </c>
      <c r="G46" s="13">
        <v>1711.28</v>
      </c>
      <c r="H46" s="66">
        <f t="shared" si="6"/>
        <v>2.6422163200000002</v>
      </c>
      <c r="I46" s="13">
        <f t="shared" si="7"/>
        <v>1321.10816</v>
      </c>
      <c r="J46" s="24"/>
      <c r="L46" s="19"/>
      <c r="M46" s="20"/>
      <c r="N46" s="21"/>
    </row>
    <row r="47" spans="1:14" ht="15.75" hidden="1" customHeight="1">
      <c r="A47" s="30">
        <v>21</v>
      </c>
      <c r="B47" s="62" t="s">
        <v>38</v>
      </c>
      <c r="C47" s="63" t="s">
        <v>87</v>
      </c>
      <c r="D47" s="62" t="s">
        <v>43</v>
      </c>
      <c r="E47" s="64">
        <v>959.4</v>
      </c>
      <c r="F47" s="65">
        <f>SUM(E47*2/1000)</f>
        <v>1.9188000000000001</v>
      </c>
      <c r="G47" s="13">
        <v>1179.73</v>
      </c>
      <c r="H47" s="66">
        <f t="shared" si="6"/>
        <v>2.2636659240000001</v>
      </c>
      <c r="I47" s="13">
        <f t="shared" si="7"/>
        <v>1131.832962</v>
      </c>
      <c r="J47" s="24"/>
      <c r="L47" s="19"/>
      <c r="M47" s="20"/>
      <c r="N47" s="21"/>
    </row>
    <row r="48" spans="1:14" ht="15.75" hidden="1" customHeight="1">
      <c r="A48" s="30">
        <v>22</v>
      </c>
      <c r="B48" s="62" t="s">
        <v>34</v>
      </c>
      <c r="C48" s="63" t="s">
        <v>35</v>
      </c>
      <c r="D48" s="62" t="s">
        <v>43</v>
      </c>
      <c r="E48" s="64">
        <v>66.02</v>
      </c>
      <c r="F48" s="65">
        <f>SUM(E48*2/100)</f>
        <v>1.3204</v>
      </c>
      <c r="G48" s="13">
        <v>90.61</v>
      </c>
      <c r="H48" s="66">
        <f t="shared" si="6"/>
        <v>0.11964144400000001</v>
      </c>
      <c r="I48" s="13">
        <f t="shared" si="7"/>
        <v>59.820722000000004</v>
      </c>
      <c r="J48" s="24"/>
      <c r="L48" s="19"/>
      <c r="M48" s="20"/>
      <c r="N48" s="21"/>
    </row>
    <row r="49" spans="1:22" ht="15.75" hidden="1" customHeight="1">
      <c r="A49" s="30">
        <v>23</v>
      </c>
      <c r="B49" s="62" t="s">
        <v>57</v>
      </c>
      <c r="C49" s="63" t="s">
        <v>87</v>
      </c>
      <c r="D49" s="62" t="s">
        <v>138</v>
      </c>
      <c r="E49" s="64">
        <v>1536.4</v>
      </c>
      <c r="F49" s="65">
        <f>SUM(E49*5/1000)</f>
        <v>7.6820000000000004</v>
      </c>
      <c r="G49" s="13">
        <v>1711.28</v>
      </c>
      <c r="H49" s="66">
        <f t="shared" si="6"/>
        <v>13.14605296</v>
      </c>
      <c r="I49" s="13">
        <f>F49/5*G49</f>
        <v>2629.2105919999999</v>
      </c>
      <c r="J49" s="24"/>
      <c r="L49" s="19"/>
      <c r="M49" s="20"/>
      <c r="N49" s="21"/>
    </row>
    <row r="50" spans="1:22" ht="32.25" hidden="1" customHeight="1">
      <c r="A50" s="30">
        <v>12</v>
      </c>
      <c r="B50" s="62" t="s">
        <v>88</v>
      </c>
      <c r="C50" s="63" t="s">
        <v>87</v>
      </c>
      <c r="D50" s="62" t="s">
        <v>43</v>
      </c>
      <c r="E50" s="64">
        <v>1536.4</v>
      </c>
      <c r="F50" s="65">
        <f>SUM(E50*2/1000)</f>
        <v>3.0728</v>
      </c>
      <c r="G50" s="13">
        <v>1510.06</v>
      </c>
      <c r="H50" s="66">
        <f t="shared" si="6"/>
        <v>4.6401123680000005</v>
      </c>
      <c r="I50" s="13">
        <f t="shared" si="7"/>
        <v>2320.056184</v>
      </c>
      <c r="J50" s="24"/>
      <c r="L50" s="19"/>
      <c r="M50" s="20"/>
      <c r="N50" s="21"/>
    </row>
    <row r="51" spans="1:22" ht="32.25" hidden="1" customHeight="1">
      <c r="A51" s="30">
        <v>13</v>
      </c>
      <c r="B51" s="62" t="s">
        <v>89</v>
      </c>
      <c r="C51" s="63" t="s">
        <v>39</v>
      </c>
      <c r="D51" s="62" t="s">
        <v>43</v>
      </c>
      <c r="E51" s="64">
        <v>9</v>
      </c>
      <c r="F51" s="65">
        <f>SUM(E51*2/100)</f>
        <v>0.18</v>
      </c>
      <c r="G51" s="13">
        <v>3850.4</v>
      </c>
      <c r="H51" s="66">
        <f t="shared" si="6"/>
        <v>0.69307200000000002</v>
      </c>
      <c r="I51" s="13">
        <f t="shared" si="7"/>
        <v>346.536</v>
      </c>
      <c r="J51" s="24"/>
      <c r="L51" s="19"/>
      <c r="M51" s="20"/>
      <c r="N51" s="21"/>
    </row>
    <row r="52" spans="1:22" ht="15.75" hidden="1" customHeight="1">
      <c r="A52" s="30">
        <v>14</v>
      </c>
      <c r="B52" s="62" t="s">
        <v>40</v>
      </c>
      <c r="C52" s="63" t="s">
        <v>41</v>
      </c>
      <c r="D52" s="62" t="s">
        <v>43</v>
      </c>
      <c r="E52" s="64">
        <v>1</v>
      </c>
      <c r="F52" s="65">
        <v>0.02</v>
      </c>
      <c r="G52" s="13">
        <v>7033.13</v>
      </c>
      <c r="H52" s="66">
        <f t="shared" si="6"/>
        <v>0.1406626</v>
      </c>
      <c r="I52" s="13">
        <f t="shared" si="7"/>
        <v>70.331299999999999</v>
      </c>
      <c r="J52" s="24"/>
      <c r="L52" s="19"/>
      <c r="M52" s="20"/>
      <c r="N52" s="21"/>
    </row>
    <row r="53" spans="1:22" ht="15.75" hidden="1" customHeight="1">
      <c r="A53" s="30">
        <v>24</v>
      </c>
      <c r="B53" s="62" t="s">
        <v>42</v>
      </c>
      <c r="C53" s="63" t="s">
        <v>106</v>
      </c>
      <c r="D53" s="62" t="s">
        <v>70</v>
      </c>
      <c r="E53" s="64">
        <v>53</v>
      </c>
      <c r="F53" s="65">
        <f>53*3</f>
        <v>159</v>
      </c>
      <c r="G53" s="13">
        <v>81.73</v>
      </c>
      <c r="H53" s="66">
        <f t="shared" si="6"/>
        <v>12.995070000000002</v>
      </c>
      <c r="I53" s="13">
        <f>F53/3*G53</f>
        <v>4331.6900000000005</v>
      </c>
      <c r="J53" s="24"/>
      <c r="L53" s="19"/>
    </row>
    <row r="54" spans="1:22" ht="15.75" customHeight="1">
      <c r="A54" s="148" t="s">
        <v>145</v>
      </c>
      <c r="B54" s="149"/>
      <c r="C54" s="149"/>
      <c r="D54" s="149"/>
      <c r="E54" s="149"/>
      <c r="F54" s="149"/>
      <c r="G54" s="149"/>
      <c r="H54" s="149"/>
      <c r="I54" s="150"/>
    </row>
    <row r="55" spans="1:22" ht="15.75" customHeight="1">
      <c r="A55" s="30"/>
      <c r="B55" s="82" t="s">
        <v>44</v>
      </c>
      <c r="C55" s="63"/>
      <c r="D55" s="62"/>
      <c r="E55" s="64"/>
      <c r="F55" s="65"/>
      <c r="G55" s="65"/>
      <c r="H55" s="66"/>
      <c r="I55" s="13"/>
    </row>
    <row r="56" spans="1:22" ht="17.25" hidden="1" customHeight="1">
      <c r="A56" s="30">
        <v>15</v>
      </c>
      <c r="B56" s="62" t="s">
        <v>107</v>
      </c>
      <c r="C56" s="63" t="s">
        <v>84</v>
      </c>
      <c r="D56" s="62" t="s">
        <v>108</v>
      </c>
      <c r="E56" s="64">
        <v>11.5</v>
      </c>
      <c r="F56" s="65">
        <f>SUM(E56*6/100)</f>
        <v>0.69</v>
      </c>
      <c r="G56" s="13">
        <v>2306.62</v>
      </c>
      <c r="H56" s="66">
        <f>SUM(F56*G56/1000)</f>
        <v>1.5915677999999998</v>
      </c>
      <c r="I56" s="13">
        <f>F56/6*G56</f>
        <v>265.26129999999995</v>
      </c>
    </row>
    <row r="57" spans="1:22" ht="20.25" customHeight="1">
      <c r="A57" s="30">
        <v>7</v>
      </c>
      <c r="B57" s="62" t="s">
        <v>124</v>
      </c>
      <c r="C57" s="63" t="s">
        <v>125</v>
      </c>
      <c r="D57" s="62" t="s">
        <v>220</v>
      </c>
      <c r="E57" s="64"/>
      <c r="F57" s="65">
        <v>2</v>
      </c>
      <c r="G57" s="85">
        <v>1501</v>
      </c>
      <c r="H57" s="66">
        <f>SUM(F57*G57/1000)</f>
        <v>3.0019999999999998</v>
      </c>
      <c r="I57" s="13">
        <f>G57*1.5</f>
        <v>2251.5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15.75" customHeight="1">
      <c r="A58" s="30"/>
      <c r="B58" s="82" t="s">
        <v>45</v>
      </c>
      <c r="C58" s="63"/>
      <c r="D58" s="62"/>
      <c r="E58" s="64"/>
      <c r="F58" s="65"/>
      <c r="G58" s="86"/>
      <c r="H58" s="66"/>
      <c r="I58" s="13"/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21.75" hidden="1" customHeight="1">
      <c r="A59" s="30"/>
      <c r="B59" s="62" t="s">
        <v>109</v>
      </c>
      <c r="C59" s="63" t="s">
        <v>84</v>
      </c>
      <c r="D59" s="62" t="s">
        <v>54</v>
      </c>
      <c r="E59" s="64">
        <v>148</v>
      </c>
      <c r="F59" s="66">
        <f>E59/100</f>
        <v>1.48</v>
      </c>
      <c r="G59" s="13">
        <v>987.51</v>
      </c>
      <c r="H59" s="71">
        <f>F59*G59/1000</f>
        <v>1.4615148</v>
      </c>
      <c r="I59" s="13">
        <v>0</v>
      </c>
      <c r="J59" s="3"/>
      <c r="K59" s="3"/>
      <c r="L59" s="3"/>
      <c r="M59" s="3"/>
      <c r="N59" s="3"/>
      <c r="O59" s="3"/>
      <c r="P59" s="3"/>
      <c r="Q59" s="3"/>
      <c r="S59" s="3"/>
      <c r="T59" s="3"/>
      <c r="U59" s="3"/>
    </row>
    <row r="60" spans="1:22" ht="15.75" customHeight="1">
      <c r="A60" s="30">
        <v>8</v>
      </c>
      <c r="B60" s="73" t="s">
        <v>135</v>
      </c>
      <c r="C60" s="72" t="s">
        <v>25</v>
      </c>
      <c r="D60" s="73" t="s">
        <v>176</v>
      </c>
      <c r="E60" s="74">
        <v>140.5</v>
      </c>
      <c r="F60" s="65">
        <v>1320</v>
      </c>
      <c r="G60" s="87">
        <v>1.4</v>
      </c>
      <c r="H60" s="71">
        <f>F60*G60/1000</f>
        <v>1.8479999999999999</v>
      </c>
      <c r="I60" s="13">
        <f>F60/12*G60</f>
        <v>154</v>
      </c>
      <c r="J60" s="5"/>
      <c r="K60" s="5"/>
      <c r="L60" s="5"/>
      <c r="M60" s="5"/>
      <c r="N60" s="5"/>
      <c r="O60" s="5"/>
      <c r="P60" s="5"/>
      <c r="Q60" s="5"/>
      <c r="R60" s="141"/>
      <c r="S60" s="141"/>
      <c r="T60" s="141"/>
      <c r="U60" s="141"/>
    </row>
    <row r="61" spans="1:22" ht="15.75" customHeight="1">
      <c r="A61" s="30"/>
      <c r="B61" s="83" t="s">
        <v>46</v>
      </c>
      <c r="C61" s="72"/>
      <c r="D61" s="73"/>
      <c r="E61" s="74"/>
      <c r="F61" s="75"/>
      <c r="G61" s="75"/>
      <c r="H61" s="76" t="s">
        <v>118</v>
      </c>
      <c r="I61" s="13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2" ht="15.75" customHeight="1">
      <c r="A62" s="30">
        <v>9</v>
      </c>
      <c r="B62" s="14" t="s">
        <v>47</v>
      </c>
      <c r="C62" s="16" t="s">
        <v>106</v>
      </c>
      <c r="D62" s="14" t="s">
        <v>219</v>
      </c>
      <c r="E62" s="18">
        <v>2</v>
      </c>
      <c r="F62" s="65">
        <f>E62</f>
        <v>2</v>
      </c>
      <c r="G62" s="13">
        <v>276.74</v>
      </c>
      <c r="H62" s="61">
        <f t="shared" ref="H62:H78" si="8">SUM(F62*G62/1000)</f>
        <v>0.55347999999999997</v>
      </c>
      <c r="I62" s="13">
        <f>G62*3</f>
        <v>830.22</v>
      </c>
    </row>
    <row r="63" spans="1:22" ht="15.75" hidden="1" customHeight="1">
      <c r="A63" s="30"/>
      <c r="B63" s="14" t="s">
        <v>48</v>
      </c>
      <c r="C63" s="16" t="s">
        <v>106</v>
      </c>
      <c r="D63" s="14" t="s">
        <v>67</v>
      </c>
      <c r="E63" s="18">
        <v>1</v>
      </c>
      <c r="F63" s="65">
        <f>E63</f>
        <v>1</v>
      </c>
      <c r="G63" s="13">
        <v>94.89</v>
      </c>
      <c r="H63" s="61">
        <f t="shared" si="8"/>
        <v>9.4890000000000002E-2</v>
      </c>
      <c r="I63" s="13">
        <v>0</v>
      </c>
    </row>
    <row r="64" spans="1:22" ht="15.75" hidden="1" customHeight="1">
      <c r="A64" s="30">
        <v>26</v>
      </c>
      <c r="B64" s="14" t="s">
        <v>49</v>
      </c>
      <c r="C64" s="16" t="s">
        <v>110</v>
      </c>
      <c r="D64" s="14" t="s">
        <v>54</v>
      </c>
      <c r="E64" s="64">
        <v>6307</v>
      </c>
      <c r="F64" s="13">
        <f>SUM(E64/100)</f>
        <v>63.07</v>
      </c>
      <c r="G64" s="13">
        <v>263.99</v>
      </c>
      <c r="H64" s="61">
        <f t="shared" si="8"/>
        <v>16.649849300000003</v>
      </c>
      <c r="I64" s="13">
        <f>F64*G64</f>
        <v>16649.849300000002</v>
      </c>
    </row>
    <row r="65" spans="1:9" ht="15.75" hidden="1" customHeight="1">
      <c r="A65" s="30">
        <v>27</v>
      </c>
      <c r="B65" s="14" t="s">
        <v>50</v>
      </c>
      <c r="C65" s="16" t="s">
        <v>111</v>
      </c>
      <c r="D65" s="14"/>
      <c r="E65" s="64">
        <v>6307</v>
      </c>
      <c r="F65" s="13">
        <f>SUM(E65/1000)</f>
        <v>6.3070000000000004</v>
      </c>
      <c r="G65" s="13">
        <v>205.57</v>
      </c>
      <c r="H65" s="61">
        <f t="shared" si="8"/>
        <v>1.29652999</v>
      </c>
      <c r="I65" s="13">
        <f t="shared" ref="I65:I68" si="9">F65*G65</f>
        <v>1296.52999</v>
      </c>
    </row>
    <row r="66" spans="1:9" ht="15.75" hidden="1" customHeight="1">
      <c r="A66" s="30">
        <v>28</v>
      </c>
      <c r="B66" s="14" t="s">
        <v>51</v>
      </c>
      <c r="C66" s="16" t="s">
        <v>76</v>
      </c>
      <c r="D66" s="14" t="s">
        <v>54</v>
      </c>
      <c r="E66" s="64">
        <v>1003</v>
      </c>
      <c r="F66" s="13">
        <f>SUM(E66/100)</f>
        <v>10.029999999999999</v>
      </c>
      <c r="G66" s="13">
        <v>2581.5300000000002</v>
      </c>
      <c r="H66" s="61">
        <f t="shared" si="8"/>
        <v>25.892745900000001</v>
      </c>
      <c r="I66" s="13">
        <f t="shared" si="9"/>
        <v>25892.745900000002</v>
      </c>
    </row>
    <row r="67" spans="1:9" ht="15.75" hidden="1" customHeight="1">
      <c r="A67" s="30">
        <v>29</v>
      </c>
      <c r="B67" s="77" t="s">
        <v>112</v>
      </c>
      <c r="C67" s="16" t="s">
        <v>33</v>
      </c>
      <c r="D67" s="14"/>
      <c r="E67" s="64">
        <v>6.6</v>
      </c>
      <c r="F67" s="13">
        <f>SUM(E67)</f>
        <v>6.6</v>
      </c>
      <c r="G67" s="13">
        <v>47.75</v>
      </c>
      <c r="H67" s="61">
        <f t="shared" si="8"/>
        <v>0.31514999999999999</v>
      </c>
      <c r="I67" s="13">
        <f t="shared" si="9"/>
        <v>315.14999999999998</v>
      </c>
    </row>
    <row r="68" spans="1:9" ht="15.75" hidden="1" customHeight="1">
      <c r="A68" s="30">
        <v>30</v>
      </c>
      <c r="B68" s="77" t="s">
        <v>113</v>
      </c>
      <c r="C68" s="16" t="s">
        <v>33</v>
      </c>
      <c r="D68" s="14"/>
      <c r="E68" s="64">
        <v>6.6</v>
      </c>
      <c r="F68" s="13">
        <f>SUM(E68)</f>
        <v>6.6</v>
      </c>
      <c r="G68" s="13">
        <v>44.27</v>
      </c>
      <c r="H68" s="61">
        <f t="shared" si="8"/>
        <v>0.292182</v>
      </c>
      <c r="I68" s="13">
        <f t="shared" si="9"/>
        <v>292.18200000000002</v>
      </c>
    </row>
    <row r="69" spans="1:9" ht="15.75" hidden="1" customHeight="1">
      <c r="A69" s="30">
        <v>19</v>
      </c>
      <c r="B69" s="14" t="s">
        <v>58</v>
      </c>
      <c r="C69" s="16" t="s">
        <v>59</v>
      </c>
      <c r="D69" s="14" t="s">
        <v>54</v>
      </c>
      <c r="E69" s="18">
        <v>3</v>
      </c>
      <c r="F69" s="65">
        <v>3</v>
      </c>
      <c r="G69" s="13">
        <v>62.07</v>
      </c>
      <c r="H69" s="61">
        <f t="shared" si="8"/>
        <v>0.18621000000000001</v>
      </c>
      <c r="I69" s="13">
        <f>F69*G69</f>
        <v>186.21</v>
      </c>
    </row>
    <row r="70" spans="1:9" ht="19.5" customHeight="1">
      <c r="A70" s="30">
        <v>10</v>
      </c>
      <c r="B70" s="14" t="s">
        <v>126</v>
      </c>
      <c r="C70" s="30" t="s">
        <v>127</v>
      </c>
      <c r="D70" s="14"/>
      <c r="E70" s="18">
        <v>1536.4</v>
      </c>
      <c r="F70" s="56">
        <f>E70*12</f>
        <v>18436.800000000003</v>
      </c>
      <c r="G70" s="13">
        <v>2.16</v>
      </c>
      <c r="H70" s="61">
        <f t="shared" si="8"/>
        <v>39.823488000000012</v>
      </c>
      <c r="I70" s="13">
        <f>F70/12*G70</f>
        <v>3318.6240000000007</v>
      </c>
    </row>
    <row r="71" spans="1:9" ht="15.75" customHeight="1">
      <c r="A71" s="30"/>
      <c r="B71" s="93" t="s">
        <v>71</v>
      </c>
      <c r="C71" s="16"/>
      <c r="D71" s="14"/>
      <c r="E71" s="18"/>
      <c r="F71" s="13"/>
      <c r="G71" s="13"/>
      <c r="H71" s="61" t="s">
        <v>118</v>
      </c>
      <c r="I71" s="13"/>
    </row>
    <row r="72" spans="1:9" ht="15.75" hidden="1" customHeight="1">
      <c r="A72" s="30"/>
      <c r="B72" s="14" t="s">
        <v>129</v>
      </c>
      <c r="C72" s="16" t="s">
        <v>130</v>
      </c>
      <c r="D72" s="14" t="s">
        <v>67</v>
      </c>
      <c r="E72" s="18">
        <v>1</v>
      </c>
      <c r="F72" s="13">
        <f>E72</f>
        <v>1</v>
      </c>
      <c r="G72" s="13">
        <v>976.4</v>
      </c>
      <c r="H72" s="61">
        <f t="shared" ref="H72:H73" si="10">SUM(F72*G72/1000)</f>
        <v>0.97639999999999993</v>
      </c>
      <c r="I72" s="13">
        <v>0</v>
      </c>
    </row>
    <row r="73" spans="1:9" ht="15.75" hidden="1" customHeight="1">
      <c r="A73" s="30"/>
      <c r="B73" s="14" t="s">
        <v>131</v>
      </c>
      <c r="C73" s="16" t="s">
        <v>132</v>
      </c>
      <c r="D73" s="14"/>
      <c r="E73" s="18">
        <v>1</v>
      </c>
      <c r="F73" s="13">
        <v>1</v>
      </c>
      <c r="G73" s="13">
        <v>650</v>
      </c>
      <c r="H73" s="61">
        <f t="shared" si="10"/>
        <v>0.65</v>
      </c>
      <c r="I73" s="13">
        <v>0</v>
      </c>
    </row>
    <row r="74" spans="1:9" ht="15.75" hidden="1" customHeight="1">
      <c r="A74" s="30">
        <v>11</v>
      </c>
      <c r="B74" s="14" t="s">
        <v>72</v>
      </c>
      <c r="C74" s="16" t="s">
        <v>74</v>
      </c>
      <c r="D74" s="14"/>
      <c r="E74" s="18">
        <v>3</v>
      </c>
      <c r="F74" s="13">
        <v>0.3</v>
      </c>
      <c r="G74" s="13">
        <v>624.16999999999996</v>
      </c>
      <c r="H74" s="61">
        <f t="shared" si="8"/>
        <v>0.18725099999999997</v>
      </c>
      <c r="I74" s="13">
        <f>G74*0.3</f>
        <v>187.25099999999998</v>
      </c>
    </row>
    <row r="75" spans="1:9" ht="15.75" hidden="1" customHeight="1">
      <c r="A75" s="30"/>
      <c r="B75" s="14" t="s">
        <v>73</v>
      </c>
      <c r="C75" s="16" t="s">
        <v>31</v>
      </c>
      <c r="D75" s="14"/>
      <c r="E75" s="18">
        <v>1</v>
      </c>
      <c r="F75" s="56">
        <v>1</v>
      </c>
      <c r="G75" s="13">
        <v>1061.4100000000001</v>
      </c>
      <c r="H75" s="61">
        <f>F75*G75/1000</f>
        <v>1.0614100000000002</v>
      </c>
      <c r="I75" s="13">
        <v>0</v>
      </c>
    </row>
    <row r="76" spans="1:9" ht="32.25" customHeight="1">
      <c r="A76" s="30">
        <v>11</v>
      </c>
      <c r="B76" s="46" t="s">
        <v>133</v>
      </c>
      <c r="C76" s="47" t="s">
        <v>106</v>
      </c>
      <c r="D76" s="14" t="s">
        <v>176</v>
      </c>
      <c r="E76" s="18">
        <v>1</v>
      </c>
      <c r="F76" s="13">
        <f>E76*12</f>
        <v>12</v>
      </c>
      <c r="G76" s="13">
        <v>50.69</v>
      </c>
      <c r="H76" s="61">
        <f>G76*F76/1000</f>
        <v>0.60827999999999993</v>
      </c>
      <c r="I76" s="13">
        <f>G76</f>
        <v>50.69</v>
      </c>
    </row>
    <row r="77" spans="1:9" ht="15.75" hidden="1" customHeight="1">
      <c r="A77" s="30"/>
      <c r="B77" s="79" t="s">
        <v>75</v>
      </c>
      <c r="C77" s="16"/>
      <c r="D77" s="14"/>
      <c r="E77" s="18"/>
      <c r="F77" s="13"/>
      <c r="G77" s="13" t="s">
        <v>118</v>
      </c>
      <c r="H77" s="61" t="s">
        <v>118</v>
      </c>
      <c r="I77" s="13" t="str">
        <f>G77</f>
        <v xml:space="preserve"> </v>
      </c>
    </row>
    <row r="78" spans="1:9" ht="15.75" hidden="1" customHeight="1">
      <c r="A78" s="30"/>
      <c r="B78" s="43" t="s">
        <v>134</v>
      </c>
      <c r="C78" s="16" t="s">
        <v>76</v>
      </c>
      <c r="D78" s="14"/>
      <c r="E78" s="18"/>
      <c r="F78" s="13">
        <v>0.1</v>
      </c>
      <c r="G78" s="13">
        <v>3433.69</v>
      </c>
      <c r="H78" s="61">
        <f t="shared" si="8"/>
        <v>0.34336900000000004</v>
      </c>
      <c r="I78" s="13">
        <v>0</v>
      </c>
    </row>
    <row r="79" spans="1:9" ht="21.75" hidden="1" customHeight="1">
      <c r="A79" s="30"/>
      <c r="B79" s="55" t="s">
        <v>90</v>
      </c>
      <c r="C79" s="79"/>
      <c r="D79" s="31"/>
      <c r="E79" s="32"/>
      <c r="F79" s="68"/>
      <c r="G79" s="68"/>
      <c r="H79" s="80">
        <f>SUM(H56:H78)</f>
        <v>96.834317790000014</v>
      </c>
      <c r="I79" s="13"/>
    </row>
    <row r="80" spans="1:9" ht="20.25" hidden="1" customHeight="1">
      <c r="A80" s="30">
        <v>13</v>
      </c>
      <c r="B80" s="62" t="s">
        <v>114</v>
      </c>
      <c r="C80" s="16"/>
      <c r="D80" s="14"/>
      <c r="E80" s="57"/>
      <c r="F80" s="13">
        <v>1</v>
      </c>
      <c r="G80" s="35">
        <v>3790.6</v>
      </c>
      <c r="H80" s="61">
        <f>G80*F80/1000</f>
        <v>3.7906</v>
      </c>
      <c r="I80" s="13">
        <f>G80</f>
        <v>3790.6</v>
      </c>
    </row>
    <row r="81" spans="1:9" ht="15.75" customHeight="1">
      <c r="A81" s="148" t="s">
        <v>146</v>
      </c>
      <c r="B81" s="149"/>
      <c r="C81" s="149"/>
      <c r="D81" s="149"/>
      <c r="E81" s="149"/>
      <c r="F81" s="149"/>
      <c r="G81" s="149"/>
      <c r="H81" s="149"/>
      <c r="I81" s="150"/>
    </row>
    <row r="82" spans="1:9" ht="15.75" customHeight="1">
      <c r="A82" s="30">
        <v>12</v>
      </c>
      <c r="B82" s="62" t="s">
        <v>115</v>
      </c>
      <c r="C82" s="16" t="s">
        <v>55</v>
      </c>
      <c r="D82" s="81" t="s">
        <v>56</v>
      </c>
      <c r="E82" s="13">
        <v>1536.4</v>
      </c>
      <c r="F82" s="13">
        <f>SUM(E82*12)</f>
        <v>18436.800000000003</v>
      </c>
      <c r="G82" s="13">
        <v>2.95</v>
      </c>
      <c r="H82" s="61">
        <f>SUM(F82*G82/1000)</f>
        <v>54.388560000000012</v>
      </c>
      <c r="I82" s="13">
        <f>F82/12*G82</f>
        <v>4532.380000000001</v>
      </c>
    </row>
    <row r="83" spans="1:9" ht="31.5" customHeight="1">
      <c r="A83" s="30">
        <v>13</v>
      </c>
      <c r="B83" s="14" t="s">
        <v>77</v>
      </c>
      <c r="C83" s="16"/>
      <c r="D83" s="81" t="s">
        <v>56</v>
      </c>
      <c r="E83" s="64">
        <f>E82</f>
        <v>1536.4</v>
      </c>
      <c r="F83" s="13">
        <f>E83*12</f>
        <v>18436.800000000003</v>
      </c>
      <c r="G83" s="13">
        <v>3.05</v>
      </c>
      <c r="H83" s="61">
        <f>F83*G83/1000</f>
        <v>56.232240000000004</v>
      </c>
      <c r="I83" s="13">
        <f>F83/12*G83</f>
        <v>4686.0200000000004</v>
      </c>
    </row>
    <row r="84" spans="1:9" ht="15.75" customHeight="1">
      <c r="A84" s="30"/>
      <c r="B84" s="36" t="s">
        <v>79</v>
      </c>
      <c r="C84" s="79"/>
      <c r="D84" s="78"/>
      <c r="E84" s="68"/>
      <c r="F84" s="68"/>
      <c r="G84" s="68"/>
      <c r="H84" s="80">
        <f>H83</f>
        <v>56.232240000000004</v>
      </c>
      <c r="I84" s="68">
        <f>I83+I82+I76+I70+I62+I60+I57+I32+I31+I27+I18+I17+I16</f>
        <v>22426.279068000003</v>
      </c>
    </row>
    <row r="85" spans="1:9" ht="15.75" customHeight="1">
      <c r="A85" s="134" t="s">
        <v>61</v>
      </c>
      <c r="B85" s="135"/>
      <c r="C85" s="135"/>
      <c r="D85" s="135"/>
      <c r="E85" s="135"/>
      <c r="F85" s="135"/>
      <c r="G85" s="135"/>
      <c r="H85" s="135"/>
      <c r="I85" s="136"/>
    </row>
    <row r="86" spans="1:9" s="100" customFormat="1" ht="30.75" customHeight="1">
      <c r="A86" s="30">
        <v>14</v>
      </c>
      <c r="B86" s="111" t="s">
        <v>171</v>
      </c>
      <c r="C86" s="112" t="s">
        <v>39</v>
      </c>
      <c r="D86" s="43"/>
      <c r="E86" s="13"/>
      <c r="F86" s="13">
        <v>234</v>
      </c>
      <c r="G86" s="34">
        <v>3914.31</v>
      </c>
      <c r="H86" s="13">
        <f t="shared" ref="H86" si="11">G86*F86/1000</f>
        <v>915.94854000000009</v>
      </c>
      <c r="I86" s="13">
        <f>G86*0.02</f>
        <v>78.286199999999994</v>
      </c>
    </row>
    <row r="87" spans="1:9" s="100" customFormat="1" ht="33.75" customHeight="1">
      <c r="A87" s="30">
        <v>15</v>
      </c>
      <c r="B87" s="111" t="s">
        <v>181</v>
      </c>
      <c r="C87" s="112" t="s">
        <v>182</v>
      </c>
      <c r="D87" s="43"/>
      <c r="E87" s="13"/>
      <c r="F87" s="13"/>
      <c r="G87" s="34">
        <v>6499.12</v>
      </c>
      <c r="H87" s="13"/>
      <c r="I87" s="13">
        <f>G87*0.314</f>
        <v>2040.7236800000001</v>
      </c>
    </row>
    <row r="88" spans="1:9" ht="15.75" customHeight="1">
      <c r="A88" s="30"/>
      <c r="B88" s="41" t="s">
        <v>52</v>
      </c>
      <c r="C88" s="37"/>
      <c r="D88" s="44"/>
      <c r="E88" s="37">
        <v>1</v>
      </c>
      <c r="F88" s="37"/>
      <c r="G88" s="37"/>
      <c r="H88" s="37"/>
      <c r="I88" s="32">
        <f>SUM(I86:I87)</f>
        <v>2119.0098800000001</v>
      </c>
    </row>
    <row r="89" spans="1:9" ht="15.75" customHeight="1">
      <c r="A89" s="30"/>
      <c r="B89" s="43" t="s">
        <v>78</v>
      </c>
      <c r="C89" s="15"/>
      <c r="D89" s="15"/>
      <c r="E89" s="38"/>
      <c r="F89" s="38"/>
      <c r="G89" s="39"/>
      <c r="H89" s="39"/>
      <c r="I89" s="17">
        <v>0</v>
      </c>
    </row>
    <row r="90" spans="1:9">
      <c r="A90" s="45"/>
      <c r="B90" s="42" t="s">
        <v>157</v>
      </c>
      <c r="C90" s="33"/>
      <c r="D90" s="33"/>
      <c r="E90" s="33"/>
      <c r="F90" s="33"/>
      <c r="G90" s="33"/>
      <c r="H90" s="33"/>
      <c r="I90" s="40">
        <f>I84+I88</f>
        <v>24545.288948000005</v>
      </c>
    </row>
    <row r="91" spans="1:9" ht="15.75">
      <c r="A91" s="143" t="s">
        <v>222</v>
      </c>
      <c r="B91" s="143"/>
      <c r="C91" s="143"/>
      <c r="D91" s="143"/>
      <c r="E91" s="143"/>
      <c r="F91" s="143"/>
      <c r="G91" s="143"/>
      <c r="H91" s="143"/>
      <c r="I91" s="143"/>
    </row>
    <row r="92" spans="1:9" ht="15.75" customHeight="1">
      <c r="A92" s="54"/>
      <c r="B92" s="144" t="s">
        <v>223</v>
      </c>
      <c r="C92" s="144"/>
      <c r="D92" s="144"/>
      <c r="E92" s="144"/>
      <c r="F92" s="144"/>
      <c r="G92" s="144"/>
      <c r="H92" s="60"/>
      <c r="I92" s="3"/>
    </row>
    <row r="93" spans="1:9">
      <c r="A93" s="91"/>
      <c r="B93" s="139" t="s">
        <v>6</v>
      </c>
      <c r="C93" s="139"/>
      <c r="D93" s="139"/>
      <c r="E93" s="139"/>
      <c r="F93" s="139"/>
      <c r="G93" s="139"/>
      <c r="H93" s="25"/>
      <c r="I93" s="5"/>
    </row>
    <row r="94" spans="1:9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45" t="s">
        <v>7</v>
      </c>
      <c r="B95" s="145"/>
      <c r="C95" s="145"/>
      <c r="D95" s="145"/>
      <c r="E95" s="145"/>
      <c r="F95" s="145"/>
      <c r="G95" s="145"/>
      <c r="H95" s="145"/>
      <c r="I95" s="145"/>
    </row>
    <row r="96" spans="1:9" ht="15.75" customHeight="1">
      <c r="A96" s="145" t="s">
        <v>8</v>
      </c>
      <c r="B96" s="145"/>
      <c r="C96" s="145"/>
      <c r="D96" s="145"/>
      <c r="E96" s="145"/>
      <c r="F96" s="145"/>
      <c r="G96" s="145"/>
      <c r="H96" s="145"/>
      <c r="I96" s="145"/>
    </row>
    <row r="97" spans="1:9" ht="15.75">
      <c r="A97" s="146" t="s">
        <v>62</v>
      </c>
      <c r="B97" s="146"/>
      <c r="C97" s="146"/>
      <c r="D97" s="146"/>
      <c r="E97" s="146"/>
      <c r="F97" s="146"/>
      <c r="G97" s="146"/>
      <c r="H97" s="146"/>
      <c r="I97" s="146"/>
    </row>
    <row r="98" spans="1:9" ht="15.75">
      <c r="A98" s="11"/>
    </row>
    <row r="99" spans="1:9" ht="15.75">
      <c r="A99" s="137" t="s">
        <v>9</v>
      </c>
      <c r="B99" s="137"/>
      <c r="C99" s="137"/>
      <c r="D99" s="137"/>
      <c r="E99" s="137"/>
      <c r="F99" s="137"/>
      <c r="G99" s="137"/>
      <c r="H99" s="137"/>
      <c r="I99" s="137"/>
    </row>
    <row r="100" spans="1:9" ht="15.75">
      <c r="A100" s="4"/>
    </row>
    <row r="101" spans="1:9" ht="15.75">
      <c r="B101" s="88" t="s">
        <v>10</v>
      </c>
      <c r="C101" s="138" t="s">
        <v>137</v>
      </c>
      <c r="D101" s="138"/>
      <c r="E101" s="138"/>
      <c r="F101" s="58"/>
      <c r="I101" s="90"/>
    </row>
    <row r="102" spans="1:9">
      <c r="A102" s="91"/>
      <c r="C102" s="139" t="s">
        <v>11</v>
      </c>
      <c r="D102" s="139"/>
      <c r="E102" s="139"/>
      <c r="F102" s="25"/>
      <c r="I102" s="89" t="s">
        <v>12</v>
      </c>
    </row>
    <row r="103" spans="1:9" ht="15.75">
      <c r="A103" s="26"/>
      <c r="C103" s="12"/>
      <c r="D103" s="12"/>
      <c r="G103" s="12"/>
      <c r="H103" s="12"/>
    </row>
    <row r="104" spans="1:9" ht="15.75" customHeight="1">
      <c r="B104" s="88" t="s">
        <v>13</v>
      </c>
      <c r="C104" s="140"/>
      <c r="D104" s="140"/>
      <c r="E104" s="140"/>
      <c r="F104" s="59"/>
      <c r="I104" s="90"/>
    </row>
    <row r="105" spans="1:9" ht="15.75" customHeight="1">
      <c r="A105" s="91"/>
      <c r="C105" s="141" t="s">
        <v>11</v>
      </c>
      <c r="D105" s="141"/>
      <c r="E105" s="141"/>
      <c r="F105" s="91"/>
      <c r="I105" s="89" t="s">
        <v>12</v>
      </c>
    </row>
    <row r="106" spans="1:9" ht="15.75" customHeight="1">
      <c r="A106" s="4" t="s">
        <v>14</v>
      </c>
    </row>
    <row r="107" spans="1:9">
      <c r="A107" s="142" t="s">
        <v>15</v>
      </c>
      <c r="B107" s="142"/>
      <c r="C107" s="142"/>
      <c r="D107" s="142"/>
      <c r="E107" s="142"/>
      <c r="F107" s="142"/>
      <c r="G107" s="142"/>
      <c r="H107" s="142"/>
      <c r="I107" s="142"/>
    </row>
    <row r="108" spans="1:9" ht="45" customHeight="1">
      <c r="A108" s="133" t="s">
        <v>16</v>
      </c>
      <c r="B108" s="133"/>
      <c r="C108" s="133"/>
      <c r="D108" s="133"/>
      <c r="E108" s="133"/>
      <c r="F108" s="133"/>
      <c r="G108" s="133"/>
      <c r="H108" s="133"/>
      <c r="I108" s="133"/>
    </row>
    <row r="109" spans="1:9" ht="30" customHeight="1">
      <c r="A109" s="133" t="s">
        <v>17</v>
      </c>
      <c r="B109" s="133"/>
      <c r="C109" s="133"/>
      <c r="D109" s="133"/>
      <c r="E109" s="133"/>
      <c r="F109" s="133"/>
      <c r="G109" s="133"/>
      <c r="H109" s="133"/>
      <c r="I109" s="133"/>
    </row>
    <row r="110" spans="1:9" ht="30" customHeight="1">
      <c r="A110" s="133" t="s">
        <v>21</v>
      </c>
      <c r="B110" s="133"/>
      <c r="C110" s="133"/>
      <c r="D110" s="133"/>
      <c r="E110" s="133"/>
      <c r="F110" s="133"/>
      <c r="G110" s="133"/>
      <c r="H110" s="133"/>
      <c r="I110" s="133"/>
    </row>
    <row r="111" spans="1:9" ht="15" customHeight="1">
      <c r="A111" s="133" t="s">
        <v>20</v>
      </c>
      <c r="B111" s="133"/>
      <c r="C111" s="133"/>
      <c r="D111" s="133"/>
      <c r="E111" s="133"/>
      <c r="F111" s="133"/>
      <c r="G111" s="133"/>
      <c r="H111" s="133"/>
      <c r="I111" s="133"/>
    </row>
  </sheetData>
  <autoFilter ref="I12:I55"/>
  <mergeCells count="29">
    <mergeCell ref="A14:I14"/>
    <mergeCell ref="A15:I15"/>
    <mergeCell ref="A29:I29"/>
    <mergeCell ref="A43:I43"/>
    <mergeCell ref="A54:I54"/>
    <mergeCell ref="A3:I3"/>
    <mergeCell ref="A4:I4"/>
    <mergeCell ref="A5:I5"/>
    <mergeCell ref="A8:I8"/>
    <mergeCell ref="A10:I10"/>
    <mergeCell ref="R60:U60"/>
    <mergeCell ref="C105:E105"/>
    <mergeCell ref="A85:I85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81:I81"/>
    <mergeCell ref="A107:I107"/>
    <mergeCell ref="A108:I108"/>
    <mergeCell ref="A109:I109"/>
    <mergeCell ref="A110:I110"/>
    <mergeCell ref="A111:I111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08"/>
  <sheetViews>
    <sheetView workbookViewId="0">
      <selection activeCell="B16" sqref="B16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162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51" t="s">
        <v>158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136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224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95"/>
      <c r="C6" s="95"/>
      <c r="D6" s="95"/>
      <c r="E6" s="95"/>
      <c r="F6" s="95"/>
      <c r="G6" s="95"/>
      <c r="H6" s="95"/>
      <c r="I6" s="84">
        <v>43708</v>
      </c>
      <c r="J6" s="2"/>
      <c r="K6" s="2"/>
      <c r="L6" s="2"/>
      <c r="M6" s="2"/>
    </row>
    <row r="7" spans="1:13" ht="15.75">
      <c r="B7" s="97"/>
      <c r="C7" s="97"/>
      <c r="D7" s="9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4" t="s">
        <v>163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5" t="s">
        <v>153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6" t="s">
        <v>60</v>
      </c>
      <c r="B14" s="156"/>
      <c r="C14" s="156"/>
      <c r="D14" s="156"/>
      <c r="E14" s="156"/>
      <c r="F14" s="156"/>
      <c r="G14" s="156"/>
      <c r="H14" s="156"/>
      <c r="I14" s="156"/>
      <c r="J14" s="8"/>
      <c r="K14" s="8"/>
      <c r="L14" s="8"/>
      <c r="M14" s="8"/>
    </row>
    <row r="15" spans="1:13" ht="1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0">
        <v>1</v>
      </c>
      <c r="B16" s="62" t="s">
        <v>83</v>
      </c>
      <c r="C16" s="63" t="s">
        <v>84</v>
      </c>
      <c r="D16" s="62" t="s">
        <v>195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18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116</v>
      </c>
      <c r="C17" s="63" t="s">
        <v>84</v>
      </c>
      <c r="D17" s="62" t="s">
        <v>196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117</v>
      </c>
      <c r="C18" s="63" t="s">
        <v>84</v>
      </c>
      <c r="D18" s="62" t="s">
        <v>197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>
        <v>4</v>
      </c>
      <c r="B19" s="62" t="s">
        <v>91</v>
      </c>
      <c r="C19" s="63" t="s">
        <v>92</v>
      </c>
      <c r="D19" s="62" t="s">
        <v>93</v>
      </c>
      <c r="E19" s="64">
        <v>21.6</v>
      </c>
      <c r="F19" s="65">
        <f>SUM(E19/10)</f>
        <v>2.16</v>
      </c>
      <c r="G19" s="65">
        <v>211.74</v>
      </c>
      <c r="H19" s="66">
        <f t="shared" ref="H19:H26" si="1">SUM(F19*G19/1000)</f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5</v>
      </c>
      <c r="B20" s="62" t="s">
        <v>94</v>
      </c>
      <c r="C20" s="63" t="s">
        <v>84</v>
      </c>
      <c r="D20" s="62" t="s">
        <v>43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1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6</v>
      </c>
      <c r="B21" s="62" t="s">
        <v>95</v>
      </c>
      <c r="C21" s="63" t="s">
        <v>84</v>
      </c>
      <c r="D21" s="62" t="s">
        <v>43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1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>
        <v>7</v>
      </c>
      <c r="B22" s="62" t="s">
        <v>96</v>
      </c>
      <c r="C22" s="63" t="s">
        <v>53</v>
      </c>
      <c r="D22" s="62" t="s">
        <v>93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1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>
        <v>8</v>
      </c>
      <c r="B23" s="62" t="s">
        <v>97</v>
      </c>
      <c r="C23" s="63" t="s">
        <v>53</v>
      </c>
      <c r="D23" s="62" t="s">
        <v>93</v>
      </c>
      <c r="E23" s="67">
        <v>17.64</v>
      </c>
      <c r="F23" s="65">
        <f>SUM(E23/100)</f>
        <v>0.1764</v>
      </c>
      <c r="G23" s="65">
        <v>55.1</v>
      </c>
      <c r="H23" s="66">
        <f t="shared" si="1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62" t="s">
        <v>98</v>
      </c>
      <c r="C24" s="63" t="s">
        <v>53</v>
      </c>
      <c r="D24" s="62" t="s">
        <v>99</v>
      </c>
      <c r="E24" s="64">
        <v>7.2</v>
      </c>
      <c r="F24" s="65">
        <f>E24/100</f>
        <v>7.2000000000000008E-2</v>
      </c>
      <c r="G24" s="65">
        <v>484.94</v>
      </c>
      <c r="H24" s="66">
        <f t="shared" si="1"/>
        <v>3.4915680000000004E-2</v>
      </c>
      <c r="I24" s="13">
        <f t="shared" si="2"/>
        <v>34.915680000000002</v>
      </c>
      <c r="J24" s="23"/>
      <c r="K24" s="8"/>
      <c r="L24" s="8"/>
      <c r="M24" s="8"/>
    </row>
    <row r="25" spans="1:13" ht="15.75" hidden="1" customHeight="1">
      <c r="A25" s="30">
        <v>10</v>
      </c>
      <c r="B25" s="62" t="s">
        <v>100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1"/>
        <v>2.5412939999999998E-2</v>
      </c>
      <c r="I25" s="13">
        <f t="shared" si="2"/>
        <v>25.412939999999999</v>
      </c>
      <c r="J25" s="23"/>
      <c r="K25" s="8"/>
      <c r="L25" s="8"/>
      <c r="M25" s="8"/>
    </row>
    <row r="26" spans="1:13" ht="15.75" hidden="1" customHeight="1">
      <c r="A26" s="30">
        <v>11</v>
      </c>
      <c r="B26" s="62" t="s">
        <v>101</v>
      </c>
      <c r="C26" s="63" t="s">
        <v>53</v>
      </c>
      <c r="D26" s="62" t="s">
        <v>93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1"/>
        <v>7.387740000000001E-2</v>
      </c>
      <c r="I26" s="13">
        <f t="shared" si="2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126" t="s">
        <v>194</v>
      </c>
      <c r="C27" s="127" t="s">
        <v>25</v>
      </c>
      <c r="D27" s="126" t="s">
        <v>198</v>
      </c>
      <c r="E27" s="128">
        <v>2.91</v>
      </c>
      <c r="F27" s="117">
        <f>E27*258</f>
        <v>750.78000000000009</v>
      </c>
      <c r="G27" s="117">
        <v>10.39</v>
      </c>
      <c r="H27" s="66">
        <f>SUM(F27*G27/1000)</f>
        <v>7.8006042000000013</v>
      </c>
      <c r="I27" s="13">
        <f>F27/12*G27</f>
        <v>650.05035000000009</v>
      </c>
      <c r="J27" s="23"/>
      <c r="K27" s="8"/>
    </row>
    <row r="28" spans="1:13" ht="15.75" customHeight="1">
      <c r="A28" s="148" t="s">
        <v>154</v>
      </c>
      <c r="B28" s="149"/>
      <c r="C28" s="149"/>
      <c r="D28" s="149"/>
      <c r="E28" s="149"/>
      <c r="F28" s="149"/>
      <c r="G28" s="149"/>
      <c r="H28" s="149"/>
      <c r="I28" s="150"/>
      <c r="J28" s="24"/>
    </row>
    <row r="29" spans="1:13" ht="15.75" customHeight="1">
      <c r="A29" s="30"/>
      <c r="B29" s="82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customHeight="1">
      <c r="A30" s="30">
        <v>5</v>
      </c>
      <c r="B30" s="62" t="s">
        <v>104</v>
      </c>
      <c r="C30" s="63" t="s">
        <v>87</v>
      </c>
      <c r="D30" s="62" t="s">
        <v>196</v>
      </c>
      <c r="E30" s="65">
        <v>61.5</v>
      </c>
      <c r="F30" s="65">
        <f>SUM(E30*52/1000)</f>
        <v>3.198</v>
      </c>
      <c r="G30" s="65">
        <v>193.97</v>
      </c>
      <c r="H30" s="66">
        <f t="shared" ref="H30:H31" si="3">SUM(F30*G30/1000)</f>
        <v>0.62031605999999995</v>
      </c>
      <c r="I30" s="13">
        <f t="shared" ref="I30:I31" si="4">F30/6*G30</f>
        <v>103.38601</v>
      </c>
      <c r="J30" s="23"/>
      <c r="K30" s="8"/>
      <c r="L30" s="8"/>
      <c r="M30" s="8"/>
    </row>
    <row r="31" spans="1:13" ht="31.5" customHeight="1">
      <c r="A31" s="30">
        <v>6</v>
      </c>
      <c r="B31" s="62" t="s">
        <v>103</v>
      </c>
      <c r="C31" s="63" t="s">
        <v>87</v>
      </c>
      <c r="D31" s="62" t="s">
        <v>195</v>
      </c>
      <c r="E31" s="65">
        <v>35.299999999999997</v>
      </c>
      <c r="F31" s="65">
        <f>SUM(E31*78/1000)</f>
        <v>2.7533999999999996</v>
      </c>
      <c r="G31" s="65">
        <v>321.82</v>
      </c>
      <c r="H31" s="66">
        <f t="shared" si="3"/>
        <v>0.88609918799999987</v>
      </c>
      <c r="I31" s="13">
        <f t="shared" si="4"/>
        <v>147.68319799999998</v>
      </c>
      <c r="J31" s="23"/>
      <c r="K31" s="8"/>
      <c r="L31" s="8"/>
      <c r="M31" s="8"/>
    </row>
    <row r="32" spans="1:13" ht="15.75" hidden="1" customHeight="1">
      <c r="A32" s="30">
        <v>16</v>
      </c>
      <c r="B32" s="62" t="s">
        <v>27</v>
      </c>
      <c r="C32" s="63" t="s">
        <v>87</v>
      </c>
      <c r="D32" s="62" t="s">
        <v>54</v>
      </c>
      <c r="E32" s="65">
        <v>61.5</v>
      </c>
      <c r="F32" s="65">
        <f>SUM(E32/1000)</f>
        <v>6.1499999999999999E-2</v>
      </c>
      <c r="G32" s="65">
        <v>3758.28</v>
      </c>
      <c r="H32" s="66">
        <f t="shared" ref="H32:H34" si="5">SUM(F32*G32/1000)</f>
        <v>0.23113422</v>
      </c>
      <c r="I32" s="13">
        <f>F32*G32</f>
        <v>231.13422</v>
      </c>
      <c r="J32" s="23"/>
      <c r="K32" s="8"/>
      <c r="L32" s="8"/>
      <c r="M32" s="8"/>
    </row>
    <row r="33" spans="1:14" ht="15.75" hidden="1" customHeight="1">
      <c r="A33" s="30"/>
      <c r="B33" s="62" t="s">
        <v>65</v>
      </c>
      <c r="C33" s="63" t="s">
        <v>33</v>
      </c>
      <c r="D33" s="62" t="s">
        <v>67</v>
      </c>
      <c r="E33" s="64"/>
      <c r="F33" s="65">
        <v>1</v>
      </c>
      <c r="G33" s="65">
        <v>238.07</v>
      </c>
      <c r="H33" s="66">
        <f t="shared" si="5"/>
        <v>0.23807</v>
      </c>
      <c r="I33" s="13">
        <v>0</v>
      </c>
      <c r="J33" s="24"/>
    </row>
    <row r="34" spans="1:14" ht="15.75" hidden="1" customHeight="1">
      <c r="A34" s="30"/>
      <c r="B34" s="62" t="s">
        <v>66</v>
      </c>
      <c r="C34" s="63" t="s">
        <v>32</v>
      </c>
      <c r="D34" s="62" t="s">
        <v>67</v>
      </c>
      <c r="E34" s="64"/>
      <c r="F34" s="65">
        <v>1</v>
      </c>
      <c r="G34" s="65">
        <v>1413.96</v>
      </c>
      <c r="H34" s="66">
        <f t="shared" si="5"/>
        <v>1.4139600000000001</v>
      </c>
      <c r="I34" s="13">
        <v>0</v>
      </c>
      <c r="J34" s="24"/>
    </row>
    <row r="35" spans="1:14" ht="15.75" hidden="1" customHeight="1">
      <c r="A35" s="30"/>
      <c r="B35" s="82" t="s">
        <v>5</v>
      </c>
      <c r="C35" s="63"/>
      <c r="D35" s="62"/>
      <c r="E35" s="64"/>
      <c r="F35" s="65"/>
      <c r="G35" s="65"/>
      <c r="H35" s="66" t="s">
        <v>118</v>
      </c>
      <c r="I35" s="13"/>
      <c r="J35" s="24"/>
      <c r="L35" s="19"/>
      <c r="M35" s="20"/>
      <c r="N35" s="21"/>
    </row>
    <row r="36" spans="1:14" ht="15.75" hidden="1" customHeight="1">
      <c r="A36" s="30">
        <v>6</v>
      </c>
      <c r="B36" s="62" t="s">
        <v>26</v>
      </c>
      <c r="C36" s="63" t="s">
        <v>32</v>
      </c>
      <c r="D36" s="62"/>
      <c r="E36" s="64"/>
      <c r="F36" s="65">
        <v>3</v>
      </c>
      <c r="G36" s="65">
        <v>1900.37</v>
      </c>
      <c r="H36" s="66">
        <f t="shared" ref="H36:H41" si="6">SUM(F36*G36/1000)</f>
        <v>5.7011099999999999</v>
      </c>
      <c r="I36" s="13">
        <f t="shared" ref="I36:I41" si="7">F36/6*G36</f>
        <v>950.18499999999995</v>
      </c>
      <c r="J36" s="24"/>
      <c r="L36" s="19"/>
      <c r="M36" s="20"/>
      <c r="N36" s="21"/>
    </row>
    <row r="37" spans="1:14" ht="31.5" hidden="1" customHeight="1">
      <c r="A37" s="30">
        <v>7</v>
      </c>
      <c r="B37" s="62" t="s">
        <v>119</v>
      </c>
      <c r="C37" s="63" t="s">
        <v>29</v>
      </c>
      <c r="D37" s="62" t="s">
        <v>85</v>
      </c>
      <c r="E37" s="64">
        <v>35.299999999999997</v>
      </c>
      <c r="F37" s="65">
        <f>E37*30/1000</f>
        <v>1.0589999999999999</v>
      </c>
      <c r="G37" s="65">
        <v>2616.4899999999998</v>
      </c>
      <c r="H37" s="66">
        <f t="shared" si="6"/>
        <v>2.77086291</v>
      </c>
      <c r="I37" s="13">
        <f t="shared" si="7"/>
        <v>461.81048499999991</v>
      </c>
      <c r="J37" s="24"/>
      <c r="L37" s="19"/>
      <c r="M37" s="20"/>
      <c r="N37" s="21"/>
    </row>
    <row r="38" spans="1:14" ht="15.75" hidden="1" customHeight="1">
      <c r="A38" s="30">
        <v>8</v>
      </c>
      <c r="B38" s="62" t="s">
        <v>120</v>
      </c>
      <c r="C38" s="63" t="s">
        <v>29</v>
      </c>
      <c r="D38" s="62" t="s">
        <v>86</v>
      </c>
      <c r="E38" s="64">
        <v>35.299999999999997</v>
      </c>
      <c r="F38" s="65">
        <f>SUM(E38*155/1000)</f>
        <v>5.4714999999999998</v>
      </c>
      <c r="G38" s="65">
        <v>436.45</v>
      </c>
      <c r="H38" s="66">
        <f t="shared" si="6"/>
        <v>2.3880361749999999</v>
      </c>
      <c r="I38" s="13">
        <f t="shared" si="7"/>
        <v>398.00602916666662</v>
      </c>
      <c r="J38" s="24"/>
      <c r="L38" s="19"/>
      <c r="M38" s="20"/>
      <c r="N38" s="21"/>
    </row>
    <row r="39" spans="1:14" ht="47.25" hidden="1" customHeight="1">
      <c r="A39" s="30">
        <v>9</v>
      </c>
      <c r="B39" s="62" t="s">
        <v>121</v>
      </c>
      <c r="C39" s="63" t="s">
        <v>87</v>
      </c>
      <c r="D39" s="62" t="s">
        <v>122</v>
      </c>
      <c r="E39" s="64">
        <v>35.299999999999997</v>
      </c>
      <c r="F39" s="65">
        <f>SUM(E39*24/1000)</f>
        <v>0.84719999999999995</v>
      </c>
      <c r="G39" s="65">
        <v>7221.21</v>
      </c>
      <c r="H39" s="66">
        <f t="shared" si="6"/>
        <v>6.1178091119999998</v>
      </c>
      <c r="I39" s="13">
        <f t="shared" si="7"/>
        <v>1019.6348519999999</v>
      </c>
      <c r="J39" s="24"/>
      <c r="L39" s="19"/>
      <c r="M39" s="20"/>
      <c r="N39" s="21"/>
    </row>
    <row r="40" spans="1:14" ht="15.75" hidden="1" customHeight="1">
      <c r="A40" s="30">
        <v>10</v>
      </c>
      <c r="B40" s="62" t="s">
        <v>123</v>
      </c>
      <c r="C40" s="63" t="s">
        <v>87</v>
      </c>
      <c r="D40" s="62" t="s">
        <v>68</v>
      </c>
      <c r="E40" s="64">
        <v>35.299999999999997</v>
      </c>
      <c r="F40" s="65">
        <f>SUM(E40*45/1000)</f>
        <v>1.5884999999999998</v>
      </c>
      <c r="G40" s="65">
        <v>533.45000000000005</v>
      </c>
      <c r="H40" s="66">
        <f t="shared" si="6"/>
        <v>0.84738532499999997</v>
      </c>
      <c r="I40" s="13">
        <f t="shared" si="7"/>
        <v>141.23088749999999</v>
      </c>
      <c r="J40" s="24"/>
      <c r="L40" s="19"/>
      <c r="M40" s="20"/>
      <c r="N40" s="21"/>
    </row>
    <row r="41" spans="1:14" ht="15.75" hidden="1" customHeight="1">
      <c r="A41" s="30">
        <v>11</v>
      </c>
      <c r="B41" s="62" t="s">
        <v>69</v>
      </c>
      <c r="C41" s="63" t="s">
        <v>33</v>
      </c>
      <c r="D41" s="62"/>
      <c r="E41" s="64"/>
      <c r="F41" s="65">
        <v>0.3</v>
      </c>
      <c r="G41" s="65">
        <v>992.97</v>
      </c>
      <c r="H41" s="66">
        <f t="shared" si="6"/>
        <v>0.29789100000000002</v>
      </c>
      <c r="I41" s="13">
        <f t="shared" si="7"/>
        <v>49.648499999999999</v>
      </c>
      <c r="J41" s="24"/>
      <c r="L41" s="19"/>
      <c r="M41" s="20"/>
      <c r="N41" s="21"/>
    </row>
    <row r="42" spans="1:14" ht="15.75" customHeight="1">
      <c r="A42" s="148" t="s">
        <v>139</v>
      </c>
      <c r="B42" s="149"/>
      <c r="C42" s="149"/>
      <c r="D42" s="149"/>
      <c r="E42" s="149"/>
      <c r="F42" s="149"/>
      <c r="G42" s="149"/>
      <c r="H42" s="149"/>
      <c r="I42" s="150"/>
      <c r="J42" s="24"/>
      <c r="L42" s="19"/>
      <c r="M42" s="20"/>
      <c r="N42" s="21"/>
    </row>
    <row r="43" spans="1:14" ht="15.75" hidden="1" customHeight="1">
      <c r="A43" s="30">
        <v>18</v>
      </c>
      <c r="B43" s="62" t="s">
        <v>105</v>
      </c>
      <c r="C43" s="63" t="s">
        <v>87</v>
      </c>
      <c r="D43" s="62" t="s">
        <v>43</v>
      </c>
      <c r="E43" s="64">
        <v>907.4</v>
      </c>
      <c r="F43" s="65">
        <f>SUM(E43*2/1000)</f>
        <v>1.8148</v>
      </c>
      <c r="G43" s="13">
        <v>1283.46</v>
      </c>
      <c r="H43" s="66">
        <f t="shared" ref="H43:H52" si="8">SUM(F43*G43/1000)</f>
        <v>2.3292232079999997</v>
      </c>
      <c r="I43" s="13">
        <f>F43/2*G43</f>
        <v>1164.6116039999999</v>
      </c>
      <c r="J43" s="24"/>
      <c r="L43" s="19"/>
      <c r="M43" s="20"/>
      <c r="N43" s="21"/>
    </row>
    <row r="44" spans="1:14" ht="15.75" hidden="1" customHeight="1">
      <c r="A44" s="30">
        <v>19</v>
      </c>
      <c r="B44" s="62" t="s">
        <v>36</v>
      </c>
      <c r="C44" s="63" t="s">
        <v>87</v>
      </c>
      <c r="D44" s="62" t="s">
        <v>43</v>
      </c>
      <c r="E44" s="64">
        <v>27</v>
      </c>
      <c r="F44" s="65">
        <f>SUM(E44*2/1000)</f>
        <v>5.3999999999999999E-2</v>
      </c>
      <c r="G44" s="13">
        <v>4192.6400000000003</v>
      </c>
      <c r="H44" s="66">
        <f t="shared" si="8"/>
        <v>0.22640256000000003</v>
      </c>
      <c r="I44" s="13">
        <f t="shared" ref="I44:I51" si="9">F44/2*G44</f>
        <v>113.20128000000001</v>
      </c>
      <c r="J44" s="24"/>
      <c r="L44" s="19"/>
      <c r="M44" s="20"/>
      <c r="N44" s="21"/>
    </row>
    <row r="45" spans="1:14" ht="15.75" hidden="1" customHeight="1">
      <c r="A45" s="30">
        <v>20</v>
      </c>
      <c r="B45" s="62" t="s">
        <v>37</v>
      </c>
      <c r="C45" s="63" t="s">
        <v>87</v>
      </c>
      <c r="D45" s="62" t="s">
        <v>43</v>
      </c>
      <c r="E45" s="64">
        <v>772</v>
      </c>
      <c r="F45" s="65">
        <f>SUM(E45*2/1000)</f>
        <v>1.544</v>
      </c>
      <c r="G45" s="13">
        <v>1711.28</v>
      </c>
      <c r="H45" s="66">
        <f t="shared" si="8"/>
        <v>2.6422163200000002</v>
      </c>
      <c r="I45" s="13">
        <f t="shared" si="9"/>
        <v>1321.10816</v>
      </c>
      <c r="J45" s="24"/>
      <c r="L45" s="19"/>
      <c r="M45" s="20"/>
      <c r="N45" s="21"/>
    </row>
    <row r="46" spans="1:14" ht="15.75" hidden="1" customHeight="1">
      <c r="A46" s="30">
        <v>21</v>
      </c>
      <c r="B46" s="62" t="s">
        <v>38</v>
      </c>
      <c r="C46" s="63" t="s">
        <v>87</v>
      </c>
      <c r="D46" s="62" t="s">
        <v>43</v>
      </c>
      <c r="E46" s="64">
        <v>959.4</v>
      </c>
      <c r="F46" s="65">
        <f>SUM(E46*2/1000)</f>
        <v>1.9188000000000001</v>
      </c>
      <c r="G46" s="13">
        <v>1179.73</v>
      </c>
      <c r="H46" s="66">
        <f t="shared" si="8"/>
        <v>2.2636659240000001</v>
      </c>
      <c r="I46" s="13">
        <f t="shared" si="9"/>
        <v>1131.832962</v>
      </c>
      <c r="J46" s="24"/>
      <c r="L46" s="19"/>
      <c r="M46" s="20"/>
      <c r="N46" s="21"/>
    </row>
    <row r="47" spans="1:14" ht="15.75" hidden="1" customHeight="1">
      <c r="A47" s="30">
        <v>22</v>
      </c>
      <c r="B47" s="62" t="s">
        <v>34</v>
      </c>
      <c r="C47" s="63" t="s">
        <v>35</v>
      </c>
      <c r="D47" s="62" t="s">
        <v>43</v>
      </c>
      <c r="E47" s="64">
        <v>66.02</v>
      </c>
      <c r="F47" s="65">
        <f>SUM(E47*2/100)</f>
        <v>1.3204</v>
      </c>
      <c r="G47" s="13">
        <v>90.61</v>
      </c>
      <c r="H47" s="66">
        <f t="shared" si="8"/>
        <v>0.11964144400000001</v>
      </c>
      <c r="I47" s="13">
        <f t="shared" si="9"/>
        <v>59.820722000000004</v>
      </c>
      <c r="J47" s="24"/>
      <c r="L47" s="19"/>
      <c r="M47" s="20"/>
      <c r="N47" s="21"/>
    </row>
    <row r="48" spans="1:14" ht="15.75" hidden="1" customHeight="1">
      <c r="A48" s="30">
        <v>23</v>
      </c>
      <c r="B48" s="62" t="s">
        <v>57</v>
      </c>
      <c r="C48" s="63" t="s">
        <v>87</v>
      </c>
      <c r="D48" s="62" t="s">
        <v>138</v>
      </c>
      <c r="E48" s="64">
        <v>1536.4</v>
      </c>
      <c r="F48" s="65">
        <f>SUM(E48*5/1000)</f>
        <v>7.6820000000000004</v>
      </c>
      <c r="G48" s="13">
        <v>1711.28</v>
      </c>
      <c r="H48" s="66">
        <f t="shared" si="8"/>
        <v>13.14605296</v>
      </c>
      <c r="I48" s="13">
        <f>F48/5*G48</f>
        <v>2629.2105919999999</v>
      </c>
      <c r="J48" s="24"/>
      <c r="L48" s="19"/>
      <c r="M48" s="20"/>
      <c r="N48" s="21"/>
    </row>
    <row r="49" spans="1:22" ht="32.25" hidden="1" customHeight="1">
      <c r="A49" s="30">
        <v>12</v>
      </c>
      <c r="B49" s="62" t="s">
        <v>88</v>
      </c>
      <c r="C49" s="63" t="s">
        <v>87</v>
      </c>
      <c r="D49" s="62" t="s">
        <v>43</v>
      </c>
      <c r="E49" s="64">
        <v>1536.4</v>
      </c>
      <c r="F49" s="65">
        <f>SUM(E49*2/1000)</f>
        <v>3.0728</v>
      </c>
      <c r="G49" s="13">
        <v>1510.06</v>
      </c>
      <c r="H49" s="66">
        <f t="shared" si="8"/>
        <v>4.6401123680000005</v>
      </c>
      <c r="I49" s="13">
        <f t="shared" si="9"/>
        <v>2320.056184</v>
      </c>
      <c r="J49" s="24"/>
      <c r="L49" s="19"/>
      <c r="M49" s="20"/>
      <c r="N49" s="21"/>
    </row>
    <row r="50" spans="1:22" ht="32.25" hidden="1" customHeight="1">
      <c r="A50" s="30">
        <v>13</v>
      </c>
      <c r="B50" s="62" t="s">
        <v>89</v>
      </c>
      <c r="C50" s="63" t="s">
        <v>39</v>
      </c>
      <c r="D50" s="62" t="s">
        <v>43</v>
      </c>
      <c r="E50" s="64">
        <v>9</v>
      </c>
      <c r="F50" s="65">
        <f>SUM(E50*2/100)</f>
        <v>0.18</v>
      </c>
      <c r="G50" s="13">
        <v>3850.4</v>
      </c>
      <c r="H50" s="66">
        <f t="shared" si="8"/>
        <v>0.69307200000000002</v>
      </c>
      <c r="I50" s="13">
        <f t="shared" si="9"/>
        <v>346.536</v>
      </c>
      <c r="J50" s="24"/>
      <c r="L50" s="19"/>
      <c r="M50" s="20"/>
      <c r="N50" s="21"/>
    </row>
    <row r="51" spans="1:22" ht="15.75" hidden="1" customHeight="1">
      <c r="A51" s="30">
        <v>14</v>
      </c>
      <c r="B51" s="62" t="s">
        <v>40</v>
      </c>
      <c r="C51" s="63" t="s">
        <v>41</v>
      </c>
      <c r="D51" s="62" t="s">
        <v>43</v>
      </c>
      <c r="E51" s="64">
        <v>1</v>
      </c>
      <c r="F51" s="65">
        <v>0.02</v>
      </c>
      <c r="G51" s="13">
        <v>7033.13</v>
      </c>
      <c r="H51" s="66">
        <f t="shared" si="8"/>
        <v>0.1406626</v>
      </c>
      <c r="I51" s="13">
        <f t="shared" si="9"/>
        <v>70.331299999999999</v>
      </c>
      <c r="J51" s="24"/>
      <c r="L51" s="19"/>
      <c r="M51" s="20"/>
      <c r="N51" s="21"/>
    </row>
    <row r="52" spans="1:22" ht="15.75" customHeight="1">
      <c r="A52" s="30">
        <v>7</v>
      </c>
      <c r="B52" s="126" t="s">
        <v>42</v>
      </c>
      <c r="C52" s="127" t="s">
        <v>106</v>
      </c>
      <c r="D52" s="130">
        <v>43703</v>
      </c>
      <c r="E52" s="131">
        <v>53</v>
      </c>
      <c r="F52" s="117">
        <v>53</v>
      </c>
      <c r="G52" s="132">
        <v>81.73</v>
      </c>
      <c r="H52" s="66">
        <f t="shared" si="8"/>
        <v>4.3316900000000009</v>
      </c>
      <c r="I52" s="13">
        <f>F52/3*G52</f>
        <v>1443.8966666666668</v>
      </c>
      <c r="J52" s="24"/>
      <c r="L52" s="19"/>
    </row>
    <row r="53" spans="1:22" ht="15.75" customHeight="1">
      <c r="A53" s="148" t="s">
        <v>140</v>
      </c>
      <c r="B53" s="149"/>
      <c r="C53" s="149"/>
      <c r="D53" s="149"/>
      <c r="E53" s="149"/>
      <c r="F53" s="149"/>
      <c r="G53" s="149"/>
      <c r="H53" s="149"/>
      <c r="I53" s="150"/>
    </row>
    <row r="54" spans="1:22" ht="15.75" hidden="1" customHeight="1">
      <c r="A54" s="30"/>
      <c r="B54" s="82" t="s">
        <v>44</v>
      </c>
      <c r="C54" s="63"/>
      <c r="D54" s="62"/>
      <c r="E54" s="64"/>
      <c r="F54" s="65"/>
      <c r="G54" s="65"/>
      <c r="H54" s="66"/>
      <c r="I54" s="13"/>
    </row>
    <row r="55" spans="1:22" ht="31.5" hidden="1" customHeight="1">
      <c r="A55" s="30">
        <v>15</v>
      </c>
      <c r="B55" s="62" t="s">
        <v>107</v>
      </c>
      <c r="C55" s="63" t="s">
        <v>84</v>
      </c>
      <c r="D55" s="62" t="s">
        <v>108</v>
      </c>
      <c r="E55" s="64">
        <v>11.5</v>
      </c>
      <c r="F55" s="65">
        <f>SUM(E55*6/100)</f>
        <v>0.69</v>
      </c>
      <c r="G55" s="13">
        <v>2306.62</v>
      </c>
      <c r="H55" s="66">
        <f>SUM(F55*G55/1000)</f>
        <v>1.5915677999999998</v>
      </c>
      <c r="I55" s="13">
        <f>F55/6*G55</f>
        <v>265.26129999999995</v>
      </c>
    </row>
    <row r="56" spans="1:22" ht="15.75" hidden="1" customHeight="1">
      <c r="A56" s="30"/>
      <c r="B56" s="62" t="s">
        <v>124</v>
      </c>
      <c r="C56" s="63" t="s">
        <v>125</v>
      </c>
      <c r="D56" s="62" t="s">
        <v>67</v>
      </c>
      <c r="E56" s="64"/>
      <c r="F56" s="65">
        <v>2</v>
      </c>
      <c r="G56" s="85">
        <v>1501</v>
      </c>
      <c r="H56" s="66">
        <f>SUM(F56*G56/1000)</f>
        <v>3.0019999999999998</v>
      </c>
      <c r="I56" s="13">
        <v>0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9"/>
    </row>
    <row r="57" spans="1:22" ht="15.75" customHeight="1">
      <c r="A57" s="30"/>
      <c r="B57" s="82" t="s">
        <v>45</v>
      </c>
      <c r="C57" s="63"/>
      <c r="D57" s="62"/>
      <c r="E57" s="64"/>
      <c r="F57" s="65"/>
      <c r="G57" s="86"/>
      <c r="H57" s="66"/>
      <c r="I57" s="13"/>
      <c r="J57" s="26"/>
      <c r="K57" s="26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2" ht="15.75" hidden="1" customHeight="1">
      <c r="A58" s="30"/>
      <c r="B58" s="62" t="s">
        <v>109</v>
      </c>
      <c r="C58" s="63" t="s">
        <v>84</v>
      </c>
      <c r="D58" s="62" t="s">
        <v>54</v>
      </c>
      <c r="E58" s="64">
        <v>148</v>
      </c>
      <c r="F58" s="66">
        <f>E58/100</f>
        <v>1.48</v>
      </c>
      <c r="G58" s="13">
        <v>987.51</v>
      </c>
      <c r="H58" s="71">
        <f>F58*G58/1000</f>
        <v>1.4615148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S58" s="3"/>
      <c r="T58" s="3"/>
      <c r="U58" s="3"/>
    </row>
    <row r="59" spans="1:22" ht="15.75" customHeight="1">
      <c r="A59" s="30">
        <v>8</v>
      </c>
      <c r="B59" s="73" t="s">
        <v>135</v>
      </c>
      <c r="C59" s="72" t="s">
        <v>25</v>
      </c>
      <c r="D59" s="73" t="s">
        <v>176</v>
      </c>
      <c r="E59" s="74">
        <v>140.5</v>
      </c>
      <c r="F59" s="65">
        <v>1320</v>
      </c>
      <c r="G59" s="87">
        <v>1.4</v>
      </c>
      <c r="H59" s="71">
        <f>F59*G59/1000</f>
        <v>1.8479999999999999</v>
      </c>
      <c r="I59" s="13">
        <f>F59/12*G59</f>
        <v>154</v>
      </c>
      <c r="J59" s="5"/>
      <c r="K59" s="5"/>
      <c r="L59" s="5"/>
      <c r="M59" s="5"/>
      <c r="N59" s="5"/>
      <c r="O59" s="5"/>
      <c r="P59" s="5"/>
      <c r="Q59" s="5"/>
      <c r="R59" s="141"/>
      <c r="S59" s="141"/>
      <c r="T59" s="141"/>
      <c r="U59" s="141"/>
    </row>
    <row r="60" spans="1:22" ht="15.75" customHeight="1">
      <c r="A60" s="30"/>
      <c r="B60" s="83" t="s">
        <v>46</v>
      </c>
      <c r="C60" s="72"/>
      <c r="D60" s="73"/>
      <c r="E60" s="74"/>
      <c r="F60" s="75"/>
      <c r="G60" s="75"/>
      <c r="H60" s="76" t="s">
        <v>118</v>
      </c>
      <c r="I60" s="13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2" ht="15.75" hidden="1" customHeight="1">
      <c r="A61" s="30">
        <v>10</v>
      </c>
      <c r="B61" s="14" t="s">
        <v>47</v>
      </c>
      <c r="C61" s="16" t="s">
        <v>106</v>
      </c>
      <c r="D61" s="14" t="s">
        <v>67</v>
      </c>
      <c r="E61" s="18">
        <v>2</v>
      </c>
      <c r="F61" s="65">
        <f>E61</f>
        <v>2</v>
      </c>
      <c r="G61" s="13">
        <v>276.74</v>
      </c>
      <c r="H61" s="61">
        <f t="shared" ref="H61:H77" si="10">SUM(F61*G61/1000)</f>
        <v>0.55347999999999997</v>
      </c>
      <c r="I61" s="13">
        <f>G61*2</f>
        <v>553.48</v>
      </c>
    </row>
    <row r="62" spans="1:22" ht="15.75" hidden="1" customHeight="1">
      <c r="A62" s="30"/>
      <c r="B62" s="14" t="s">
        <v>48</v>
      </c>
      <c r="C62" s="16" t="s">
        <v>106</v>
      </c>
      <c r="D62" s="14" t="s">
        <v>67</v>
      </c>
      <c r="E62" s="18">
        <v>1</v>
      </c>
      <c r="F62" s="65">
        <f>E62</f>
        <v>1</v>
      </c>
      <c r="G62" s="13">
        <v>94.89</v>
      </c>
      <c r="H62" s="61">
        <f t="shared" si="10"/>
        <v>9.4890000000000002E-2</v>
      </c>
      <c r="I62" s="13">
        <v>0</v>
      </c>
    </row>
    <row r="63" spans="1:22" ht="15.75" hidden="1" customHeight="1">
      <c r="A63" s="30">
        <v>26</v>
      </c>
      <c r="B63" s="14" t="s">
        <v>49</v>
      </c>
      <c r="C63" s="16" t="s">
        <v>110</v>
      </c>
      <c r="D63" s="14" t="s">
        <v>54</v>
      </c>
      <c r="E63" s="64">
        <v>6307</v>
      </c>
      <c r="F63" s="13">
        <f>SUM(E63/100)</f>
        <v>63.07</v>
      </c>
      <c r="G63" s="13">
        <v>263.99</v>
      </c>
      <c r="H63" s="61">
        <f t="shared" si="10"/>
        <v>16.649849300000003</v>
      </c>
      <c r="I63" s="13">
        <f>F63*G63</f>
        <v>16649.849300000002</v>
      </c>
    </row>
    <row r="64" spans="1:22" ht="15.75" hidden="1" customHeight="1">
      <c r="A64" s="30">
        <v>27</v>
      </c>
      <c r="B64" s="14" t="s">
        <v>50</v>
      </c>
      <c r="C64" s="16" t="s">
        <v>111</v>
      </c>
      <c r="D64" s="14"/>
      <c r="E64" s="64">
        <v>6307</v>
      </c>
      <c r="F64" s="13">
        <f>SUM(E64/1000)</f>
        <v>6.3070000000000004</v>
      </c>
      <c r="G64" s="13">
        <v>205.57</v>
      </c>
      <c r="H64" s="61">
        <f t="shared" si="10"/>
        <v>1.29652999</v>
      </c>
      <c r="I64" s="13">
        <f t="shared" ref="I64:I67" si="11">F64*G64</f>
        <v>1296.52999</v>
      </c>
    </row>
    <row r="65" spans="1:9" ht="15.75" hidden="1" customHeight="1">
      <c r="A65" s="30">
        <v>28</v>
      </c>
      <c r="B65" s="14" t="s">
        <v>51</v>
      </c>
      <c r="C65" s="16" t="s">
        <v>76</v>
      </c>
      <c r="D65" s="14" t="s">
        <v>54</v>
      </c>
      <c r="E65" s="64">
        <v>1003</v>
      </c>
      <c r="F65" s="13">
        <f>SUM(E65/100)</f>
        <v>10.029999999999999</v>
      </c>
      <c r="G65" s="13">
        <v>2581.5300000000002</v>
      </c>
      <c r="H65" s="61">
        <f t="shared" si="10"/>
        <v>25.892745900000001</v>
      </c>
      <c r="I65" s="13">
        <f t="shared" si="11"/>
        <v>25892.745900000002</v>
      </c>
    </row>
    <row r="66" spans="1:9" ht="15.75" hidden="1" customHeight="1">
      <c r="A66" s="30">
        <v>29</v>
      </c>
      <c r="B66" s="77" t="s">
        <v>112</v>
      </c>
      <c r="C66" s="16" t="s">
        <v>33</v>
      </c>
      <c r="D66" s="14"/>
      <c r="E66" s="64">
        <v>6.6</v>
      </c>
      <c r="F66" s="13">
        <f>SUM(E66)</f>
        <v>6.6</v>
      </c>
      <c r="G66" s="13">
        <v>47.75</v>
      </c>
      <c r="H66" s="61">
        <f t="shared" si="10"/>
        <v>0.31514999999999999</v>
      </c>
      <c r="I66" s="13">
        <f t="shared" si="11"/>
        <v>315.14999999999998</v>
      </c>
    </row>
    <row r="67" spans="1:9" ht="15.75" hidden="1" customHeight="1">
      <c r="A67" s="30">
        <v>30</v>
      </c>
      <c r="B67" s="77" t="s">
        <v>113</v>
      </c>
      <c r="C67" s="16" t="s">
        <v>33</v>
      </c>
      <c r="D67" s="14"/>
      <c r="E67" s="64">
        <v>6.6</v>
      </c>
      <c r="F67" s="13">
        <f>SUM(E67)</f>
        <v>6.6</v>
      </c>
      <c r="G67" s="13">
        <v>44.27</v>
      </c>
      <c r="H67" s="61">
        <f t="shared" si="10"/>
        <v>0.292182</v>
      </c>
      <c r="I67" s="13">
        <f t="shared" si="11"/>
        <v>292.18200000000002</v>
      </c>
    </row>
    <row r="68" spans="1:9" ht="15.75" hidden="1" customHeight="1">
      <c r="A68" s="30">
        <v>19</v>
      </c>
      <c r="B68" s="14" t="s">
        <v>58</v>
      </c>
      <c r="C68" s="16" t="s">
        <v>59</v>
      </c>
      <c r="D68" s="14" t="s">
        <v>54</v>
      </c>
      <c r="E68" s="18">
        <v>3</v>
      </c>
      <c r="F68" s="65">
        <v>3</v>
      </c>
      <c r="G68" s="13">
        <v>62.07</v>
      </c>
      <c r="H68" s="61">
        <f t="shared" si="10"/>
        <v>0.18621000000000001</v>
      </c>
      <c r="I68" s="13">
        <f>F68*G68</f>
        <v>186.21</v>
      </c>
    </row>
    <row r="69" spans="1:9" ht="15.75" customHeight="1">
      <c r="A69" s="30">
        <v>9</v>
      </c>
      <c r="B69" s="14" t="s">
        <v>126</v>
      </c>
      <c r="C69" s="30" t="s">
        <v>127</v>
      </c>
      <c r="D69" s="14"/>
      <c r="E69" s="18">
        <v>1536.4</v>
      </c>
      <c r="F69" s="56">
        <f>E69*12</f>
        <v>18436.800000000003</v>
      </c>
      <c r="G69" s="13">
        <v>2.16</v>
      </c>
      <c r="H69" s="61">
        <f t="shared" si="10"/>
        <v>39.823488000000012</v>
      </c>
      <c r="I69" s="13">
        <f>F69/12*G69</f>
        <v>3318.6240000000007</v>
      </c>
    </row>
    <row r="70" spans="1:9" ht="15.75" customHeight="1">
      <c r="A70" s="30"/>
      <c r="B70" s="96" t="s">
        <v>71</v>
      </c>
      <c r="C70" s="16"/>
      <c r="D70" s="14"/>
      <c r="E70" s="18"/>
      <c r="F70" s="13"/>
      <c r="G70" s="13"/>
      <c r="H70" s="61" t="s">
        <v>118</v>
      </c>
      <c r="I70" s="13"/>
    </row>
    <row r="71" spans="1:9" ht="15.75" hidden="1" customHeight="1">
      <c r="A71" s="30"/>
      <c r="B71" s="14" t="s">
        <v>129</v>
      </c>
      <c r="C71" s="16" t="s">
        <v>130</v>
      </c>
      <c r="D71" s="14" t="s">
        <v>67</v>
      </c>
      <c r="E71" s="18">
        <v>1</v>
      </c>
      <c r="F71" s="13">
        <f>E71</f>
        <v>1</v>
      </c>
      <c r="G71" s="13">
        <v>976.4</v>
      </c>
      <c r="H71" s="61">
        <f t="shared" ref="H71:H72" si="12">SUM(F71*G71/1000)</f>
        <v>0.97639999999999993</v>
      </c>
      <c r="I71" s="13">
        <v>0</v>
      </c>
    </row>
    <row r="72" spans="1:9" ht="15.75" hidden="1" customHeight="1">
      <c r="A72" s="30"/>
      <c r="B72" s="14" t="s">
        <v>131</v>
      </c>
      <c r="C72" s="16" t="s">
        <v>132</v>
      </c>
      <c r="D72" s="14"/>
      <c r="E72" s="18">
        <v>1</v>
      </c>
      <c r="F72" s="13">
        <v>1</v>
      </c>
      <c r="G72" s="13">
        <v>650</v>
      </c>
      <c r="H72" s="61">
        <f t="shared" si="12"/>
        <v>0.65</v>
      </c>
      <c r="I72" s="13">
        <v>0</v>
      </c>
    </row>
    <row r="73" spans="1:9" ht="15.75" hidden="1" customHeight="1">
      <c r="A73" s="30">
        <v>11</v>
      </c>
      <c r="B73" s="14" t="s">
        <v>72</v>
      </c>
      <c r="C73" s="16" t="s">
        <v>74</v>
      </c>
      <c r="D73" s="14"/>
      <c r="E73" s="18">
        <v>3</v>
      </c>
      <c r="F73" s="13">
        <v>0.3</v>
      </c>
      <c r="G73" s="13">
        <v>624.16999999999996</v>
      </c>
      <c r="H73" s="61">
        <f t="shared" si="10"/>
        <v>0.18725099999999997</v>
      </c>
      <c r="I73" s="13">
        <f>G73*0.3</f>
        <v>187.25099999999998</v>
      </c>
    </row>
    <row r="74" spans="1:9" ht="15.75" hidden="1" customHeight="1">
      <c r="A74" s="30"/>
      <c r="B74" s="14" t="s">
        <v>73</v>
      </c>
      <c r="C74" s="16" t="s">
        <v>31</v>
      </c>
      <c r="D74" s="14"/>
      <c r="E74" s="18">
        <v>1</v>
      </c>
      <c r="F74" s="56">
        <v>1</v>
      </c>
      <c r="G74" s="13">
        <v>1061.4100000000001</v>
      </c>
      <c r="H74" s="61">
        <f>F74*G74/1000</f>
        <v>1.0614100000000002</v>
      </c>
      <c r="I74" s="13">
        <v>0</v>
      </c>
    </row>
    <row r="75" spans="1:9" ht="15.75" customHeight="1">
      <c r="A75" s="30">
        <v>10</v>
      </c>
      <c r="B75" s="46" t="s">
        <v>133</v>
      </c>
      <c r="C75" s="47" t="s">
        <v>106</v>
      </c>
      <c r="D75" s="14" t="s">
        <v>176</v>
      </c>
      <c r="E75" s="18">
        <v>1</v>
      </c>
      <c r="F75" s="13">
        <f>E75*12</f>
        <v>12</v>
      </c>
      <c r="G75" s="13">
        <v>50.69</v>
      </c>
      <c r="H75" s="61">
        <f>G75*F75/1000</f>
        <v>0.60827999999999993</v>
      </c>
      <c r="I75" s="13">
        <f>G75</f>
        <v>50.69</v>
      </c>
    </row>
    <row r="76" spans="1:9" ht="15.75" hidden="1" customHeight="1">
      <c r="A76" s="30"/>
      <c r="B76" s="79" t="s">
        <v>75</v>
      </c>
      <c r="C76" s="16"/>
      <c r="D76" s="14"/>
      <c r="E76" s="18"/>
      <c r="F76" s="13"/>
      <c r="G76" s="13" t="s">
        <v>118</v>
      </c>
      <c r="H76" s="61" t="s">
        <v>118</v>
      </c>
      <c r="I76" s="13" t="str">
        <f>G76</f>
        <v xml:space="preserve"> </v>
      </c>
    </row>
    <row r="77" spans="1:9" ht="15.75" hidden="1" customHeight="1">
      <c r="A77" s="30"/>
      <c r="B77" s="43" t="s">
        <v>134</v>
      </c>
      <c r="C77" s="16" t="s">
        <v>76</v>
      </c>
      <c r="D77" s="14"/>
      <c r="E77" s="18"/>
      <c r="F77" s="13">
        <v>0.1</v>
      </c>
      <c r="G77" s="13">
        <v>3433.69</v>
      </c>
      <c r="H77" s="61">
        <f t="shared" si="10"/>
        <v>0.34336900000000004</v>
      </c>
      <c r="I77" s="13">
        <v>0</v>
      </c>
    </row>
    <row r="78" spans="1:9" ht="15.75" hidden="1" customHeight="1">
      <c r="A78" s="30"/>
      <c r="B78" s="55" t="s">
        <v>90</v>
      </c>
      <c r="C78" s="79"/>
      <c r="D78" s="31"/>
      <c r="E78" s="32"/>
      <c r="F78" s="68"/>
      <c r="G78" s="68"/>
      <c r="H78" s="80">
        <f>SUM(H55:H77)</f>
        <v>96.834317790000014</v>
      </c>
      <c r="I78" s="13"/>
    </row>
    <row r="79" spans="1:9" ht="15.75" hidden="1" customHeight="1">
      <c r="A79" s="30"/>
      <c r="B79" s="62" t="s">
        <v>114</v>
      </c>
      <c r="C79" s="16"/>
      <c r="D79" s="14"/>
      <c r="E79" s="57"/>
      <c r="F79" s="13">
        <v>1</v>
      </c>
      <c r="G79" s="35">
        <v>6105.8</v>
      </c>
      <c r="H79" s="61">
        <f>G79*F79/1000</f>
        <v>6.1058000000000003</v>
      </c>
      <c r="I79" s="13">
        <v>0</v>
      </c>
    </row>
    <row r="80" spans="1:9" ht="15.75" customHeight="1">
      <c r="A80" s="148" t="s">
        <v>141</v>
      </c>
      <c r="B80" s="149"/>
      <c r="C80" s="149"/>
      <c r="D80" s="149"/>
      <c r="E80" s="149"/>
      <c r="F80" s="149"/>
      <c r="G80" s="149"/>
      <c r="H80" s="149"/>
      <c r="I80" s="150"/>
    </row>
    <row r="81" spans="1:9" ht="15.75" customHeight="1">
      <c r="A81" s="30">
        <v>11</v>
      </c>
      <c r="B81" s="62" t="s">
        <v>115</v>
      </c>
      <c r="C81" s="16" t="s">
        <v>55</v>
      </c>
      <c r="D81" s="81"/>
      <c r="E81" s="13">
        <v>1536.4</v>
      </c>
      <c r="F81" s="13">
        <f>SUM(E81*12)</f>
        <v>18436.800000000003</v>
      </c>
      <c r="G81" s="13">
        <v>2.95</v>
      </c>
      <c r="H81" s="61">
        <f>SUM(F81*G81/1000)</f>
        <v>54.388560000000012</v>
      </c>
      <c r="I81" s="13">
        <f>F81/12*G81</f>
        <v>4532.380000000001</v>
      </c>
    </row>
    <row r="82" spans="1:9" ht="31.5" customHeight="1">
      <c r="A82" s="30">
        <v>12</v>
      </c>
      <c r="B82" s="14" t="s">
        <v>77</v>
      </c>
      <c r="C82" s="16"/>
      <c r="D82" s="81"/>
      <c r="E82" s="64">
        <f>E81</f>
        <v>1536.4</v>
      </c>
      <c r="F82" s="13">
        <f>E82*12</f>
        <v>18436.800000000003</v>
      </c>
      <c r="G82" s="13">
        <v>3.05</v>
      </c>
      <c r="H82" s="61">
        <f>F82*G82/1000</f>
        <v>56.232240000000004</v>
      </c>
      <c r="I82" s="13">
        <f>F82/12*G82</f>
        <v>4686.0200000000004</v>
      </c>
    </row>
    <row r="83" spans="1:9" ht="15.75" customHeight="1">
      <c r="A83" s="30"/>
      <c r="B83" s="36" t="s">
        <v>79</v>
      </c>
      <c r="C83" s="79"/>
      <c r="D83" s="78"/>
      <c r="E83" s="68"/>
      <c r="F83" s="68"/>
      <c r="G83" s="68"/>
      <c r="H83" s="80">
        <f>H82</f>
        <v>56.232240000000004</v>
      </c>
      <c r="I83" s="68">
        <f>I82+I81+I75+I69+I59+I52+I31+I30+I27+I18+I17+I16</f>
        <v>20788.45573466667</v>
      </c>
    </row>
    <row r="84" spans="1:9" ht="15.75" customHeight="1">
      <c r="A84" s="134" t="s">
        <v>61</v>
      </c>
      <c r="B84" s="135"/>
      <c r="C84" s="135"/>
      <c r="D84" s="135"/>
      <c r="E84" s="135"/>
      <c r="F84" s="135"/>
      <c r="G84" s="135"/>
      <c r="H84" s="135"/>
      <c r="I84" s="136"/>
    </row>
    <row r="85" spans="1:9" ht="15.75" customHeight="1">
      <c r="A85" s="30"/>
      <c r="B85" s="41" t="s">
        <v>52</v>
      </c>
      <c r="C85" s="37"/>
      <c r="D85" s="44"/>
      <c r="E85" s="37">
        <v>1</v>
      </c>
      <c r="F85" s="37"/>
      <c r="G85" s="37"/>
      <c r="H85" s="37"/>
      <c r="I85" s="32">
        <v>0</v>
      </c>
    </row>
    <row r="86" spans="1:9" ht="15.75" customHeight="1">
      <c r="A86" s="30"/>
      <c r="B86" s="43" t="s">
        <v>78</v>
      </c>
      <c r="C86" s="15"/>
      <c r="D86" s="15"/>
      <c r="E86" s="38"/>
      <c r="F86" s="38"/>
      <c r="G86" s="39"/>
      <c r="H86" s="39"/>
      <c r="I86" s="17">
        <v>0</v>
      </c>
    </row>
    <row r="87" spans="1:9">
      <c r="A87" s="45"/>
      <c r="B87" s="42" t="s">
        <v>157</v>
      </c>
      <c r="C87" s="33"/>
      <c r="D87" s="33"/>
      <c r="E87" s="33"/>
      <c r="F87" s="33"/>
      <c r="G87" s="33"/>
      <c r="H87" s="33"/>
      <c r="I87" s="40">
        <f>I83+I85</f>
        <v>20788.45573466667</v>
      </c>
    </row>
    <row r="88" spans="1:9" ht="15.75">
      <c r="A88" s="143" t="s">
        <v>225</v>
      </c>
      <c r="B88" s="143"/>
      <c r="C88" s="143"/>
      <c r="D88" s="143"/>
      <c r="E88" s="143"/>
      <c r="F88" s="143"/>
      <c r="G88" s="143"/>
      <c r="H88" s="143"/>
      <c r="I88" s="143"/>
    </row>
    <row r="89" spans="1:9" ht="15.75" customHeight="1">
      <c r="A89" s="54"/>
      <c r="B89" s="144" t="s">
        <v>226</v>
      </c>
      <c r="C89" s="144"/>
      <c r="D89" s="144"/>
      <c r="E89" s="144"/>
      <c r="F89" s="144"/>
      <c r="G89" s="144"/>
      <c r="H89" s="60"/>
      <c r="I89" s="3"/>
    </row>
    <row r="90" spans="1:9">
      <c r="A90" s="94"/>
      <c r="B90" s="139" t="s">
        <v>6</v>
      </c>
      <c r="C90" s="139"/>
      <c r="D90" s="139"/>
      <c r="E90" s="139"/>
      <c r="F90" s="139"/>
      <c r="G90" s="139"/>
      <c r="H90" s="25"/>
      <c r="I90" s="5"/>
    </row>
    <row r="91" spans="1:9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5.75">
      <c r="A92" s="145" t="s">
        <v>7</v>
      </c>
      <c r="B92" s="145"/>
      <c r="C92" s="145"/>
      <c r="D92" s="145"/>
      <c r="E92" s="145"/>
      <c r="F92" s="145"/>
      <c r="G92" s="145"/>
      <c r="H92" s="145"/>
      <c r="I92" s="145"/>
    </row>
    <row r="93" spans="1:9" ht="15.75" customHeight="1">
      <c r="A93" s="145" t="s">
        <v>8</v>
      </c>
      <c r="B93" s="145"/>
      <c r="C93" s="145"/>
      <c r="D93" s="145"/>
      <c r="E93" s="145"/>
      <c r="F93" s="145"/>
      <c r="G93" s="145"/>
      <c r="H93" s="145"/>
      <c r="I93" s="145"/>
    </row>
    <row r="94" spans="1:9" ht="15.75">
      <c r="A94" s="146" t="s">
        <v>62</v>
      </c>
      <c r="B94" s="146"/>
      <c r="C94" s="146"/>
      <c r="D94" s="146"/>
      <c r="E94" s="146"/>
      <c r="F94" s="146"/>
      <c r="G94" s="146"/>
      <c r="H94" s="146"/>
      <c r="I94" s="146"/>
    </row>
    <row r="95" spans="1:9" ht="15.75">
      <c r="A95" s="11"/>
    </row>
    <row r="96" spans="1:9" ht="15.75">
      <c r="A96" s="137" t="s">
        <v>9</v>
      </c>
      <c r="B96" s="137"/>
      <c r="C96" s="137"/>
      <c r="D96" s="137"/>
      <c r="E96" s="137"/>
      <c r="F96" s="137"/>
      <c r="G96" s="137"/>
      <c r="H96" s="137"/>
      <c r="I96" s="137"/>
    </row>
    <row r="97" spans="1:9" ht="15.75">
      <c r="A97" s="4"/>
    </row>
    <row r="98" spans="1:9" ht="15.75">
      <c r="B98" s="97" t="s">
        <v>10</v>
      </c>
      <c r="C98" s="138" t="s">
        <v>137</v>
      </c>
      <c r="D98" s="138"/>
      <c r="E98" s="138"/>
      <c r="F98" s="58"/>
      <c r="I98" s="99"/>
    </row>
    <row r="99" spans="1:9">
      <c r="A99" s="94"/>
      <c r="C99" s="139" t="s">
        <v>11</v>
      </c>
      <c r="D99" s="139"/>
      <c r="E99" s="139"/>
      <c r="F99" s="25"/>
      <c r="I99" s="98" t="s">
        <v>12</v>
      </c>
    </row>
    <row r="100" spans="1:9" ht="15.75">
      <c r="A100" s="26"/>
      <c r="C100" s="12"/>
      <c r="D100" s="12"/>
      <c r="G100" s="12"/>
      <c r="H100" s="12"/>
    </row>
    <row r="101" spans="1:9" ht="15.75" customHeight="1">
      <c r="B101" s="97" t="s">
        <v>13</v>
      </c>
      <c r="C101" s="140"/>
      <c r="D101" s="140"/>
      <c r="E101" s="140"/>
      <c r="F101" s="59"/>
      <c r="I101" s="99"/>
    </row>
    <row r="102" spans="1:9" ht="15.75" customHeight="1">
      <c r="A102" s="94"/>
      <c r="C102" s="141" t="s">
        <v>11</v>
      </c>
      <c r="D102" s="141"/>
      <c r="E102" s="141"/>
      <c r="F102" s="94"/>
      <c r="I102" s="98" t="s">
        <v>12</v>
      </c>
    </row>
    <row r="103" spans="1:9" ht="15.75" customHeight="1">
      <c r="A103" s="4" t="s">
        <v>14</v>
      </c>
    </row>
    <row r="104" spans="1:9">
      <c r="A104" s="142" t="s">
        <v>15</v>
      </c>
      <c r="B104" s="142"/>
      <c r="C104" s="142"/>
      <c r="D104" s="142"/>
      <c r="E104" s="142"/>
      <c r="F104" s="142"/>
      <c r="G104" s="142"/>
      <c r="H104" s="142"/>
      <c r="I104" s="142"/>
    </row>
    <row r="105" spans="1:9" ht="45" customHeight="1">
      <c r="A105" s="133" t="s">
        <v>16</v>
      </c>
      <c r="B105" s="133"/>
      <c r="C105" s="133"/>
      <c r="D105" s="133"/>
      <c r="E105" s="133"/>
      <c r="F105" s="133"/>
      <c r="G105" s="133"/>
      <c r="H105" s="133"/>
      <c r="I105" s="133"/>
    </row>
    <row r="106" spans="1:9" ht="30" customHeight="1">
      <c r="A106" s="133" t="s">
        <v>17</v>
      </c>
      <c r="B106" s="133"/>
      <c r="C106" s="133"/>
      <c r="D106" s="133"/>
      <c r="E106" s="133"/>
      <c r="F106" s="133"/>
      <c r="G106" s="133"/>
      <c r="H106" s="133"/>
      <c r="I106" s="133"/>
    </row>
    <row r="107" spans="1:9" ht="30" customHeight="1">
      <c r="A107" s="133" t="s">
        <v>21</v>
      </c>
      <c r="B107" s="133"/>
      <c r="C107" s="133"/>
      <c r="D107" s="133"/>
      <c r="E107" s="133"/>
      <c r="F107" s="133"/>
      <c r="G107" s="133"/>
      <c r="H107" s="133"/>
      <c r="I107" s="133"/>
    </row>
    <row r="108" spans="1:9" ht="15" customHeight="1">
      <c r="A108" s="133" t="s">
        <v>20</v>
      </c>
      <c r="B108" s="133"/>
      <c r="C108" s="133"/>
      <c r="D108" s="133"/>
      <c r="E108" s="133"/>
      <c r="F108" s="133"/>
      <c r="G108" s="133"/>
      <c r="H108" s="133"/>
      <c r="I108" s="133"/>
    </row>
  </sheetData>
  <autoFilter ref="I12:I54"/>
  <mergeCells count="29">
    <mergeCell ref="A104:I104"/>
    <mergeCell ref="A105:I105"/>
    <mergeCell ref="A106:I106"/>
    <mergeCell ref="A107:I107"/>
    <mergeCell ref="A108:I108"/>
    <mergeCell ref="R59:U59"/>
    <mergeCell ref="C102:E102"/>
    <mergeCell ref="A84:I84"/>
    <mergeCell ref="A88:I88"/>
    <mergeCell ref="B89:G89"/>
    <mergeCell ref="B90:G90"/>
    <mergeCell ref="A92:I92"/>
    <mergeCell ref="A93:I93"/>
    <mergeCell ref="A94:I94"/>
    <mergeCell ref="A96:I96"/>
    <mergeCell ref="C98:E98"/>
    <mergeCell ref="C99:E99"/>
    <mergeCell ref="C101:E101"/>
    <mergeCell ref="A80:I80"/>
    <mergeCell ref="A3:I3"/>
    <mergeCell ref="A4:I4"/>
    <mergeCell ref="A5:I5"/>
    <mergeCell ref="A8:I8"/>
    <mergeCell ref="A10:I10"/>
    <mergeCell ref="A14:I14"/>
    <mergeCell ref="A15:I15"/>
    <mergeCell ref="A28:I28"/>
    <mergeCell ref="A42:I42"/>
    <mergeCell ref="A53:I53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0"/>
  <sheetViews>
    <sheetView topLeftCell="A78" workbookViewId="0">
      <selection activeCell="I93" sqref="I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162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51" t="s">
        <v>151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136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227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49"/>
      <c r="C6" s="49"/>
      <c r="D6" s="49"/>
      <c r="E6" s="49"/>
      <c r="F6" s="49"/>
      <c r="G6" s="49"/>
      <c r="H6" s="49"/>
      <c r="I6" s="84">
        <v>43738</v>
      </c>
      <c r="J6" s="2"/>
      <c r="K6" s="2"/>
      <c r="L6" s="2"/>
      <c r="M6" s="2"/>
    </row>
    <row r="7" spans="1:13" ht="15.75">
      <c r="B7" s="50"/>
      <c r="C7" s="50"/>
      <c r="D7" s="5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4" t="s">
        <v>164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5" t="s">
        <v>153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6" t="s">
        <v>60</v>
      </c>
      <c r="B14" s="156"/>
      <c r="C14" s="156"/>
      <c r="D14" s="156"/>
      <c r="E14" s="156"/>
      <c r="F14" s="156"/>
      <c r="G14" s="156"/>
      <c r="H14" s="156"/>
      <c r="I14" s="156"/>
      <c r="J14" s="8"/>
      <c r="K14" s="8"/>
      <c r="L14" s="8"/>
      <c r="M14" s="8"/>
    </row>
    <row r="15" spans="1:13" ht="1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0">
        <v>1</v>
      </c>
      <c r="B16" s="62" t="s">
        <v>83</v>
      </c>
      <c r="C16" s="63" t="s">
        <v>84</v>
      </c>
      <c r="D16" s="62" t="s">
        <v>195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18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116</v>
      </c>
      <c r="C17" s="63" t="s">
        <v>84</v>
      </c>
      <c r="D17" s="62" t="s">
        <v>196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117</v>
      </c>
      <c r="C18" s="63" t="s">
        <v>84</v>
      </c>
      <c r="D18" s="62" t="s">
        <v>197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/>
      <c r="B19" s="62" t="s">
        <v>91</v>
      </c>
      <c r="C19" s="63" t="s">
        <v>92</v>
      </c>
      <c r="D19" s="62" t="s">
        <v>93</v>
      </c>
      <c r="E19" s="64">
        <v>21.6</v>
      </c>
      <c r="F19" s="65">
        <f>SUM(E19/10)</f>
        <v>2.16</v>
      </c>
      <c r="G19" s="65">
        <v>211.74</v>
      </c>
      <c r="H19" s="66">
        <f t="shared" ref="H19:H26" si="1">SUM(F19*G19/1000)</f>
        <v>0.45735840000000005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62" t="s">
        <v>94</v>
      </c>
      <c r="C20" s="63" t="s">
        <v>84</v>
      </c>
      <c r="D20" s="62" t="s">
        <v>176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1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customHeight="1">
      <c r="A21" s="30">
        <v>5</v>
      </c>
      <c r="B21" s="62" t="s">
        <v>95</v>
      </c>
      <c r="C21" s="63" t="s">
        <v>84</v>
      </c>
      <c r="D21" s="62" t="s">
        <v>176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1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/>
      <c r="B22" s="62" t="s">
        <v>96</v>
      </c>
      <c r="C22" s="63" t="s">
        <v>53</v>
      </c>
      <c r="D22" s="62" t="s">
        <v>93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1"/>
        <v>0.73818215999999992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62" t="s">
        <v>97</v>
      </c>
      <c r="C23" s="63" t="s">
        <v>53</v>
      </c>
      <c r="D23" s="62" t="s">
        <v>93</v>
      </c>
      <c r="E23" s="67">
        <v>17.64</v>
      </c>
      <c r="F23" s="65">
        <f>SUM(E23/100)</f>
        <v>0.1764</v>
      </c>
      <c r="G23" s="65">
        <v>55.1</v>
      </c>
      <c r="H23" s="66">
        <f t="shared" si="1"/>
        <v>9.7196399999999999E-3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62" t="s">
        <v>98</v>
      </c>
      <c r="C24" s="63" t="s">
        <v>53</v>
      </c>
      <c r="D24" s="62" t="s">
        <v>99</v>
      </c>
      <c r="E24" s="64">
        <v>7.2</v>
      </c>
      <c r="F24" s="65">
        <f>E24/100</f>
        <v>7.2000000000000008E-2</v>
      </c>
      <c r="G24" s="65">
        <v>484.94</v>
      </c>
      <c r="H24" s="66">
        <f t="shared" si="1"/>
        <v>3.4915680000000004E-2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62" t="s">
        <v>100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1"/>
        <v>2.5412939999999998E-2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62" t="s">
        <v>101</v>
      </c>
      <c r="C26" s="63" t="s">
        <v>53</v>
      </c>
      <c r="D26" s="62" t="s">
        <v>93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1"/>
        <v>7.387740000000001E-2</v>
      </c>
      <c r="I26" s="13">
        <v>0</v>
      </c>
      <c r="J26" s="23"/>
      <c r="K26" s="8"/>
      <c r="L26" s="8"/>
      <c r="M26" s="8"/>
    </row>
    <row r="27" spans="1:13" ht="15.75" customHeight="1">
      <c r="A27" s="30">
        <v>6</v>
      </c>
      <c r="B27" s="126" t="s">
        <v>194</v>
      </c>
      <c r="C27" s="127" t="s">
        <v>25</v>
      </c>
      <c r="D27" s="126" t="s">
        <v>198</v>
      </c>
      <c r="E27" s="128">
        <v>2.91</v>
      </c>
      <c r="F27" s="117">
        <f>E27*258</f>
        <v>750.78000000000009</v>
      </c>
      <c r="G27" s="117">
        <v>10.39</v>
      </c>
      <c r="H27" s="66">
        <f>SUM(F27*G27/1000)</f>
        <v>7.8006042000000013</v>
      </c>
      <c r="I27" s="13">
        <f>F27/12*G27</f>
        <v>650.05035000000009</v>
      </c>
      <c r="J27" s="23"/>
      <c r="K27" s="8"/>
    </row>
    <row r="28" spans="1:13" ht="15.75" customHeight="1">
      <c r="A28" s="148" t="s">
        <v>82</v>
      </c>
      <c r="B28" s="149"/>
      <c r="C28" s="149"/>
      <c r="D28" s="149"/>
      <c r="E28" s="149"/>
      <c r="F28" s="149"/>
      <c r="G28" s="149"/>
      <c r="H28" s="149"/>
      <c r="I28" s="150"/>
      <c r="J28" s="24"/>
    </row>
    <row r="29" spans="1:13" ht="15.75" customHeight="1">
      <c r="A29" s="30"/>
      <c r="B29" s="82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customHeight="1">
      <c r="A30" s="30">
        <v>7</v>
      </c>
      <c r="B30" s="62" t="s">
        <v>104</v>
      </c>
      <c r="C30" s="63" t="s">
        <v>87</v>
      </c>
      <c r="D30" s="62" t="s">
        <v>196</v>
      </c>
      <c r="E30" s="65">
        <v>61.5</v>
      </c>
      <c r="F30" s="65">
        <f>SUM(E30*52/1000)</f>
        <v>3.198</v>
      </c>
      <c r="G30" s="65">
        <v>193.97</v>
      </c>
      <c r="H30" s="66">
        <f t="shared" ref="H30:H31" si="2">SUM(F30*G30/1000)</f>
        <v>0.62031605999999995</v>
      </c>
      <c r="I30" s="13">
        <f t="shared" ref="I30:I31" si="3">F30/6*G30</f>
        <v>103.38601</v>
      </c>
      <c r="J30" s="23"/>
      <c r="K30" s="8"/>
      <c r="L30" s="8"/>
      <c r="M30" s="8"/>
    </row>
    <row r="31" spans="1:13" ht="31.5" customHeight="1">
      <c r="A31" s="30">
        <v>8</v>
      </c>
      <c r="B31" s="62" t="s">
        <v>103</v>
      </c>
      <c r="C31" s="63" t="s">
        <v>87</v>
      </c>
      <c r="D31" s="62" t="s">
        <v>195</v>
      </c>
      <c r="E31" s="65">
        <v>35.299999999999997</v>
      </c>
      <c r="F31" s="65">
        <f>SUM(E31*78/1000)</f>
        <v>2.7533999999999996</v>
      </c>
      <c r="G31" s="65">
        <v>321.82</v>
      </c>
      <c r="H31" s="66">
        <f t="shared" si="2"/>
        <v>0.88609918799999987</v>
      </c>
      <c r="I31" s="13">
        <f t="shared" si="3"/>
        <v>147.68319799999998</v>
      </c>
      <c r="J31" s="23"/>
      <c r="K31" s="8"/>
      <c r="L31" s="8"/>
      <c r="M31" s="8"/>
    </row>
    <row r="32" spans="1:13" ht="15.75" hidden="1" customHeight="1">
      <c r="A32" s="30"/>
      <c r="B32" s="62" t="s">
        <v>27</v>
      </c>
      <c r="C32" s="63" t="s">
        <v>87</v>
      </c>
      <c r="D32" s="62" t="s">
        <v>54</v>
      </c>
      <c r="E32" s="65">
        <v>61.5</v>
      </c>
      <c r="F32" s="65">
        <f>SUM(E32/1000)</f>
        <v>6.1499999999999999E-2</v>
      </c>
      <c r="G32" s="65">
        <v>3758.28</v>
      </c>
      <c r="H32" s="66">
        <f t="shared" ref="H32:H34" si="4">SUM(F32*G32/1000)</f>
        <v>0.23113422</v>
      </c>
      <c r="I32" s="13">
        <f>F32*G32</f>
        <v>231.13422</v>
      </c>
      <c r="J32" s="23"/>
      <c r="K32" s="8"/>
      <c r="L32" s="8"/>
      <c r="M32" s="8"/>
    </row>
    <row r="33" spans="1:14" ht="15.75" hidden="1" customHeight="1">
      <c r="A33" s="30"/>
      <c r="B33" s="62" t="s">
        <v>65</v>
      </c>
      <c r="C33" s="63" t="s">
        <v>33</v>
      </c>
      <c r="D33" s="62" t="s">
        <v>67</v>
      </c>
      <c r="E33" s="64"/>
      <c r="F33" s="65">
        <v>1</v>
      </c>
      <c r="G33" s="65">
        <v>238.07</v>
      </c>
      <c r="H33" s="66">
        <f t="shared" si="4"/>
        <v>0.23807</v>
      </c>
      <c r="I33" s="13">
        <v>0</v>
      </c>
      <c r="J33" s="24"/>
    </row>
    <row r="34" spans="1:14" ht="15.75" hidden="1" customHeight="1">
      <c r="A34" s="30"/>
      <c r="B34" s="62" t="s">
        <v>66</v>
      </c>
      <c r="C34" s="63" t="s">
        <v>32</v>
      </c>
      <c r="D34" s="62" t="s">
        <v>67</v>
      </c>
      <c r="E34" s="64"/>
      <c r="F34" s="65">
        <v>1</v>
      </c>
      <c r="G34" s="65">
        <v>1413.96</v>
      </c>
      <c r="H34" s="66">
        <f t="shared" si="4"/>
        <v>1.4139600000000001</v>
      </c>
      <c r="I34" s="13">
        <v>0</v>
      </c>
      <c r="J34" s="24"/>
    </row>
    <row r="35" spans="1:14" ht="15.75" hidden="1" customHeight="1">
      <c r="A35" s="30"/>
      <c r="B35" s="82" t="s">
        <v>5</v>
      </c>
      <c r="C35" s="63"/>
      <c r="D35" s="62"/>
      <c r="E35" s="64"/>
      <c r="F35" s="65"/>
      <c r="G35" s="65"/>
      <c r="H35" s="66" t="s">
        <v>118</v>
      </c>
      <c r="I35" s="13"/>
      <c r="J35" s="24"/>
      <c r="L35" s="19"/>
      <c r="M35" s="20"/>
      <c r="N35" s="21"/>
    </row>
    <row r="36" spans="1:14" ht="15.75" hidden="1" customHeight="1">
      <c r="A36" s="30"/>
      <c r="B36" s="62" t="s">
        <v>26</v>
      </c>
      <c r="C36" s="63" t="s">
        <v>32</v>
      </c>
      <c r="D36" s="62"/>
      <c r="E36" s="64"/>
      <c r="F36" s="65">
        <v>3</v>
      </c>
      <c r="G36" s="65">
        <v>1900.37</v>
      </c>
      <c r="H36" s="66">
        <f t="shared" ref="H36:H41" si="5">SUM(F36*G36/1000)</f>
        <v>5.7011099999999999</v>
      </c>
      <c r="I36" s="13">
        <f t="shared" ref="I36:I41" si="6">F36/6*G36</f>
        <v>950.18499999999995</v>
      </c>
      <c r="J36" s="24"/>
      <c r="L36" s="19"/>
      <c r="M36" s="20"/>
      <c r="N36" s="21"/>
    </row>
    <row r="37" spans="1:14" ht="31.5" hidden="1" customHeight="1">
      <c r="A37" s="30"/>
      <c r="B37" s="62" t="s">
        <v>119</v>
      </c>
      <c r="C37" s="63" t="s">
        <v>29</v>
      </c>
      <c r="D37" s="62" t="s">
        <v>85</v>
      </c>
      <c r="E37" s="64">
        <v>35.299999999999997</v>
      </c>
      <c r="F37" s="65">
        <f>E37*30/1000</f>
        <v>1.0589999999999999</v>
      </c>
      <c r="G37" s="65">
        <v>2616.4899999999998</v>
      </c>
      <c r="H37" s="66">
        <f t="shared" si="5"/>
        <v>2.77086291</v>
      </c>
      <c r="I37" s="13">
        <f t="shared" si="6"/>
        <v>461.81048499999991</v>
      </c>
      <c r="J37" s="24"/>
      <c r="L37" s="19"/>
      <c r="M37" s="20"/>
      <c r="N37" s="21"/>
    </row>
    <row r="38" spans="1:14" ht="15.75" hidden="1" customHeight="1">
      <c r="A38" s="30"/>
      <c r="B38" s="62" t="s">
        <v>120</v>
      </c>
      <c r="C38" s="63" t="s">
        <v>29</v>
      </c>
      <c r="D38" s="62" t="s">
        <v>86</v>
      </c>
      <c r="E38" s="64">
        <v>35.299999999999997</v>
      </c>
      <c r="F38" s="65">
        <f>SUM(E38*155/1000)</f>
        <v>5.4714999999999998</v>
      </c>
      <c r="G38" s="65">
        <v>436.45</v>
      </c>
      <c r="H38" s="66">
        <f t="shared" si="5"/>
        <v>2.3880361749999999</v>
      </c>
      <c r="I38" s="13">
        <f t="shared" si="6"/>
        <v>398.00602916666662</v>
      </c>
      <c r="J38" s="24"/>
      <c r="L38" s="19"/>
      <c r="M38" s="20"/>
      <c r="N38" s="21"/>
    </row>
    <row r="39" spans="1:14" ht="47.25" hidden="1" customHeight="1">
      <c r="A39" s="30"/>
      <c r="B39" s="62" t="s">
        <v>121</v>
      </c>
      <c r="C39" s="63" t="s">
        <v>87</v>
      </c>
      <c r="D39" s="62" t="s">
        <v>122</v>
      </c>
      <c r="E39" s="64">
        <v>35.299999999999997</v>
      </c>
      <c r="F39" s="65">
        <f>SUM(E39*24/1000)</f>
        <v>0.84719999999999995</v>
      </c>
      <c r="G39" s="65">
        <v>7221.21</v>
      </c>
      <c r="H39" s="66">
        <f t="shared" si="5"/>
        <v>6.1178091119999998</v>
      </c>
      <c r="I39" s="13">
        <f t="shared" si="6"/>
        <v>1019.6348519999999</v>
      </c>
      <c r="J39" s="24"/>
      <c r="L39" s="19"/>
      <c r="M39" s="20"/>
      <c r="N39" s="21"/>
    </row>
    <row r="40" spans="1:14" ht="15.75" hidden="1" customHeight="1">
      <c r="A40" s="30"/>
      <c r="B40" s="62" t="s">
        <v>123</v>
      </c>
      <c r="C40" s="63" t="s">
        <v>87</v>
      </c>
      <c r="D40" s="62" t="s">
        <v>68</v>
      </c>
      <c r="E40" s="64">
        <v>35.299999999999997</v>
      </c>
      <c r="F40" s="65">
        <f>SUM(E40*45/1000)</f>
        <v>1.5884999999999998</v>
      </c>
      <c r="G40" s="65">
        <v>533.45000000000005</v>
      </c>
      <c r="H40" s="66">
        <f t="shared" si="5"/>
        <v>0.84738532499999997</v>
      </c>
      <c r="I40" s="13">
        <f t="shared" si="6"/>
        <v>141.23088749999999</v>
      </c>
      <c r="J40" s="24"/>
      <c r="L40" s="19"/>
      <c r="M40" s="20"/>
      <c r="N40" s="21"/>
    </row>
    <row r="41" spans="1:14" ht="15.75" hidden="1" customHeight="1">
      <c r="A41" s="30"/>
      <c r="B41" s="62" t="s">
        <v>69</v>
      </c>
      <c r="C41" s="63" t="s">
        <v>33</v>
      </c>
      <c r="D41" s="62"/>
      <c r="E41" s="64"/>
      <c r="F41" s="65">
        <v>0.3</v>
      </c>
      <c r="G41" s="65">
        <v>992.97</v>
      </c>
      <c r="H41" s="66">
        <f t="shared" si="5"/>
        <v>0.29789100000000002</v>
      </c>
      <c r="I41" s="13">
        <f t="shared" si="6"/>
        <v>49.648499999999999</v>
      </c>
      <c r="J41" s="24"/>
      <c r="L41" s="19"/>
      <c r="M41" s="20"/>
      <c r="N41" s="21"/>
    </row>
    <row r="42" spans="1:14" ht="15.75" customHeight="1">
      <c r="A42" s="148" t="s">
        <v>139</v>
      </c>
      <c r="B42" s="149"/>
      <c r="C42" s="149"/>
      <c r="D42" s="149"/>
      <c r="E42" s="149"/>
      <c r="F42" s="149"/>
      <c r="G42" s="149"/>
      <c r="H42" s="149"/>
      <c r="I42" s="150"/>
      <c r="J42" s="24"/>
      <c r="L42" s="19"/>
      <c r="M42" s="20"/>
      <c r="N42" s="21"/>
    </row>
    <row r="43" spans="1:14" ht="15.75" customHeight="1">
      <c r="A43" s="30">
        <v>9</v>
      </c>
      <c r="B43" s="62" t="s">
        <v>105</v>
      </c>
      <c r="C43" s="63" t="s">
        <v>87</v>
      </c>
      <c r="D43" s="62" t="s">
        <v>176</v>
      </c>
      <c r="E43" s="64">
        <v>907.4</v>
      </c>
      <c r="F43" s="65">
        <f>SUM(E43*2/1000)</f>
        <v>1.8148</v>
      </c>
      <c r="G43" s="13">
        <v>1283.46</v>
      </c>
      <c r="H43" s="66">
        <f t="shared" ref="H43:H52" si="7">SUM(F43*G43/1000)</f>
        <v>2.3292232079999997</v>
      </c>
      <c r="I43" s="13">
        <f>F43/2*G43</f>
        <v>1164.6116039999999</v>
      </c>
      <c r="J43" s="24"/>
      <c r="L43" s="19"/>
      <c r="M43" s="20"/>
      <c r="N43" s="21"/>
    </row>
    <row r="44" spans="1:14" ht="15.75" customHeight="1">
      <c r="A44" s="30">
        <v>10</v>
      </c>
      <c r="B44" s="62" t="s">
        <v>36</v>
      </c>
      <c r="C44" s="63" t="s">
        <v>87</v>
      </c>
      <c r="D44" s="62" t="s">
        <v>176</v>
      </c>
      <c r="E44" s="64">
        <v>27</v>
      </c>
      <c r="F44" s="65">
        <f>SUM(E44*2/1000)</f>
        <v>5.3999999999999999E-2</v>
      </c>
      <c r="G44" s="13">
        <v>4192.6400000000003</v>
      </c>
      <c r="H44" s="66">
        <f t="shared" si="7"/>
        <v>0.22640256000000003</v>
      </c>
      <c r="I44" s="13">
        <f t="shared" ref="I44:I51" si="8">F44/2*G44</f>
        <v>113.20128000000001</v>
      </c>
      <c r="J44" s="24"/>
      <c r="L44" s="19"/>
      <c r="M44" s="20"/>
      <c r="N44" s="21"/>
    </row>
    <row r="45" spans="1:14" ht="15.75" customHeight="1">
      <c r="A45" s="30">
        <v>11</v>
      </c>
      <c r="B45" s="62" t="s">
        <v>37</v>
      </c>
      <c r="C45" s="63" t="s">
        <v>87</v>
      </c>
      <c r="D45" s="62" t="s">
        <v>176</v>
      </c>
      <c r="E45" s="64">
        <v>772</v>
      </c>
      <c r="F45" s="65">
        <f>SUM(E45*2/1000)</f>
        <v>1.544</v>
      </c>
      <c r="G45" s="13">
        <v>1711.28</v>
      </c>
      <c r="H45" s="66">
        <f t="shared" si="7"/>
        <v>2.6422163200000002</v>
      </c>
      <c r="I45" s="13">
        <f t="shared" si="8"/>
        <v>1321.10816</v>
      </c>
      <c r="J45" s="24"/>
      <c r="L45" s="19"/>
      <c r="M45" s="20"/>
      <c r="N45" s="21"/>
    </row>
    <row r="46" spans="1:14" ht="15.75" customHeight="1">
      <c r="A46" s="30">
        <v>12</v>
      </c>
      <c r="B46" s="62" t="s">
        <v>38</v>
      </c>
      <c r="C46" s="63" t="s">
        <v>87</v>
      </c>
      <c r="D46" s="62" t="s">
        <v>176</v>
      </c>
      <c r="E46" s="64">
        <v>959.4</v>
      </c>
      <c r="F46" s="65">
        <f>SUM(E46*2/1000)</f>
        <v>1.9188000000000001</v>
      </c>
      <c r="G46" s="13">
        <v>1179.73</v>
      </c>
      <c r="H46" s="66">
        <f t="shared" si="7"/>
        <v>2.2636659240000001</v>
      </c>
      <c r="I46" s="13">
        <f t="shared" si="8"/>
        <v>1131.832962</v>
      </c>
      <c r="J46" s="24"/>
      <c r="L46" s="19"/>
      <c r="M46" s="20"/>
      <c r="N46" s="21"/>
    </row>
    <row r="47" spans="1:14" ht="15.75" customHeight="1">
      <c r="A47" s="30">
        <v>15</v>
      </c>
      <c r="B47" s="62" t="s">
        <v>34</v>
      </c>
      <c r="C47" s="63" t="s">
        <v>35</v>
      </c>
      <c r="D47" s="62" t="s">
        <v>176</v>
      </c>
      <c r="E47" s="64">
        <v>66.02</v>
      </c>
      <c r="F47" s="65">
        <f>SUM(E47*2/100)</f>
        <v>1.3204</v>
      </c>
      <c r="G47" s="13">
        <v>90.61</v>
      </c>
      <c r="H47" s="66">
        <f t="shared" si="7"/>
        <v>0.11964144400000001</v>
      </c>
      <c r="I47" s="13">
        <f t="shared" si="8"/>
        <v>59.820722000000004</v>
      </c>
      <c r="J47" s="24"/>
      <c r="L47" s="19"/>
      <c r="M47" s="20"/>
      <c r="N47" s="21"/>
    </row>
    <row r="48" spans="1:14" ht="15.75" customHeight="1">
      <c r="A48" s="30">
        <v>14</v>
      </c>
      <c r="B48" s="62" t="s">
        <v>57</v>
      </c>
      <c r="C48" s="63" t="s">
        <v>87</v>
      </c>
      <c r="D48" s="62" t="s">
        <v>176</v>
      </c>
      <c r="E48" s="64">
        <v>1536.4</v>
      </c>
      <c r="F48" s="65">
        <f>SUM(E48*5/1000)</f>
        <v>7.6820000000000004</v>
      </c>
      <c r="G48" s="13">
        <v>1711.28</v>
      </c>
      <c r="H48" s="66">
        <f t="shared" si="7"/>
        <v>13.14605296</v>
      </c>
      <c r="I48" s="13">
        <f>F48/5*G48</f>
        <v>2629.2105919999999</v>
      </c>
      <c r="J48" s="24"/>
      <c r="L48" s="19"/>
      <c r="M48" s="20"/>
      <c r="N48" s="21"/>
    </row>
    <row r="49" spans="1:22" ht="32.25" customHeight="1">
      <c r="A49" s="30">
        <v>15</v>
      </c>
      <c r="B49" s="62" t="s">
        <v>88</v>
      </c>
      <c r="C49" s="63" t="s">
        <v>87</v>
      </c>
      <c r="D49" s="62" t="s">
        <v>176</v>
      </c>
      <c r="E49" s="64">
        <v>1536.4</v>
      </c>
      <c r="F49" s="65">
        <f>SUM(E49*2/1000)</f>
        <v>3.0728</v>
      </c>
      <c r="G49" s="13">
        <v>1510.06</v>
      </c>
      <c r="H49" s="66">
        <f t="shared" si="7"/>
        <v>4.6401123680000005</v>
      </c>
      <c r="I49" s="13">
        <f t="shared" si="8"/>
        <v>2320.056184</v>
      </c>
      <c r="J49" s="24"/>
      <c r="L49" s="19"/>
      <c r="M49" s="20"/>
      <c r="N49" s="21"/>
    </row>
    <row r="50" spans="1:22" ht="32.25" customHeight="1">
      <c r="A50" s="30">
        <v>16</v>
      </c>
      <c r="B50" s="62" t="s">
        <v>89</v>
      </c>
      <c r="C50" s="63" t="s">
        <v>39</v>
      </c>
      <c r="D50" s="62" t="s">
        <v>176</v>
      </c>
      <c r="E50" s="64">
        <v>9</v>
      </c>
      <c r="F50" s="65">
        <f>SUM(E50*2/100)</f>
        <v>0.18</v>
      </c>
      <c r="G50" s="13">
        <v>3850.4</v>
      </c>
      <c r="H50" s="66">
        <f t="shared" si="7"/>
        <v>0.69307200000000002</v>
      </c>
      <c r="I50" s="13">
        <f t="shared" si="8"/>
        <v>346.536</v>
      </c>
      <c r="J50" s="24"/>
      <c r="L50" s="19"/>
      <c r="M50" s="20"/>
      <c r="N50" s="21"/>
    </row>
    <row r="51" spans="1:22" ht="15.75" customHeight="1">
      <c r="A51" s="30">
        <v>17</v>
      </c>
      <c r="B51" s="62" t="s">
        <v>40</v>
      </c>
      <c r="C51" s="63" t="s">
        <v>41</v>
      </c>
      <c r="D51" s="62" t="s">
        <v>176</v>
      </c>
      <c r="E51" s="64">
        <v>1</v>
      </c>
      <c r="F51" s="65">
        <v>0.02</v>
      </c>
      <c r="G51" s="13">
        <v>7033.13</v>
      </c>
      <c r="H51" s="66">
        <f t="shared" si="7"/>
        <v>0.1406626</v>
      </c>
      <c r="I51" s="13">
        <f t="shared" si="8"/>
        <v>70.331299999999999</v>
      </c>
      <c r="J51" s="24"/>
      <c r="L51" s="19"/>
      <c r="M51" s="20"/>
      <c r="N51" s="21"/>
    </row>
    <row r="52" spans="1:22" ht="15.75" hidden="1" customHeight="1">
      <c r="A52" s="30">
        <v>17</v>
      </c>
      <c r="B52" s="62" t="s">
        <v>42</v>
      </c>
      <c r="C52" s="63" t="s">
        <v>106</v>
      </c>
      <c r="D52" s="62" t="s">
        <v>70</v>
      </c>
      <c r="E52" s="64">
        <v>53</v>
      </c>
      <c r="F52" s="65">
        <f>53*3</f>
        <v>159</v>
      </c>
      <c r="G52" s="13">
        <v>81.73</v>
      </c>
      <c r="H52" s="66">
        <f t="shared" si="7"/>
        <v>12.995070000000002</v>
      </c>
      <c r="I52" s="13">
        <f>F52/3*G52</f>
        <v>4331.6900000000005</v>
      </c>
      <c r="J52" s="24"/>
      <c r="L52" s="19"/>
    </row>
    <row r="53" spans="1:22" ht="15.75" customHeight="1">
      <c r="A53" s="148" t="s">
        <v>140</v>
      </c>
      <c r="B53" s="149"/>
      <c r="C53" s="149"/>
      <c r="D53" s="149"/>
      <c r="E53" s="149"/>
      <c r="F53" s="149"/>
      <c r="G53" s="149"/>
      <c r="H53" s="149"/>
      <c r="I53" s="150"/>
    </row>
    <row r="54" spans="1:22" ht="15.75" hidden="1" customHeight="1">
      <c r="A54" s="30"/>
      <c r="B54" s="82" t="s">
        <v>44</v>
      </c>
      <c r="C54" s="63"/>
      <c r="D54" s="62"/>
      <c r="E54" s="64"/>
      <c r="F54" s="65"/>
      <c r="G54" s="65"/>
      <c r="H54" s="66"/>
      <c r="I54" s="13"/>
    </row>
    <row r="55" spans="1:22" ht="31.5" hidden="1" customHeight="1">
      <c r="A55" s="30"/>
      <c r="B55" s="62" t="s">
        <v>107</v>
      </c>
      <c r="C55" s="63" t="s">
        <v>84</v>
      </c>
      <c r="D55" s="62" t="s">
        <v>108</v>
      </c>
      <c r="E55" s="64">
        <v>11.5</v>
      </c>
      <c r="F55" s="65">
        <f>SUM(E55*6/100)</f>
        <v>0.69</v>
      </c>
      <c r="G55" s="13">
        <v>2306.62</v>
      </c>
      <c r="H55" s="66">
        <f>SUM(F55*G55/1000)</f>
        <v>1.5915677999999998</v>
      </c>
      <c r="I55" s="13">
        <v>0</v>
      </c>
    </row>
    <row r="56" spans="1:22" ht="15.75" hidden="1" customHeight="1">
      <c r="A56" s="30"/>
      <c r="B56" s="62" t="s">
        <v>124</v>
      </c>
      <c r="C56" s="63" t="s">
        <v>125</v>
      </c>
      <c r="D56" s="62" t="s">
        <v>67</v>
      </c>
      <c r="E56" s="64"/>
      <c r="F56" s="65">
        <v>2</v>
      </c>
      <c r="G56" s="85">
        <v>1501</v>
      </c>
      <c r="H56" s="66">
        <f>SUM(F56*G56/1000)</f>
        <v>3.0019999999999998</v>
      </c>
      <c r="I56" s="13">
        <v>0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9"/>
    </row>
    <row r="57" spans="1:22" ht="15.75" customHeight="1">
      <c r="A57" s="30"/>
      <c r="B57" s="82" t="s">
        <v>45</v>
      </c>
      <c r="C57" s="63"/>
      <c r="D57" s="62"/>
      <c r="E57" s="64"/>
      <c r="F57" s="65"/>
      <c r="G57" s="86"/>
      <c r="H57" s="66"/>
      <c r="I57" s="13"/>
      <c r="J57" s="26"/>
      <c r="K57" s="26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2" ht="15.75" hidden="1" customHeight="1">
      <c r="A58" s="30"/>
      <c r="B58" s="62" t="s">
        <v>109</v>
      </c>
      <c r="C58" s="63" t="s">
        <v>84</v>
      </c>
      <c r="D58" s="62" t="s">
        <v>54</v>
      </c>
      <c r="E58" s="64">
        <v>148</v>
      </c>
      <c r="F58" s="66">
        <f>E58/100</f>
        <v>1.48</v>
      </c>
      <c r="G58" s="13">
        <v>987.51</v>
      </c>
      <c r="H58" s="71">
        <f>F58*G58/1000</f>
        <v>1.4615148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S58" s="3"/>
      <c r="T58" s="3"/>
      <c r="U58" s="3"/>
    </row>
    <row r="59" spans="1:22" ht="15.75" customHeight="1">
      <c r="A59" s="30">
        <v>18</v>
      </c>
      <c r="B59" s="73" t="s">
        <v>135</v>
      </c>
      <c r="C59" s="72" t="s">
        <v>25</v>
      </c>
      <c r="D59" s="73" t="s">
        <v>176</v>
      </c>
      <c r="E59" s="74">
        <v>140.5</v>
      </c>
      <c r="F59" s="65">
        <v>1320</v>
      </c>
      <c r="G59" s="87">
        <v>1.4</v>
      </c>
      <c r="H59" s="71">
        <f>F59*G59/1000</f>
        <v>1.8479999999999999</v>
      </c>
      <c r="I59" s="13">
        <f>F59/12*G59</f>
        <v>154</v>
      </c>
      <c r="J59" s="5"/>
      <c r="K59" s="5"/>
      <c r="L59" s="5"/>
      <c r="M59" s="5"/>
      <c r="N59" s="5"/>
      <c r="O59" s="5"/>
      <c r="P59" s="5"/>
      <c r="Q59" s="5"/>
      <c r="R59" s="141"/>
      <c r="S59" s="141"/>
      <c r="T59" s="141"/>
      <c r="U59" s="141"/>
    </row>
    <row r="60" spans="1:22" ht="15.75" customHeight="1">
      <c r="A60" s="30"/>
      <c r="B60" s="83" t="s">
        <v>46</v>
      </c>
      <c r="C60" s="72"/>
      <c r="D60" s="73"/>
      <c r="E60" s="74"/>
      <c r="F60" s="75"/>
      <c r="G60" s="75"/>
      <c r="H60" s="76" t="s">
        <v>118</v>
      </c>
      <c r="I60" s="13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2" ht="15.75" hidden="1" customHeight="1">
      <c r="A61" s="30">
        <v>19</v>
      </c>
      <c r="B61" s="14" t="s">
        <v>47</v>
      </c>
      <c r="C61" s="16" t="s">
        <v>106</v>
      </c>
      <c r="D61" s="14" t="s">
        <v>67</v>
      </c>
      <c r="E61" s="18">
        <v>2</v>
      </c>
      <c r="F61" s="65">
        <f>E61</f>
        <v>2</v>
      </c>
      <c r="G61" s="13">
        <v>276.74</v>
      </c>
      <c r="H61" s="61">
        <f t="shared" ref="H61:H77" si="9">SUM(F61*G61/1000)</f>
        <v>0.55347999999999997</v>
      </c>
      <c r="I61" s="13">
        <f>G61*2</f>
        <v>553.48</v>
      </c>
    </row>
    <row r="62" spans="1:22" ht="15.75" hidden="1" customHeight="1">
      <c r="A62" s="30"/>
      <c r="B62" s="14" t="s">
        <v>48</v>
      </c>
      <c r="C62" s="16" t="s">
        <v>106</v>
      </c>
      <c r="D62" s="14" t="s">
        <v>67</v>
      </c>
      <c r="E62" s="18">
        <v>1</v>
      </c>
      <c r="F62" s="65">
        <f>E62</f>
        <v>1</v>
      </c>
      <c r="G62" s="13">
        <v>94.89</v>
      </c>
      <c r="H62" s="61">
        <f t="shared" si="9"/>
        <v>9.4890000000000002E-2</v>
      </c>
      <c r="I62" s="13">
        <v>0</v>
      </c>
    </row>
    <row r="63" spans="1:22" ht="15.75" hidden="1" customHeight="1">
      <c r="A63" s="30"/>
      <c r="B63" s="14" t="s">
        <v>49</v>
      </c>
      <c r="C63" s="16" t="s">
        <v>110</v>
      </c>
      <c r="D63" s="14" t="s">
        <v>54</v>
      </c>
      <c r="E63" s="64">
        <v>6307</v>
      </c>
      <c r="F63" s="13">
        <f>SUM(E63/100)</f>
        <v>63.07</v>
      </c>
      <c r="G63" s="13">
        <v>263.99</v>
      </c>
      <c r="H63" s="61">
        <f t="shared" si="9"/>
        <v>16.649849300000003</v>
      </c>
      <c r="I63" s="13">
        <v>0</v>
      </c>
    </row>
    <row r="64" spans="1:22" ht="15.75" hidden="1" customHeight="1">
      <c r="A64" s="30"/>
      <c r="B64" s="14" t="s">
        <v>50</v>
      </c>
      <c r="C64" s="16" t="s">
        <v>111</v>
      </c>
      <c r="D64" s="14"/>
      <c r="E64" s="64">
        <v>6307</v>
      </c>
      <c r="F64" s="13">
        <f>SUM(E64/1000)</f>
        <v>6.3070000000000004</v>
      </c>
      <c r="G64" s="13">
        <v>205.57</v>
      </c>
      <c r="H64" s="61">
        <f t="shared" si="9"/>
        <v>1.29652999</v>
      </c>
      <c r="I64" s="13">
        <v>0</v>
      </c>
    </row>
    <row r="65" spans="1:9" ht="15.75" hidden="1" customHeight="1">
      <c r="A65" s="30"/>
      <c r="B65" s="14" t="s">
        <v>51</v>
      </c>
      <c r="C65" s="16" t="s">
        <v>76</v>
      </c>
      <c r="D65" s="14" t="s">
        <v>54</v>
      </c>
      <c r="E65" s="64">
        <v>1003</v>
      </c>
      <c r="F65" s="13">
        <f>SUM(E65/100)</f>
        <v>10.029999999999999</v>
      </c>
      <c r="G65" s="13">
        <v>2581.5300000000002</v>
      </c>
      <c r="H65" s="61">
        <f t="shared" si="9"/>
        <v>25.892745900000001</v>
      </c>
      <c r="I65" s="13">
        <v>0</v>
      </c>
    </row>
    <row r="66" spans="1:9" ht="15.75" hidden="1" customHeight="1">
      <c r="A66" s="30"/>
      <c r="B66" s="77" t="s">
        <v>112</v>
      </c>
      <c r="C66" s="16" t="s">
        <v>33</v>
      </c>
      <c r="D66" s="14"/>
      <c r="E66" s="64">
        <v>6.6</v>
      </c>
      <c r="F66" s="13">
        <f>SUM(E66)</f>
        <v>6.6</v>
      </c>
      <c r="G66" s="13">
        <v>47.75</v>
      </c>
      <c r="H66" s="61">
        <f t="shared" si="9"/>
        <v>0.31514999999999999</v>
      </c>
      <c r="I66" s="13">
        <v>0</v>
      </c>
    </row>
    <row r="67" spans="1:9" ht="15.75" hidden="1" customHeight="1">
      <c r="A67" s="30"/>
      <c r="B67" s="77" t="s">
        <v>113</v>
      </c>
      <c r="C67" s="16" t="s">
        <v>33</v>
      </c>
      <c r="D67" s="14"/>
      <c r="E67" s="64">
        <v>6.6</v>
      </c>
      <c r="F67" s="13">
        <f>SUM(E67)</f>
        <v>6.6</v>
      </c>
      <c r="G67" s="13">
        <v>44.27</v>
      </c>
      <c r="H67" s="61">
        <f t="shared" si="9"/>
        <v>0.292182</v>
      </c>
      <c r="I67" s="13">
        <v>0</v>
      </c>
    </row>
    <row r="68" spans="1:9" ht="15.75" customHeight="1">
      <c r="A68" s="30">
        <v>19</v>
      </c>
      <c r="B68" s="14" t="s">
        <v>58</v>
      </c>
      <c r="C68" s="16" t="s">
        <v>59</v>
      </c>
      <c r="D68" s="14" t="s">
        <v>203</v>
      </c>
      <c r="E68" s="18">
        <v>3</v>
      </c>
      <c r="F68" s="65">
        <v>3</v>
      </c>
      <c r="G68" s="13">
        <v>62.07</v>
      </c>
      <c r="H68" s="61">
        <f t="shared" si="9"/>
        <v>0.18621000000000001</v>
      </c>
      <c r="I68" s="13">
        <f>F68*G68</f>
        <v>186.21</v>
      </c>
    </row>
    <row r="69" spans="1:9" ht="15.75" customHeight="1">
      <c r="A69" s="30">
        <v>20</v>
      </c>
      <c r="B69" s="14" t="s">
        <v>126</v>
      </c>
      <c r="C69" s="30" t="s">
        <v>127</v>
      </c>
      <c r="D69" s="14"/>
      <c r="E69" s="18">
        <v>1536.4</v>
      </c>
      <c r="F69" s="56">
        <f>E69*12</f>
        <v>18436.800000000003</v>
      </c>
      <c r="G69" s="13">
        <v>2.16</v>
      </c>
      <c r="H69" s="61">
        <f t="shared" si="9"/>
        <v>39.823488000000012</v>
      </c>
      <c r="I69" s="13">
        <f>F69/12*G69</f>
        <v>3318.6240000000007</v>
      </c>
    </row>
    <row r="70" spans="1:9" ht="15.75" customHeight="1">
      <c r="A70" s="30"/>
      <c r="B70" s="48" t="s">
        <v>71</v>
      </c>
      <c r="C70" s="16"/>
      <c r="D70" s="14"/>
      <c r="E70" s="18"/>
      <c r="F70" s="13"/>
      <c r="G70" s="13"/>
      <c r="H70" s="61" t="s">
        <v>118</v>
      </c>
      <c r="I70" s="13"/>
    </row>
    <row r="71" spans="1:9" ht="15.75" hidden="1" customHeight="1">
      <c r="A71" s="30"/>
      <c r="B71" s="14" t="s">
        <v>129</v>
      </c>
      <c r="C71" s="16" t="s">
        <v>130</v>
      </c>
      <c r="D71" s="14" t="s">
        <v>67</v>
      </c>
      <c r="E71" s="18">
        <v>1</v>
      </c>
      <c r="F71" s="13">
        <f>E71</f>
        <v>1</v>
      </c>
      <c r="G71" s="13">
        <v>976.4</v>
      </c>
      <c r="H71" s="61">
        <f t="shared" ref="H71:H72" si="10">SUM(F71*G71/1000)</f>
        <v>0.97639999999999993</v>
      </c>
      <c r="I71" s="13">
        <v>0</v>
      </c>
    </row>
    <row r="72" spans="1:9" ht="15.75" hidden="1" customHeight="1">
      <c r="A72" s="30"/>
      <c r="B72" s="14" t="s">
        <v>131</v>
      </c>
      <c r="C72" s="16" t="s">
        <v>132</v>
      </c>
      <c r="D72" s="14"/>
      <c r="E72" s="18">
        <v>1</v>
      </c>
      <c r="F72" s="13">
        <v>1</v>
      </c>
      <c r="G72" s="13">
        <v>650</v>
      </c>
      <c r="H72" s="61">
        <f t="shared" si="10"/>
        <v>0.65</v>
      </c>
      <c r="I72" s="13">
        <v>0</v>
      </c>
    </row>
    <row r="73" spans="1:9" ht="15.75" hidden="1" customHeight="1">
      <c r="A73" s="30"/>
      <c r="B73" s="14" t="s">
        <v>72</v>
      </c>
      <c r="C73" s="16" t="s">
        <v>74</v>
      </c>
      <c r="D73" s="14"/>
      <c r="E73" s="18">
        <v>3</v>
      </c>
      <c r="F73" s="13">
        <v>0.3</v>
      </c>
      <c r="G73" s="13">
        <v>624.16999999999996</v>
      </c>
      <c r="H73" s="61">
        <f t="shared" si="9"/>
        <v>0.18725099999999997</v>
      </c>
      <c r="I73" s="13">
        <v>0</v>
      </c>
    </row>
    <row r="74" spans="1:9" ht="15.75" hidden="1" customHeight="1">
      <c r="A74" s="30"/>
      <c r="B74" s="14" t="s">
        <v>73</v>
      </c>
      <c r="C74" s="16" t="s">
        <v>31</v>
      </c>
      <c r="D74" s="14"/>
      <c r="E74" s="18">
        <v>1</v>
      </c>
      <c r="F74" s="56">
        <v>1</v>
      </c>
      <c r="G74" s="13">
        <v>1061.4100000000001</v>
      </c>
      <c r="H74" s="61">
        <f>F74*G74/1000</f>
        <v>1.0614100000000002</v>
      </c>
      <c r="I74" s="13">
        <v>0</v>
      </c>
    </row>
    <row r="75" spans="1:9" ht="16.5" customHeight="1">
      <c r="A75" s="30">
        <v>21</v>
      </c>
      <c r="B75" s="46" t="s">
        <v>133</v>
      </c>
      <c r="C75" s="47" t="s">
        <v>106</v>
      </c>
      <c r="D75" s="14" t="s">
        <v>203</v>
      </c>
      <c r="E75" s="18">
        <v>1</v>
      </c>
      <c r="F75" s="13">
        <f>E75*12</f>
        <v>12</v>
      </c>
      <c r="G75" s="13">
        <v>50.69</v>
      </c>
      <c r="H75" s="61">
        <f>G75*F75/1000</f>
        <v>0.60827999999999993</v>
      </c>
      <c r="I75" s="13">
        <f>G75</f>
        <v>50.69</v>
      </c>
    </row>
    <row r="76" spans="1:9" ht="15.75" hidden="1" customHeight="1">
      <c r="A76" s="30"/>
      <c r="B76" s="79" t="s">
        <v>75</v>
      </c>
      <c r="C76" s="16"/>
      <c r="D76" s="14"/>
      <c r="E76" s="18"/>
      <c r="F76" s="13"/>
      <c r="G76" s="13" t="s">
        <v>118</v>
      </c>
      <c r="H76" s="61" t="s">
        <v>118</v>
      </c>
      <c r="I76" s="13" t="str">
        <f>G76</f>
        <v xml:space="preserve"> </v>
      </c>
    </row>
    <row r="77" spans="1:9" ht="15.75" hidden="1" customHeight="1">
      <c r="A77" s="30"/>
      <c r="B77" s="43" t="s">
        <v>134</v>
      </c>
      <c r="C77" s="16" t="s">
        <v>76</v>
      </c>
      <c r="D77" s="14"/>
      <c r="E77" s="18"/>
      <c r="F77" s="13">
        <v>0.1</v>
      </c>
      <c r="G77" s="13">
        <v>3433.69</v>
      </c>
      <c r="H77" s="61">
        <f t="shared" si="9"/>
        <v>0.34336900000000004</v>
      </c>
      <c r="I77" s="13">
        <v>0</v>
      </c>
    </row>
    <row r="78" spans="1:9" ht="15.75" customHeight="1">
      <c r="A78" s="30"/>
      <c r="B78" s="55" t="s">
        <v>90</v>
      </c>
      <c r="C78" s="79"/>
      <c r="D78" s="31"/>
      <c r="E78" s="32"/>
      <c r="F78" s="68"/>
      <c r="G78" s="68"/>
      <c r="H78" s="80">
        <f>SUM(H55:H77)</f>
        <v>96.834317790000014</v>
      </c>
      <c r="I78" s="13"/>
    </row>
    <row r="79" spans="1:9" ht="15.75" customHeight="1">
      <c r="A79" s="30">
        <v>22</v>
      </c>
      <c r="B79" s="62" t="s">
        <v>114</v>
      </c>
      <c r="C79" s="16"/>
      <c r="D79" s="14"/>
      <c r="E79" s="57"/>
      <c r="F79" s="13">
        <v>1</v>
      </c>
      <c r="G79" s="13">
        <v>5593.4</v>
      </c>
      <c r="H79" s="61">
        <f>G79*F79/1000</f>
        <v>5.5933999999999999</v>
      </c>
      <c r="I79" s="13">
        <f>G79*1</f>
        <v>5593.4</v>
      </c>
    </row>
    <row r="80" spans="1:9" ht="15.75" customHeight="1">
      <c r="A80" s="148" t="s">
        <v>141</v>
      </c>
      <c r="B80" s="149"/>
      <c r="C80" s="149"/>
      <c r="D80" s="149"/>
      <c r="E80" s="149"/>
      <c r="F80" s="149"/>
      <c r="G80" s="149"/>
      <c r="H80" s="149"/>
      <c r="I80" s="150"/>
    </row>
    <row r="81" spans="1:9" ht="15.75" customHeight="1">
      <c r="A81" s="30">
        <v>23</v>
      </c>
      <c r="B81" s="62" t="s">
        <v>115</v>
      </c>
      <c r="C81" s="16" t="s">
        <v>55</v>
      </c>
      <c r="D81" s="81"/>
      <c r="E81" s="13">
        <v>1536.4</v>
      </c>
      <c r="F81" s="13">
        <f>SUM(E81*12)</f>
        <v>18436.800000000003</v>
      </c>
      <c r="G81" s="13">
        <v>2.95</v>
      </c>
      <c r="H81" s="61">
        <f>SUM(F81*G81/1000)</f>
        <v>54.388560000000012</v>
      </c>
      <c r="I81" s="13">
        <f>F81/12*G81</f>
        <v>4532.380000000001</v>
      </c>
    </row>
    <row r="82" spans="1:9" ht="31.5" customHeight="1">
      <c r="A82" s="30">
        <v>24</v>
      </c>
      <c r="B82" s="14" t="s">
        <v>77</v>
      </c>
      <c r="C82" s="16"/>
      <c r="D82" s="81"/>
      <c r="E82" s="64">
        <f>E81</f>
        <v>1536.4</v>
      </c>
      <c r="F82" s="13">
        <f>E82*12</f>
        <v>18436.800000000003</v>
      </c>
      <c r="G82" s="13">
        <v>3.05</v>
      </c>
      <c r="H82" s="61">
        <f>F82*G82/1000</f>
        <v>56.232240000000004</v>
      </c>
      <c r="I82" s="13">
        <f>F82/12*G82</f>
        <v>4686.0200000000004</v>
      </c>
    </row>
    <row r="83" spans="1:9" ht="15.75" customHeight="1">
      <c r="A83" s="30"/>
      <c r="B83" s="36" t="s">
        <v>79</v>
      </c>
      <c r="C83" s="79"/>
      <c r="D83" s="78"/>
      <c r="E83" s="68"/>
      <c r="F83" s="68"/>
      <c r="G83" s="68"/>
      <c r="H83" s="80">
        <f>H82</f>
        <v>56.232240000000004</v>
      </c>
      <c r="I83" s="68">
        <f>I82+I81+I75+I69+I68+I59+I51+I50+I49+I48+I47+I46+I45+I44+I43+I31+I30+I27+I21+I20+I18+I17+I16++I79</f>
        <v>34327.549208000004</v>
      </c>
    </row>
    <row r="84" spans="1:9" ht="15.75" customHeight="1">
      <c r="A84" s="134" t="s">
        <v>61</v>
      </c>
      <c r="B84" s="135"/>
      <c r="C84" s="135"/>
      <c r="D84" s="135"/>
      <c r="E84" s="135"/>
      <c r="F84" s="135"/>
      <c r="G84" s="135"/>
      <c r="H84" s="135"/>
      <c r="I84" s="136"/>
    </row>
    <row r="85" spans="1:9" ht="15.75" customHeight="1">
      <c r="A85" s="30">
        <v>25</v>
      </c>
      <c r="B85" s="111" t="s">
        <v>228</v>
      </c>
      <c r="C85" s="112" t="s">
        <v>81</v>
      </c>
      <c r="D85" s="43"/>
      <c r="E85" s="13"/>
      <c r="F85" s="13">
        <v>104</v>
      </c>
      <c r="G85" s="34">
        <v>214.07</v>
      </c>
      <c r="H85" s="13">
        <f t="shared" ref="H85:H86" si="11">G85*F85/1000</f>
        <v>22.263279999999998</v>
      </c>
      <c r="I85" s="13">
        <f>G85*2</f>
        <v>428.14</v>
      </c>
    </row>
    <row r="86" spans="1:9" ht="31.5" customHeight="1">
      <c r="A86" s="30">
        <v>26</v>
      </c>
      <c r="B86" s="111" t="s">
        <v>229</v>
      </c>
      <c r="C86" s="112" t="s">
        <v>159</v>
      </c>
      <c r="D86" s="16" t="s">
        <v>230</v>
      </c>
      <c r="E86" s="13"/>
      <c r="F86" s="13">
        <v>1</v>
      </c>
      <c r="G86" s="34">
        <v>1320</v>
      </c>
      <c r="H86" s="102">
        <f t="shared" si="11"/>
        <v>1.32</v>
      </c>
      <c r="I86" s="13">
        <f>G86*1</f>
        <v>1320</v>
      </c>
    </row>
    <row r="87" spans="1:9" ht="15.75" customHeight="1">
      <c r="A87" s="30"/>
      <c r="B87" s="41" t="s">
        <v>52</v>
      </c>
      <c r="C87" s="37"/>
      <c r="D87" s="44"/>
      <c r="E87" s="37">
        <v>1</v>
      </c>
      <c r="F87" s="37"/>
      <c r="G87" s="37"/>
      <c r="H87" s="37"/>
      <c r="I87" s="32">
        <f>SUM(I85:I86)</f>
        <v>1748.1399999999999</v>
      </c>
    </row>
    <row r="88" spans="1:9" ht="15.75" customHeight="1">
      <c r="A88" s="30"/>
      <c r="B88" s="43" t="s">
        <v>78</v>
      </c>
      <c r="C88" s="15"/>
      <c r="D88" s="15"/>
      <c r="E88" s="38"/>
      <c r="F88" s="38"/>
      <c r="G88" s="39"/>
      <c r="H88" s="39"/>
      <c r="I88" s="17">
        <v>0</v>
      </c>
    </row>
    <row r="89" spans="1:9">
      <c r="A89" s="45"/>
      <c r="B89" s="42" t="s">
        <v>157</v>
      </c>
      <c r="C89" s="33"/>
      <c r="D89" s="33"/>
      <c r="E89" s="33"/>
      <c r="F89" s="33"/>
      <c r="G89" s="33"/>
      <c r="H89" s="33"/>
      <c r="I89" s="40">
        <f>I83+I87</f>
        <v>36075.689208000003</v>
      </c>
    </row>
    <row r="90" spans="1:9" ht="15.75">
      <c r="A90" s="143" t="s">
        <v>231</v>
      </c>
      <c r="B90" s="143"/>
      <c r="C90" s="143"/>
      <c r="D90" s="143"/>
      <c r="E90" s="143"/>
      <c r="F90" s="143"/>
      <c r="G90" s="143"/>
      <c r="H90" s="143"/>
      <c r="I90" s="143"/>
    </row>
    <row r="91" spans="1:9" ht="15.75" customHeight="1">
      <c r="A91" s="54"/>
      <c r="B91" s="144" t="s">
        <v>232</v>
      </c>
      <c r="C91" s="144"/>
      <c r="D91" s="144"/>
      <c r="E91" s="144"/>
      <c r="F91" s="144"/>
      <c r="G91" s="144"/>
      <c r="H91" s="60"/>
      <c r="I91" s="3"/>
    </row>
    <row r="92" spans="1:9">
      <c r="A92" s="53"/>
      <c r="B92" s="139" t="s">
        <v>6</v>
      </c>
      <c r="C92" s="139"/>
      <c r="D92" s="139"/>
      <c r="E92" s="139"/>
      <c r="F92" s="139"/>
      <c r="G92" s="139"/>
      <c r="H92" s="25"/>
      <c r="I92" s="5"/>
    </row>
    <row r="93" spans="1:9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5.75">
      <c r="A94" s="145" t="s">
        <v>7</v>
      </c>
      <c r="B94" s="145"/>
      <c r="C94" s="145"/>
      <c r="D94" s="145"/>
      <c r="E94" s="145"/>
      <c r="F94" s="145"/>
      <c r="G94" s="145"/>
      <c r="H94" s="145"/>
      <c r="I94" s="145"/>
    </row>
    <row r="95" spans="1:9" ht="15.75" customHeight="1">
      <c r="A95" s="145" t="s">
        <v>8</v>
      </c>
      <c r="B95" s="145"/>
      <c r="C95" s="145"/>
      <c r="D95" s="145"/>
      <c r="E95" s="145"/>
      <c r="F95" s="145"/>
      <c r="G95" s="145"/>
      <c r="H95" s="145"/>
      <c r="I95" s="145"/>
    </row>
    <row r="96" spans="1:9" ht="15.75">
      <c r="A96" s="146" t="s">
        <v>62</v>
      </c>
      <c r="B96" s="146"/>
      <c r="C96" s="146"/>
      <c r="D96" s="146"/>
      <c r="E96" s="146"/>
      <c r="F96" s="146"/>
      <c r="G96" s="146"/>
      <c r="H96" s="146"/>
      <c r="I96" s="146"/>
    </row>
    <row r="97" spans="1:9" ht="15.75">
      <c r="A97" s="11"/>
    </row>
    <row r="98" spans="1:9" ht="15.75">
      <c r="A98" s="137" t="s">
        <v>9</v>
      </c>
      <c r="B98" s="137"/>
      <c r="C98" s="137"/>
      <c r="D98" s="137"/>
      <c r="E98" s="137"/>
      <c r="F98" s="137"/>
      <c r="G98" s="137"/>
      <c r="H98" s="137"/>
      <c r="I98" s="137"/>
    </row>
    <row r="99" spans="1:9" ht="15.75">
      <c r="A99" s="4"/>
    </row>
    <row r="100" spans="1:9" ht="15.75">
      <c r="B100" s="50" t="s">
        <v>10</v>
      </c>
      <c r="C100" s="138" t="s">
        <v>137</v>
      </c>
      <c r="D100" s="138"/>
      <c r="E100" s="138"/>
      <c r="F100" s="58"/>
      <c r="I100" s="52"/>
    </row>
    <row r="101" spans="1:9">
      <c r="A101" s="53"/>
      <c r="C101" s="139" t="s">
        <v>11</v>
      </c>
      <c r="D101" s="139"/>
      <c r="E101" s="139"/>
      <c r="F101" s="25"/>
      <c r="I101" s="51" t="s">
        <v>12</v>
      </c>
    </row>
    <row r="102" spans="1:9" ht="15.75">
      <c r="A102" s="26"/>
      <c r="C102" s="12"/>
      <c r="D102" s="12"/>
      <c r="G102" s="12"/>
      <c r="H102" s="12"/>
    </row>
    <row r="103" spans="1:9" ht="15.75" customHeight="1">
      <c r="B103" s="50" t="s">
        <v>13</v>
      </c>
      <c r="C103" s="140"/>
      <c r="D103" s="140"/>
      <c r="E103" s="140"/>
      <c r="F103" s="59"/>
      <c r="I103" s="52"/>
    </row>
    <row r="104" spans="1:9" ht="15.75" customHeight="1">
      <c r="A104" s="53"/>
      <c r="C104" s="141" t="s">
        <v>11</v>
      </c>
      <c r="D104" s="141"/>
      <c r="E104" s="141"/>
      <c r="F104" s="53"/>
      <c r="I104" s="51" t="s">
        <v>12</v>
      </c>
    </row>
    <row r="105" spans="1:9" ht="15.75" customHeight="1">
      <c r="A105" s="4" t="s">
        <v>14</v>
      </c>
    </row>
    <row r="106" spans="1:9">
      <c r="A106" s="142" t="s">
        <v>15</v>
      </c>
      <c r="B106" s="142"/>
      <c r="C106" s="142"/>
      <c r="D106" s="142"/>
      <c r="E106" s="142"/>
      <c r="F106" s="142"/>
      <c r="G106" s="142"/>
      <c r="H106" s="142"/>
      <c r="I106" s="142"/>
    </row>
    <row r="107" spans="1:9" ht="45" customHeight="1">
      <c r="A107" s="133" t="s">
        <v>16</v>
      </c>
      <c r="B107" s="133"/>
      <c r="C107" s="133"/>
      <c r="D107" s="133"/>
      <c r="E107" s="133"/>
      <c r="F107" s="133"/>
      <c r="G107" s="133"/>
      <c r="H107" s="133"/>
      <c r="I107" s="133"/>
    </row>
    <row r="108" spans="1:9" ht="30" customHeight="1">
      <c r="A108" s="133" t="s">
        <v>17</v>
      </c>
      <c r="B108" s="133"/>
      <c r="C108" s="133"/>
      <c r="D108" s="133"/>
      <c r="E108" s="133"/>
      <c r="F108" s="133"/>
      <c r="G108" s="133"/>
      <c r="H108" s="133"/>
      <c r="I108" s="133"/>
    </row>
    <row r="109" spans="1:9" ht="30" customHeight="1">
      <c r="A109" s="133" t="s">
        <v>21</v>
      </c>
      <c r="B109" s="133"/>
      <c r="C109" s="133"/>
      <c r="D109" s="133"/>
      <c r="E109" s="133"/>
      <c r="F109" s="133"/>
      <c r="G109" s="133"/>
      <c r="H109" s="133"/>
      <c r="I109" s="133"/>
    </row>
    <row r="110" spans="1:9" ht="15" customHeight="1">
      <c r="A110" s="133" t="s">
        <v>20</v>
      </c>
      <c r="B110" s="133"/>
      <c r="C110" s="133"/>
      <c r="D110" s="133"/>
      <c r="E110" s="133"/>
      <c r="F110" s="133"/>
      <c r="G110" s="133"/>
      <c r="H110" s="133"/>
      <c r="I110" s="133"/>
    </row>
  </sheetData>
  <autoFilter ref="I12:I54"/>
  <mergeCells count="29">
    <mergeCell ref="R59:U59"/>
    <mergeCell ref="A3:I3"/>
    <mergeCell ref="A4:I4"/>
    <mergeCell ref="A5:I5"/>
    <mergeCell ref="A8:I8"/>
    <mergeCell ref="A10:I10"/>
    <mergeCell ref="A14:I14"/>
    <mergeCell ref="A95:I95"/>
    <mergeCell ref="A96:I96"/>
    <mergeCell ref="A15:I15"/>
    <mergeCell ref="A28:I28"/>
    <mergeCell ref="A42:I42"/>
    <mergeCell ref="A84:I84"/>
    <mergeCell ref="A107:I107"/>
    <mergeCell ref="A108:I108"/>
    <mergeCell ref="A109:I109"/>
    <mergeCell ref="A110:I110"/>
    <mergeCell ref="A53:I53"/>
    <mergeCell ref="A80:I80"/>
    <mergeCell ref="A98:I98"/>
    <mergeCell ref="C100:E100"/>
    <mergeCell ref="C101:E101"/>
    <mergeCell ref="C103:E103"/>
    <mergeCell ref="C104:E104"/>
    <mergeCell ref="A106:I106"/>
    <mergeCell ref="A90:I90"/>
    <mergeCell ref="B91:G91"/>
    <mergeCell ref="B92:G92"/>
    <mergeCell ref="A94:I9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'01.19'!Область_печати</vt:lpstr>
      <vt:lpstr>'02.19'!Область_печати</vt:lpstr>
      <vt:lpstr>'03.19'!Область_печати</vt:lpstr>
      <vt:lpstr>'04.19'!Область_печати</vt:lpstr>
      <vt:lpstr>'05.19'!Область_печати</vt:lpstr>
      <vt:lpstr>'06.19'!Область_печати</vt:lpstr>
      <vt:lpstr>'07.19'!Область_печати</vt:lpstr>
      <vt:lpstr>'08.19'!Область_печати</vt:lpstr>
      <vt:lpstr>'09.19'!Область_печати</vt:lpstr>
      <vt:lpstr>'10.19'!Область_печати</vt:lpstr>
      <vt:lpstr>'11.19'!Область_печати</vt:lpstr>
      <vt:lpstr>'12.19'!Область_печати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2020-02-07T05:03:09Z</cp:lastPrinted>
  <dcterms:created xsi:type="dcterms:W3CDTF">2016-03-25T08:33:47Z</dcterms:created>
  <dcterms:modified xsi:type="dcterms:W3CDTF">2020-02-07T05:04:29Z</dcterms:modified>
</cp:coreProperties>
</file>