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540" windowWidth="15480" windowHeight="11280"/>
  </bookViews>
  <sheets>
    <sheet name="01.16" sheetId="17" r:id="rId1"/>
    <sheet name="02.16" sheetId="18" r:id="rId2"/>
    <sheet name="03.16" sheetId="19" r:id="rId3"/>
    <sheet name="04.16" sheetId="20" r:id="rId4"/>
    <sheet name="05.16" sheetId="21" r:id="rId5"/>
    <sheet name="06.16" sheetId="22" r:id="rId6"/>
    <sheet name="07.16" sheetId="23" r:id="rId7"/>
    <sheet name="08.16" sheetId="24" r:id="rId8"/>
    <sheet name="09.16" sheetId="25" r:id="rId9"/>
    <sheet name="10.16" sheetId="26" r:id="rId10"/>
    <sheet name="11.16" sheetId="16" r:id="rId11"/>
    <sheet name="12.16" sheetId="8" r:id="rId12"/>
  </sheets>
  <definedNames>
    <definedName name="_xlnm._FilterDatabase" localSheetId="0" hidden="1">'01.16'!$I$12:$I$60</definedName>
    <definedName name="_xlnm._FilterDatabase" localSheetId="1" hidden="1">'02.16'!$I$12:$I$60</definedName>
    <definedName name="_xlnm._FilterDatabase" localSheetId="2" hidden="1">'03.16'!$I$12:$I$60</definedName>
    <definedName name="_xlnm._FilterDatabase" localSheetId="3" hidden="1">'04.16'!$I$12:$I$60</definedName>
    <definedName name="_xlnm._FilterDatabase" localSheetId="4" hidden="1">'05.16'!$I$12:$I$60</definedName>
    <definedName name="_xlnm._FilterDatabase" localSheetId="5" hidden="1">'06.16'!$I$12:$I$60</definedName>
    <definedName name="_xlnm._FilterDatabase" localSheetId="6" hidden="1">'07.16'!$I$12:$I$60</definedName>
    <definedName name="_xlnm._FilterDatabase" localSheetId="7" hidden="1">'08.16'!$I$12:$I$60</definedName>
    <definedName name="_xlnm._FilterDatabase" localSheetId="8" hidden="1">'09.16'!$I$12:$I$60</definedName>
    <definedName name="_xlnm._FilterDatabase" localSheetId="9" hidden="1">'10.16'!$I$12:$I$60</definedName>
    <definedName name="_xlnm._FilterDatabase" localSheetId="11" hidden="1">'12.16'!$G$12:$G$66</definedName>
    <definedName name="_xlnm.Print_Titles" localSheetId="3">'04.16'!$12:$13</definedName>
    <definedName name="_xlnm.Print_Titles" localSheetId="9">'10.16'!$12:$13</definedName>
    <definedName name="_xlnm.Print_Area" localSheetId="0">'01.16'!$A$1:$I$169</definedName>
    <definedName name="_xlnm.Print_Area" localSheetId="1">'02.16'!$A$1:$I$116</definedName>
    <definedName name="_xlnm.Print_Area" localSheetId="2">'03.16'!$A$1:$I$118</definedName>
    <definedName name="_xlnm.Print_Area" localSheetId="3">'04.16'!$A$1:$I$123</definedName>
    <definedName name="_xlnm.Print_Area" localSheetId="4">'05.16'!$A$1:$I$119</definedName>
    <definedName name="_xlnm.Print_Area" localSheetId="5">'06.16'!$A$1:$I$123</definedName>
    <definedName name="_xlnm.Print_Area" localSheetId="6">'07.16'!$A$1:$I$119</definedName>
    <definedName name="_xlnm.Print_Area" localSheetId="7">'08.16'!$A$1:$I$114</definedName>
    <definedName name="_xlnm.Print_Area" localSheetId="8">'09.16'!$A$1:$I$121</definedName>
    <definedName name="_xlnm.Print_Area" localSheetId="9">'10.16'!$A$1:$I$131</definedName>
    <definedName name="_xlnm.Print_Area" localSheetId="10">'11.16'!$A$1:$G$118</definedName>
    <definedName name="_xlnm.Print_Area" localSheetId="11">'12.16'!$A$1:$G$114</definedName>
  </definedNames>
  <calcPr calcId="124519"/>
</workbook>
</file>

<file path=xl/calcChain.xml><?xml version="1.0" encoding="utf-8"?>
<calcChain xmlns="http://schemas.openxmlformats.org/spreadsheetml/2006/main">
  <c r="I99" i="22"/>
  <c r="I100"/>
  <c r="I98"/>
  <c r="I99" i="26" l="1"/>
  <c r="I84"/>
  <c r="I108"/>
  <c r="I107"/>
  <c r="I106"/>
  <c r="I102"/>
  <c r="I103"/>
  <c r="I104"/>
  <c r="I105"/>
  <c r="I101"/>
  <c r="I100"/>
  <c r="I98"/>
  <c r="I97"/>
  <c r="I96"/>
  <c r="I95"/>
  <c r="I94"/>
  <c r="I93"/>
  <c r="I92"/>
  <c r="I91"/>
  <c r="I90"/>
  <c r="I88"/>
  <c r="I89"/>
  <c r="I87"/>
  <c r="I74"/>
  <c r="I65"/>
  <c r="F107"/>
  <c r="H107" s="1"/>
  <c r="H106"/>
  <c r="H105"/>
  <c r="H104"/>
  <c r="H103"/>
  <c r="H102"/>
  <c r="H101"/>
  <c r="H100"/>
  <c r="H99"/>
  <c r="H98"/>
  <c r="H97"/>
  <c r="H96"/>
  <c r="H95"/>
  <c r="F94"/>
  <c r="H94" s="1"/>
  <c r="F93"/>
  <c r="H93" s="1"/>
  <c r="F92"/>
  <c r="H92" s="1"/>
  <c r="H91"/>
  <c r="H90"/>
  <c r="H89"/>
  <c r="H88"/>
  <c r="H87"/>
  <c r="I86"/>
  <c r="H86"/>
  <c r="E83"/>
  <c r="F83" s="1"/>
  <c r="I83" s="1"/>
  <c r="F82"/>
  <c r="I82" s="1"/>
  <c r="H80"/>
  <c r="H78"/>
  <c r="H76"/>
  <c r="H75"/>
  <c r="H74"/>
  <c r="I72"/>
  <c r="H72"/>
  <c r="F71"/>
  <c r="I71" s="1"/>
  <c r="F70"/>
  <c r="I70" s="1"/>
  <c r="F69"/>
  <c r="I69" s="1"/>
  <c r="F68"/>
  <c r="I68" s="1"/>
  <c r="F67"/>
  <c r="I67" s="1"/>
  <c r="I66"/>
  <c r="H66"/>
  <c r="H65"/>
  <c r="F63"/>
  <c r="I63" s="1"/>
  <c r="I62"/>
  <c r="H62"/>
  <c r="F60"/>
  <c r="I60" s="1"/>
  <c r="I59"/>
  <c r="H59"/>
  <c r="F58"/>
  <c r="I58" s="1"/>
  <c r="I55"/>
  <c r="F55"/>
  <c r="H55" s="1"/>
  <c r="H54"/>
  <c r="F53"/>
  <c r="H53" s="1"/>
  <c r="F52"/>
  <c r="H52" s="1"/>
  <c r="F51"/>
  <c r="I51" s="1"/>
  <c r="F50"/>
  <c r="H50" s="1"/>
  <c r="F49"/>
  <c r="H49" s="1"/>
  <c r="F48"/>
  <c r="H48" s="1"/>
  <c r="F47"/>
  <c r="H47" s="1"/>
  <c r="I45"/>
  <c r="H45"/>
  <c r="F44"/>
  <c r="I44" s="1"/>
  <c r="F43"/>
  <c r="I43" s="1"/>
  <c r="F42"/>
  <c r="I42" s="1"/>
  <c r="H41"/>
  <c r="F40"/>
  <c r="I40" s="1"/>
  <c r="I39"/>
  <c r="H39"/>
  <c r="I38"/>
  <c r="H38"/>
  <c r="H36"/>
  <c r="H35"/>
  <c r="H34"/>
  <c r="F34"/>
  <c r="I34" s="1"/>
  <c r="F33"/>
  <c r="I33" s="1"/>
  <c r="F32"/>
  <c r="I32" s="1"/>
  <c r="F31"/>
  <c r="I31" s="1"/>
  <c r="F30"/>
  <c r="I30" s="1"/>
  <c r="F27"/>
  <c r="I27" s="1"/>
  <c r="F26"/>
  <c r="I26" s="1"/>
  <c r="F25"/>
  <c r="I25" s="1"/>
  <c r="F24"/>
  <c r="I24" s="1"/>
  <c r="F23"/>
  <c r="H23" s="1"/>
  <c r="F22"/>
  <c r="H22" s="1"/>
  <c r="F21"/>
  <c r="I21" s="1"/>
  <c r="F20"/>
  <c r="I20" s="1"/>
  <c r="F19"/>
  <c r="H19" s="1"/>
  <c r="F18"/>
  <c r="I18" s="1"/>
  <c r="F17"/>
  <c r="I17" s="1"/>
  <c r="F16"/>
  <c r="I16" s="1"/>
  <c r="H51" l="1"/>
  <c r="H20"/>
  <c r="H26"/>
  <c r="I110"/>
  <c r="H17"/>
  <c r="H24"/>
  <c r="H67"/>
  <c r="H71"/>
  <c r="H69"/>
  <c r="H60"/>
  <c r="H43"/>
  <c r="H32"/>
  <c r="H30"/>
  <c r="H16"/>
  <c r="H18"/>
  <c r="H21"/>
  <c r="H25"/>
  <c r="H27"/>
  <c r="H31"/>
  <c r="H33"/>
  <c r="H40"/>
  <c r="H42"/>
  <c r="H44"/>
  <c r="H58"/>
  <c r="H63"/>
  <c r="H68"/>
  <c r="H70"/>
  <c r="H82"/>
  <c r="H83"/>
  <c r="H84" s="1"/>
  <c r="H79" l="1"/>
  <c r="I97" i="25" l="1"/>
  <c r="I95"/>
  <c r="I96"/>
  <c r="I94"/>
  <c r="I93"/>
  <c r="I92"/>
  <c r="I90"/>
  <c r="I91"/>
  <c r="I89"/>
  <c r="I88"/>
  <c r="I87"/>
  <c r="I65"/>
  <c r="I54"/>
  <c r="H97"/>
  <c r="H96"/>
  <c r="H95"/>
  <c r="H94"/>
  <c r="H93"/>
  <c r="H92"/>
  <c r="H91"/>
  <c r="H90"/>
  <c r="F89"/>
  <c r="H89" s="1"/>
  <c r="F88"/>
  <c r="H88" s="1"/>
  <c r="H87"/>
  <c r="I86"/>
  <c r="H86"/>
  <c r="I98"/>
  <c r="E83"/>
  <c r="F83" s="1"/>
  <c r="F82"/>
  <c r="I82" s="1"/>
  <c r="H80"/>
  <c r="H78"/>
  <c r="H76"/>
  <c r="H75"/>
  <c r="H74"/>
  <c r="I72"/>
  <c r="H72"/>
  <c r="F71"/>
  <c r="H71" s="1"/>
  <c r="F70"/>
  <c r="I70" s="1"/>
  <c r="F69"/>
  <c r="H69" s="1"/>
  <c r="F68"/>
  <c r="I68" s="1"/>
  <c r="F67"/>
  <c r="H67" s="1"/>
  <c r="I66"/>
  <c r="H66"/>
  <c r="H65"/>
  <c r="F63"/>
  <c r="I63" s="1"/>
  <c r="I62"/>
  <c r="H62"/>
  <c r="F60"/>
  <c r="H60" s="1"/>
  <c r="I59"/>
  <c r="H59"/>
  <c r="F58"/>
  <c r="I58" s="1"/>
  <c r="I55"/>
  <c r="F55"/>
  <c r="H55" s="1"/>
  <c r="H54"/>
  <c r="F53"/>
  <c r="I53" s="1"/>
  <c r="F52"/>
  <c r="I52" s="1"/>
  <c r="F51"/>
  <c r="H51" s="1"/>
  <c r="F50"/>
  <c r="H50" s="1"/>
  <c r="F49"/>
  <c r="H49" s="1"/>
  <c r="F48"/>
  <c r="H48" s="1"/>
  <c r="F47"/>
  <c r="H47" s="1"/>
  <c r="I45"/>
  <c r="H45"/>
  <c r="F44"/>
  <c r="I44" s="1"/>
  <c r="F43"/>
  <c r="H43" s="1"/>
  <c r="F42"/>
  <c r="I42" s="1"/>
  <c r="H41"/>
  <c r="F40"/>
  <c r="I40" s="1"/>
  <c r="I39"/>
  <c r="H39"/>
  <c r="I38"/>
  <c r="H38"/>
  <c r="H36"/>
  <c r="H35"/>
  <c r="H34"/>
  <c r="F34"/>
  <c r="I34" s="1"/>
  <c r="F33"/>
  <c r="I33" s="1"/>
  <c r="F32"/>
  <c r="H32" s="1"/>
  <c r="F31"/>
  <c r="I31" s="1"/>
  <c r="F30"/>
  <c r="H30" s="1"/>
  <c r="F27"/>
  <c r="I27" s="1"/>
  <c r="F26"/>
  <c r="H26" s="1"/>
  <c r="F25"/>
  <c r="I25" s="1"/>
  <c r="F24"/>
  <c r="H24" s="1"/>
  <c r="F23"/>
  <c r="H23" s="1"/>
  <c r="F22"/>
  <c r="H22" s="1"/>
  <c r="F21"/>
  <c r="I21" s="1"/>
  <c r="F20"/>
  <c r="H20" s="1"/>
  <c r="F19"/>
  <c r="H19" s="1"/>
  <c r="F18"/>
  <c r="I18" s="1"/>
  <c r="F17"/>
  <c r="H17" s="1"/>
  <c r="F16"/>
  <c r="I16" s="1"/>
  <c r="I65" i="24"/>
  <c r="I84"/>
  <c r="I91"/>
  <c r="I90"/>
  <c r="I89"/>
  <c r="I88"/>
  <c r="I87"/>
  <c r="I74"/>
  <c r="H90"/>
  <c r="H89"/>
  <c r="F88"/>
  <c r="H88" s="1"/>
  <c r="H87"/>
  <c r="I86"/>
  <c r="H86"/>
  <c r="E83"/>
  <c r="F83" s="1"/>
  <c r="F82"/>
  <c r="I82" s="1"/>
  <c r="H80"/>
  <c r="H78"/>
  <c r="H76"/>
  <c r="H75"/>
  <c r="H74"/>
  <c r="I72"/>
  <c r="H72"/>
  <c r="F71"/>
  <c r="H71" s="1"/>
  <c r="F70"/>
  <c r="I70" s="1"/>
  <c r="F69"/>
  <c r="H69" s="1"/>
  <c r="F68"/>
  <c r="I68" s="1"/>
  <c r="F67"/>
  <c r="H67" s="1"/>
  <c r="I66"/>
  <c r="H66"/>
  <c r="H65"/>
  <c r="F63"/>
  <c r="I63" s="1"/>
  <c r="I62"/>
  <c r="H62"/>
  <c r="F60"/>
  <c r="H60" s="1"/>
  <c r="I59"/>
  <c r="H59"/>
  <c r="F58"/>
  <c r="I58" s="1"/>
  <c r="I55"/>
  <c r="F55"/>
  <c r="H55" s="1"/>
  <c r="H54"/>
  <c r="F53"/>
  <c r="H53" s="1"/>
  <c r="F52"/>
  <c r="H52" s="1"/>
  <c r="F51"/>
  <c r="H51" s="1"/>
  <c r="F50"/>
  <c r="H50" s="1"/>
  <c r="F49"/>
  <c r="H49" s="1"/>
  <c r="F48"/>
  <c r="H48" s="1"/>
  <c r="F47"/>
  <c r="H47" s="1"/>
  <c r="I45"/>
  <c r="H45"/>
  <c r="F44"/>
  <c r="I44" s="1"/>
  <c r="F43"/>
  <c r="H43" s="1"/>
  <c r="F42"/>
  <c r="I42" s="1"/>
  <c r="H41"/>
  <c r="F40"/>
  <c r="I40" s="1"/>
  <c r="I39"/>
  <c r="H39"/>
  <c r="I38"/>
  <c r="H38"/>
  <c r="H36"/>
  <c r="H35"/>
  <c r="H34"/>
  <c r="F34"/>
  <c r="I34" s="1"/>
  <c r="F33"/>
  <c r="I33" s="1"/>
  <c r="F32"/>
  <c r="H32" s="1"/>
  <c r="F31"/>
  <c r="I31" s="1"/>
  <c r="F30"/>
  <c r="H30" s="1"/>
  <c r="F27"/>
  <c r="I27" s="1"/>
  <c r="F26"/>
  <c r="H26" s="1"/>
  <c r="F25"/>
  <c r="I25" s="1"/>
  <c r="F24"/>
  <c r="H24" s="1"/>
  <c r="F23"/>
  <c r="H23" s="1"/>
  <c r="F22"/>
  <c r="H22" s="1"/>
  <c r="F21"/>
  <c r="I21" s="1"/>
  <c r="F20"/>
  <c r="H20" s="1"/>
  <c r="F19"/>
  <c r="H19" s="1"/>
  <c r="F18"/>
  <c r="I18" s="1"/>
  <c r="F17"/>
  <c r="H17" s="1"/>
  <c r="F16"/>
  <c r="I16" s="1"/>
  <c r="I95" i="23"/>
  <c r="I94"/>
  <c r="I93"/>
  <c r="I92"/>
  <c r="I91"/>
  <c r="I90"/>
  <c r="I89"/>
  <c r="I88"/>
  <c r="I87"/>
  <c r="I96" s="1"/>
  <c r="I65"/>
  <c r="H95"/>
  <c r="H94"/>
  <c r="H93"/>
  <c r="H92"/>
  <c r="F91"/>
  <c r="H91" s="1"/>
  <c r="H90"/>
  <c r="H89"/>
  <c r="H88"/>
  <c r="H87"/>
  <c r="I86"/>
  <c r="H86"/>
  <c r="E83"/>
  <c r="F83" s="1"/>
  <c r="F82"/>
  <c r="I82" s="1"/>
  <c r="H80"/>
  <c r="H78"/>
  <c r="H76"/>
  <c r="H75"/>
  <c r="H74"/>
  <c r="I72"/>
  <c r="H72"/>
  <c r="F71"/>
  <c r="H71" s="1"/>
  <c r="F70"/>
  <c r="I70" s="1"/>
  <c r="F69"/>
  <c r="H69" s="1"/>
  <c r="F68"/>
  <c r="I68" s="1"/>
  <c r="F67"/>
  <c r="H67" s="1"/>
  <c r="I66"/>
  <c r="H66"/>
  <c r="H65"/>
  <c r="F63"/>
  <c r="I63" s="1"/>
  <c r="I62"/>
  <c r="H62"/>
  <c r="F60"/>
  <c r="H60" s="1"/>
  <c r="I59"/>
  <c r="H59"/>
  <c r="F58"/>
  <c r="I58" s="1"/>
  <c r="I55"/>
  <c r="F55"/>
  <c r="H55" s="1"/>
  <c r="H54"/>
  <c r="F53"/>
  <c r="H53" s="1"/>
  <c r="F52"/>
  <c r="H52" s="1"/>
  <c r="F51"/>
  <c r="H51" s="1"/>
  <c r="F50"/>
  <c r="H50" s="1"/>
  <c r="F49"/>
  <c r="H49" s="1"/>
  <c r="F48"/>
  <c r="H48" s="1"/>
  <c r="F47"/>
  <c r="H47" s="1"/>
  <c r="I45"/>
  <c r="H45"/>
  <c r="F44"/>
  <c r="I44" s="1"/>
  <c r="F43"/>
  <c r="H43" s="1"/>
  <c r="F42"/>
  <c r="I42" s="1"/>
  <c r="H41"/>
  <c r="F40"/>
  <c r="I40" s="1"/>
  <c r="I39"/>
  <c r="H39"/>
  <c r="I38"/>
  <c r="H38"/>
  <c r="H36"/>
  <c r="H35"/>
  <c r="H34"/>
  <c r="F34"/>
  <c r="I34" s="1"/>
  <c r="F33"/>
  <c r="I33" s="1"/>
  <c r="F32"/>
  <c r="H32" s="1"/>
  <c r="F31"/>
  <c r="I31" s="1"/>
  <c r="F30"/>
  <c r="H30" s="1"/>
  <c r="F27"/>
  <c r="I27" s="1"/>
  <c r="F26"/>
  <c r="I26" s="1"/>
  <c r="F25"/>
  <c r="I25" s="1"/>
  <c r="F24"/>
  <c r="I24" s="1"/>
  <c r="F23"/>
  <c r="H23" s="1"/>
  <c r="F22"/>
  <c r="H22" s="1"/>
  <c r="F21"/>
  <c r="I21" s="1"/>
  <c r="F20"/>
  <c r="I20" s="1"/>
  <c r="F19"/>
  <c r="H19" s="1"/>
  <c r="F18"/>
  <c r="I18" s="1"/>
  <c r="F17"/>
  <c r="H17" s="1"/>
  <c r="F16"/>
  <c r="I16" s="1"/>
  <c r="I96" i="22"/>
  <c r="I97"/>
  <c r="I95"/>
  <c r="I94"/>
  <c r="I93"/>
  <c r="I92"/>
  <c r="I91"/>
  <c r="I90"/>
  <c r="I89"/>
  <c r="I88"/>
  <c r="I87"/>
  <c r="I65"/>
  <c r="H97"/>
  <c r="H96"/>
  <c r="H95"/>
  <c r="H94"/>
  <c r="H93"/>
  <c r="H92"/>
  <c r="H91"/>
  <c r="F90"/>
  <c r="H90" s="1"/>
  <c r="H89"/>
  <c r="H88"/>
  <c r="H87"/>
  <c r="I86"/>
  <c r="H86"/>
  <c r="E83"/>
  <c r="F83" s="1"/>
  <c r="F82"/>
  <c r="I82" s="1"/>
  <c r="H80"/>
  <c r="H78"/>
  <c r="H76"/>
  <c r="H75"/>
  <c r="H74"/>
  <c r="I72"/>
  <c r="H72"/>
  <c r="F71"/>
  <c r="H71" s="1"/>
  <c r="F70"/>
  <c r="I70" s="1"/>
  <c r="F69"/>
  <c r="H69" s="1"/>
  <c r="F68"/>
  <c r="I68" s="1"/>
  <c r="F67"/>
  <c r="H67" s="1"/>
  <c r="I66"/>
  <c r="H66"/>
  <c r="H65"/>
  <c r="H63"/>
  <c r="F63"/>
  <c r="I63" s="1"/>
  <c r="I62"/>
  <c r="H62"/>
  <c r="F60"/>
  <c r="H60" s="1"/>
  <c r="I59"/>
  <c r="H59"/>
  <c r="F58"/>
  <c r="I58" s="1"/>
  <c r="I55"/>
  <c r="F55"/>
  <c r="H55" s="1"/>
  <c r="H54"/>
  <c r="F53"/>
  <c r="H53" s="1"/>
  <c r="F52"/>
  <c r="H52" s="1"/>
  <c r="F51"/>
  <c r="H51" s="1"/>
  <c r="F50"/>
  <c r="H50" s="1"/>
  <c r="F49"/>
  <c r="H49" s="1"/>
  <c r="F48"/>
  <c r="H48" s="1"/>
  <c r="F47"/>
  <c r="H47" s="1"/>
  <c r="I45"/>
  <c r="H45"/>
  <c r="F44"/>
  <c r="I44" s="1"/>
  <c r="F43"/>
  <c r="H43" s="1"/>
  <c r="F42"/>
  <c r="I42" s="1"/>
  <c r="H41"/>
  <c r="F40"/>
  <c r="I40" s="1"/>
  <c r="I39"/>
  <c r="H39"/>
  <c r="I38"/>
  <c r="H38"/>
  <c r="H36"/>
  <c r="H35"/>
  <c r="H34"/>
  <c r="F34"/>
  <c r="I34" s="1"/>
  <c r="F33"/>
  <c r="I33" s="1"/>
  <c r="F32"/>
  <c r="H32" s="1"/>
  <c r="F31"/>
  <c r="I31" s="1"/>
  <c r="F30"/>
  <c r="H30" s="1"/>
  <c r="F27"/>
  <c r="I27" s="1"/>
  <c r="F26"/>
  <c r="H26" s="1"/>
  <c r="F25"/>
  <c r="I25" s="1"/>
  <c r="F24"/>
  <c r="H24" s="1"/>
  <c r="F23"/>
  <c r="H23" s="1"/>
  <c r="F22"/>
  <c r="H22" s="1"/>
  <c r="F21"/>
  <c r="I21" s="1"/>
  <c r="F20"/>
  <c r="H20" s="1"/>
  <c r="F19"/>
  <c r="H19" s="1"/>
  <c r="F18"/>
  <c r="I18" s="1"/>
  <c r="F17"/>
  <c r="H17" s="1"/>
  <c r="F16"/>
  <c r="I16" s="1"/>
  <c r="I95" i="21"/>
  <c r="I94"/>
  <c r="I93"/>
  <c r="I92"/>
  <c r="I91"/>
  <c r="I90"/>
  <c r="I89"/>
  <c r="I88"/>
  <c r="I87"/>
  <c r="H95"/>
  <c r="F94"/>
  <c r="H94" s="1"/>
  <c r="F93"/>
  <c r="H93" s="1"/>
  <c r="H92"/>
  <c r="H91"/>
  <c r="H90"/>
  <c r="H89"/>
  <c r="F89"/>
  <c r="H88"/>
  <c r="H87"/>
  <c r="I86"/>
  <c r="H86"/>
  <c r="I96"/>
  <c r="E83"/>
  <c r="F83" s="1"/>
  <c r="H82"/>
  <c r="F82"/>
  <c r="I82" s="1"/>
  <c r="H80"/>
  <c r="H78"/>
  <c r="H76"/>
  <c r="H75"/>
  <c r="H74"/>
  <c r="I72"/>
  <c r="H72"/>
  <c r="F71"/>
  <c r="H71" s="1"/>
  <c r="F70"/>
  <c r="I70" s="1"/>
  <c r="F69"/>
  <c r="H69" s="1"/>
  <c r="F68"/>
  <c r="I68" s="1"/>
  <c r="F67"/>
  <c r="H67" s="1"/>
  <c r="I66"/>
  <c r="H66"/>
  <c r="I65"/>
  <c r="H65"/>
  <c r="F63"/>
  <c r="I63" s="1"/>
  <c r="I62"/>
  <c r="H62"/>
  <c r="F60"/>
  <c r="H60" s="1"/>
  <c r="I59"/>
  <c r="H59"/>
  <c r="F58"/>
  <c r="I58" s="1"/>
  <c r="I55"/>
  <c r="F55"/>
  <c r="H55" s="1"/>
  <c r="H54"/>
  <c r="F53"/>
  <c r="H53" s="1"/>
  <c r="F52"/>
  <c r="H52" s="1"/>
  <c r="F51"/>
  <c r="H51" s="1"/>
  <c r="F50"/>
  <c r="H50" s="1"/>
  <c r="F49"/>
  <c r="H49" s="1"/>
  <c r="F48"/>
  <c r="H48" s="1"/>
  <c r="F47"/>
  <c r="H47" s="1"/>
  <c r="I45"/>
  <c r="H45"/>
  <c r="F44"/>
  <c r="I44" s="1"/>
  <c r="F43"/>
  <c r="H43" s="1"/>
  <c r="F42"/>
  <c r="I42" s="1"/>
  <c r="H41"/>
  <c r="F40"/>
  <c r="I40" s="1"/>
  <c r="I39"/>
  <c r="H39"/>
  <c r="I38"/>
  <c r="H38"/>
  <c r="H36"/>
  <c r="H35"/>
  <c r="H34"/>
  <c r="F34"/>
  <c r="I34" s="1"/>
  <c r="F33"/>
  <c r="I33" s="1"/>
  <c r="F32"/>
  <c r="H32" s="1"/>
  <c r="F31"/>
  <c r="I31" s="1"/>
  <c r="F30"/>
  <c r="H30" s="1"/>
  <c r="F27"/>
  <c r="I27" s="1"/>
  <c r="F26"/>
  <c r="H26" s="1"/>
  <c r="F25"/>
  <c r="I25" s="1"/>
  <c r="F24"/>
  <c r="H24" s="1"/>
  <c r="F23"/>
  <c r="H23" s="1"/>
  <c r="F22"/>
  <c r="H22" s="1"/>
  <c r="F21"/>
  <c r="I21" s="1"/>
  <c r="F20"/>
  <c r="H20" s="1"/>
  <c r="F19"/>
  <c r="H19" s="1"/>
  <c r="F18"/>
  <c r="I18" s="1"/>
  <c r="F17"/>
  <c r="H17" s="1"/>
  <c r="F16"/>
  <c r="I16" s="1"/>
  <c r="I99" i="20"/>
  <c r="I98"/>
  <c r="I97"/>
  <c r="I96"/>
  <c r="I95"/>
  <c r="I94"/>
  <c r="I92"/>
  <c r="I93"/>
  <c r="I91"/>
  <c r="I90"/>
  <c r="I89"/>
  <c r="I88"/>
  <c r="I87"/>
  <c r="I80"/>
  <c r="I65"/>
  <c r="H99"/>
  <c r="F98"/>
  <c r="H98" s="1"/>
  <c r="H97"/>
  <c r="F96"/>
  <c r="H96" s="1"/>
  <c r="H95"/>
  <c r="F94"/>
  <c r="H94" s="1"/>
  <c r="H93"/>
  <c r="H92"/>
  <c r="H91"/>
  <c r="H90"/>
  <c r="H89"/>
  <c r="H88"/>
  <c r="H87"/>
  <c r="I86"/>
  <c r="H86"/>
  <c r="I100"/>
  <c r="E83"/>
  <c r="F83" s="1"/>
  <c r="I83" s="1"/>
  <c r="F82"/>
  <c r="I82" s="1"/>
  <c r="H80"/>
  <c r="H78"/>
  <c r="H76"/>
  <c r="H75"/>
  <c r="H74"/>
  <c r="I72"/>
  <c r="H72"/>
  <c r="F71"/>
  <c r="H71" s="1"/>
  <c r="F70"/>
  <c r="I70" s="1"/>
  <c r="F69"/>
  <c r="H69" s="1"/>
  <c r="F68"/>
  <c r="I68" s="1"/>
  <c r="F67"/>
  <c r="H67" s="1"/>
  <c r="I66"/>
  <c r="H66"/>
  <c r="H65"/>
  <c r="F63"/>
  <c r="I63" s="1"/>
  <c r="I62"/>
  <c r="H62"/>
  <c r="F60"/>
  <c r="H60" s="1"/>
  <c r="I59"/>
  <c r="H59"/>
  <c r="F58"/>
  <c r="I58" s="1"/>
  <c r="I55"/>
  <c r="F55"/>
  <c r="H55" s="1"/>
  <c r="H54"/>
  <c r="F53"/>
  <c r="H53" s="1"/>
  <c r="F52"/>
  <c r="H52" s="1"/>
  <c r="F51"/>
  <c r="H51" s="1"/>
  <c r="F50"/>
  <c r="H50" s="1"/>
  <c r="F49"/>
  <c r="H49" s="1"/>
  <c r="F48"/>
  <c r="H48" s="1"/>
  <c r="F47"/>
  <c r="H47" s="1"/>
  <c r="I45"/>
  <c r="H45"/>
  <c r="F44"/>
  <c r="I44" s="1"/>
  <c r="F43"/>
  <c r="H43" s="1"/>
  <c r="F42"/>
  <c r="I42" s="1"/>
  <c r="H41"/>
  <c r="F40"/>
  <c r="I40" s="1"/>
  <c r="I39"/>
  <c r="H39"/>
  <c r="I38"/>
  <c r="H38"/>
  <c r="H36"/>
  <c r="H35"/>
  <c r="H34"/>
  <c r="F34"/>
  <c r="I34" s="1"/>
  <c r="F33"/>
  <c r="I33" s="1"/>
  <c r="F32"/>
  <c r="H32" s="1"/>
  <c r="F31"/>
  <c r="I31" s="1"/>
  <c r="F30"/>
  <c r="H30" s="1"/>
  <c r="F27"/>
  <c r="I27" s="1"/>
  <c r="F26"/>
  <c r="H26" s="1"/>
  <c r="F25"/>
  <c r="I25" s="1"/>
  <c r="F24"/>
  <c r="H24" s="1"/>
  <c r="F23"/>
  <c r="H23" s="1"/>
  <c r="F22"/>
  <c r="H22" s="1"/>
  <c r="F21"/>
  <c r="I21" s="1"/>
  <c r="F20"/>
  <c r="H20" s="1"/>
  <c r="F19"/>
  <c r="H19" s="1"/>
  <c r="F18"/>
  <c r="I18" s="1"/>
  <c r="F17"/>
  <c r="H17" s="1"/>
  <c r="F16"/>
  <c r="I16" s="1"/>
  <c r="I84" i="19"/>
  <c r="I95"/>
  <c r="I92"/>
  <c r="I93"/>
  <c r="I94"/>
  <c r="I91"/>
  <c r="I90"/>
  <c r="I89"/>
  <c r="I88"/>
  <c r="I87"/>
  <c r="I65"/>
  <c r="H94"/>
  <c r="H93"/>
  <c r="H92"/>
  <c r="H91"/>
  <c r="H90"/>
  <c r="H89"/>
  <c r="H88"/>
  <c r="H87"/>
  <c r="I86"/>
  <c r="H86"/>
  <c r="E83"/>
  <c r="F83" s="1"/>
  <c r="H82"/>
  <c r="F82"/>
  <c r="I82" s="1"/>
  <c r="H80"/>
  <c r="H78"/>
  <c r="H76"/>
  <c r="H75"/>
  <c r="H74"/>
  <c r="I72"/>
  <c r="H72"/>
  <c r="F71"/>
  <c r="H71" s="1"/>
  <c r="F70"/>
  <c r="I70" s="1"/>
  <c r="F69"/>
  <c r="H69" s="1"/>
  <c r="F68"/>
  <c r="I68" s="1"/>
  <c r="F67"/>
  <c r="H67" s="1"/>
  <c r="I66"/>
  <c r="H66"/>
  <c r="H65"/>
  <c r="F63"/>
  <c r="I63" s="1"/>
  <c r="I62"/>
  <c r="H62"/>
  <c r="F60"/>
  <c r="H60" s="1"/>
  <c r="I59"/>
  <c r="H59"/>
  <c r="F58"/>
  <c r="I58" s="1"/>
  <c r="I55"/>
  <c r="F55"/>
  <c r="H55" s="1"/>
  <c r="H54"/>
  <c r="F53"/>
  <c r="H53" s="1"/>
  <c r="F52"/>
  <c r="H52" s="1"/>
  <c r="F51"/>
  <c r="H51" s="1"/>
  <c r="F50"/>
  <c r="H50" s="1"/>
  <c r="F49"/>
  <c r="H49" s="1"/>
  <c r="F48"/>
  <c r="H48" s="1"/>
  <c r="F47"/>
  <c r="H47" s="1"/>
  <c r="I45"/>
  <c r="H45"/>
  <c r="F44"/>
  <c r="I44" s="1"/>
  <c r="F43"/>
  <c r="H43" s="1"/>
  <c r="F42"/>
  <c r="I42" s="1"/>
  <c r="H41"/>
  <c r="F40"/>
  <c r="I40" s="1"/>
  <c r="I39"/>
  <c r="H39"/>
  <c r="I38"/>
  <c r="H38"/>
  <c r="H36"/>
  <c r="H35"/>
  <c r="H34"/>
  <c r="F34"/>
  <c r="I34" s="1"/>
  <c r="F33"/>
  <c r="I33" s="1"/>
  <c r="F32"/>
  <c r="H32" s="1"/>
  <c r="F31"/>
  <c r="I31" s="1"/>
  <c r="F30"/>
  <c r="H30" s="1"/>
  <c r="F27"/>
  <c r="I27" s="1"/>
  <c r="F26"/>
  <c r="H26" s="1"/>
  <c r="F25"/>
  <c r="I25" s="1"/>
  <c r="F24"/>
  <c r="H24" s="1"/>
  <c r="F23"/>
  <c r="H23" s="1"/>
  <c r="F22"/>
  <c r="H22" s="1"/>
  <c r="F21"/>
  <c r="I21" s="1"/>
  <c r="F20"/>
  <c r="H20" s="1"/>
  <c r="F19"/>
  <c r="H19" s="1"/>
  <c r="F18"/>
  <c r="I18" s="1"/>
  <c r="F17"/>
  <c r="H17" s="1"/>
  <c r="F16"/>
  <c r="I16" s="1"/>
  <c r="I84" i="18"/>
  <c r="H16" i="25" l="1"/>
  <c r="H52"/>
  <c r="H53"/>
  <c r="H40"/>
  <c r="H63"/>
  <c r="I50"/>
  <c r="I48"/>
  <c r="I49"/>
  <c r="I47"/>
  <c r="H68"/>
  <c r="H70"/>
  <c r="H58"/>
  <c r="H79" s="1"/>
  <c r="H42"/>
  <c r="H44"/>
  <c r="I83"/>
  <c r="H83"/>
  <c r="H84" s="1"/>
  <c r="I17"/>
  <c r="H18"/>
  <c r="I20"/>
  <c r="H21"/>
  <c r="I24"/>
  <c r="H25"/>
  <c r="I26"/>
  <c r="H27"/>
  <c r="I30"/>
  <c r="H31"/>
  <c r="I32"/>
  <c r="H33"/>
  <c r="I43"/>
  <c r="I51"/>
  <c r="I60"/>
  <c r="I67"/>
  <c r="I69"/>
  <c r="I71"/>
  <c r="H82"/>
  <c r="H68" i="24"/>
  <c r="I83"/>
  <c r="H83"/>
  <c r="H84" s="1"/>
  <c r="H16"/>
  <c r="I17"/>
  <c r="H18"/>
  <c r="I20"/>
  <c r="H21"/>
  <c r="I24"/>
  <c r="H25"/>
  <c r="I26"/>
  <c r="H27"/>
  <c r="I30"/>
  <c r="H31"/>
  <c r="I32"/>
  <c r="H33"/>
  <c r="H40"/>
  <c r="H42"/>
  <c r="I43"/>
  <c r="H44"/>
  <c r="I51"/>
  <c r="H58"/>
  <c r="I60"/>
  <c r="H63"/>
  <c r="I67"/>
  <c r="I69"/>
  <c r="H70"/>
  <c r="I71"/>
  <c r="H82"/>
  <c r="H63" i="23"/>
  <c r="H20"/>
  <c r="H26"/>
  <c r="H24"/>
  <c r="I83"/>
  <c r="H83"/>
  <c r="H84" s="1"/>
  <c r="H16"/>
  <c r="I17"/>
  <c r="I84" s="1"/>
  <c r="H18"/>
  <c r="H21"/>
  <c r="H25"/>
  <c r="H27"/>
  <c r="I30"/>
  <c r="H31"/>
  <c r="I32"/>
  <c r="H33"/>
  <c r="H40"/>
  <c r="H42"/>
  <c r="I43"/>
  <c r="H44"/>
  <c r="I51"/>
  <c r="H58"/>
  <c r="I60"/>
  <c r="I67"/>
  <c r="H68"/>
  <c r="I69"/>
  <c r="H70"/>
  <c r="I71"/>
  <c r="H82"/>
  <c r="H16" i="22"/>
  <c r="I83"/>
  <c r="H83"/>
  <c r="H84" s="1"/>
  <c r="I17"/>
  <c r="H18"/>
  <c r="I20"/>
  <c r="H21"/>
  <c r="I24"/>
  <c r="H25"/>
  <c r="I26"/>
  <c r="H27"/>
  <c r="I30"/>
  <c r="H31"/>
  <c r="I32"/>
  <c r="H33"/>
  <c r="H40"/>
  <c r="H42"/>
  <c r="I43"/>
  <c r="H44"/>
  <c r="I51"/>
  <c r="H58"/>
  <c r="I60"/>
  <c r="I67"/>
  <c r="H68"/>
  <c r="I69"/>
  <c r="H70"/>
  <c r="I71"/>
  <c r="H82"/>
  <c r="H63" i="21"/>
  <c r="H16"/>
  <c r="H27"/>
  <c r="I22"/>
  <c r="I47"/>
  <c r="I49"/>
  <c r="H18"/>
  <c r="H21"/>
  <c r="H33"/>
  <c r="H40"/>
  <c r="I19"/>
  <c r="I23"/>
  <c r="I50"/>
  <c r="I48"/>
  <c r="H68"/>
  <c r="H70"/>
  <c r="H58"/>
  <c r="H79" s="1"/>
  <c r="H44"/>
  <c r="H42"/>
  <c r="H31"/>
  <c r="H25"/>
  <c r="I83"/>
  <c r="H83"/>
  <c r="H84" s="1"/>
  <c r="I17"/>
  <c r="I20"/>
  <c r="I24"/>
  <c r="I26"/>
  <c r="I30"/>
  <c r="I32"/>
  <c r="I43"/>
  <c r="I51"/>
  <c r="I60"/>
  <c r="I67"/>
  <c r="I69"/>
  <c r="I71"/>
  <c r="H40" i="20"/>
  <c r="H63"/>
  <c r="I52"/>
  <c r="I53"/>
  <c r="H68"/>
  <c r="H70"/>
  <c r="H16"/>
  <c r="I17"/>
  <c r="H18"/>
  <c r="I20"/>
  <c r="H21"/>
  <c r="I24"/>
  <c r="H25"/>
  <c r="I26"/>
  <c r="H27"/>
  <c r="I30"/>
  <c r="H31"/>
  <c r="I32"/>
  <c r="H33"/>
  <c r="H42"/>
  <c r="I43"/>
  <c r="H44"/>
  <c r="I51"/>
  <c r="H58"/>
  <c r="H79" s="1"/>
  <c r="I60"/>
  <c r="I67"/>
  <c r="I69"/>
  <c r="I71"/>
  <c r="H82"/>
  <c r="H83"/>
  <c r="H84" s="1"/>
  <c r="H70" i="19"/>
  <c r="H40"/>
  <c r="H16"/>
  <c r="H25"/>
  <c r="H31"/>
  <c r="H42"/>
  <c r="H63"/>
  <c r="H68"/>
  <c r="H18"/>
  <c r="H21"/>
  <c r="H27"/>
  <c r="H33"/>
  <c r="H44"/>
  <c r="H58"/>
  <c r="I83"/>
  <c r="H83"/>
  <c r="H84" s="1"/>
  <c r="I17"/>
  <c r="I20"/>
  <c r="I24"/>
  <c r="I26"/>
  <c r="I30"/>
  <c r="I32"/>
  <c r="I43"/>
  <c r="I51"/>
  <c r="I60"/>
  <c r="I67"/>
  <c r="I69"/>
  <c r="I71"/>
  <c r="I84" i="25" l="1"/>
  <c r="I100"/>
  <c r="I93" i="24"/>
  <c r="H79"/>
  <c r="I98" i="23"/>
  <c r="H79"/>
  <c r="I84" i="22"/>
  <c r="I102" s="1"/>
  <c r="H79"/>
  <c r="I84" i="21"/>
  <c r="I98" s="1"/>
  <c r="I84" i="20"/>
  <c r="I102" s="1"/>
  <c r="H79" i="19"/>
  <c r="I97"/>
  <c r="I90" i="18" l="1"/>
  <c r="I88"/>
  <c r="I89"/>
  <c r="I91"/>
  <c r="I92"/>
  <c r="I87"/>
  <c r="I93" s="1"/>
  <c r="I54"/>
  <c r="H92" l="1"/>
  <c r="H91"/>
  <c r="H90"/>
  <c r="H89"/>
  <c r="H88"/>
  <c r="H87"/>
  <c r="I86"/>
  <c r="H86"/>
  <c r="E83"/>
  <c r="F83" s="1"/>
  <c r="I83" s="1"/>
  <c r="F82"/>
  <c r="I82" s="1"/>
  <c r="H80"/>
  <c r="H78"/>
  <c r="H76"/>
  <c r="H75"/>
  <c r="H74"/>
  <c r="I72"/>
  <c r="H72"/>
  <c r="F71"/>
  <c r="H71" s="1"/>
  <c r="F70"/>
  <c r="I70" s="1"/>
  <c r="F69"/>
  <c r="H69" s="1"/>
  <c r="F68"/>
  <c r="I68" s="1"/>
  <c r="F67"/>
  <c r="H67" s="1"/>
  <c r="I66"/>
  <c r="H66"/>
  <c r="I65"/>
  <c r="H65"/>
  <c r="F63"/>
  <c r="I63" s="1"/>
  <c r="I62"/>
  <c r="H62"/>
  <c r="F60"/>
  <c r="H60" s="1"/>
  <c r="I59"/>
  <c r="H59"/>
  <c r="F58"/>
  <c r="I58" s="1"/>
  <c r="I55"/>
  <c r="F55"/>
  <c r="H55" s="1"/>
  <c r="H54"/>
  <c r="F53"/>
  <c r="F52"/>
  <c r="F51"/>
  <c r="H51" s="1"/>
  <c r="F50"/>
  <c r="H50" s="1"/>
  <c r="F49"/>
  <c r="H49" s="1"/>
  <c r="F48"/>
  <c r="H48" s="1"/>
  <c r="F47"/>
  <c r="H47" s="1"/>
  <c r="I45"/>
  <c r="H45"/>
  <c r="F44"/>
  <c r="I44" s="1"/>
  <c r="F43"/>
  <c r="H43" s="1"/>
  <c r="F42"/>
  <c r="I42" s="1"/>
  <c r="H41"/>
  <c r="F40"/>
  <c r="I40" s="1"/>
  <c r="I39"/>
  <c r="H39"/>
  <c r="I38"/>
  <c r="H38"/>
  <c r="H36"/>
  <c r="H35"/>
  <c r="H34"/>
  <c r="F34"/>
  <c r="I34" s="1"/>
  <c r="F33"/>
  <c r="I33" s="1"/>
  <c r="F32"/>
  <c r="H32" s="1"/>
  <c r="F31"/>
  <c r="I31" s="1"/>
  <c r="F30"/>
  <c r="H30" s="1"/>
  <c r="F27"/>
  <c r="I27" s="1"/>
  <c r="F26"/>
  <c r="H26" s="1"/>
  <c r="F25"/>
  <c r="I25" s="1"/>
  <c r="F24"/>
  <c r="H24" s="1"/>
  <c r="F23"/>
  <c r="H23" s="1"/>
  <c r="F22"/>
  <c r="H22" s="1"/>
  <c r="F21"/>
  <c r="I21" s="1"/>
  <c r="F20"/>
  <c r="H20" s="1"/>
  <c r="F19"/>
  <c r="H19" s="1"/>
  <c r="F18"/>
  <c r="I18" s="1"/>
  <c r="F17"/>
  <c r="H17" s="1"/>
  <c r="F16"/>
  <c r="I16" s="1"/>
  <c r="I84" i="17"/>
  <c r="I60"/>
  <c r="H52" i="18" l="1"/>
  <c r="I52"/>
  <c r="H63"/>
  <c r="H53"/>
  <c r="I53"/>
  <c r="H16"/>
  <c r="I17"/>
  <c r="H18"/>
  <c r="I20"/>
  <c r="H21"/>
  <c r="I24"/>
  <c r="H25"/>
  <c r="I26"/>
  <c r="H27"/>
  <c r="I30"/>
  <c r="H31"/>
  <c r="I32"/>
  <c r="H33"/>
  <c r="H40"/>
  <c r="H42"/>
  <c r="I43"/>
  <c r="H44"/>
  <c r="I51"/>
  <c r="H58"/>
  <c r="I60"/>
  <c r="I67"/>
  <c r="H68"/>
  <c r="I69"/>
  <c r="H70"/>
  <c r="I71"/>
  <c r="H82"/>
  <c r="H83"/>
  <c r="H84" s="1"/>
  <c r="I146" i="17"/>
  <c r="I72"/>
  <c r="F145"/>
  <c r="H145" s="1"/>
  <c r="H144"/>
  <c r="H143"/>
  <c r="H142"/>
  <c r="H141"/>
  <c r="H140"/>
  <c r="H139"/>
  <c r="H138"/>
  <c r="H137"/>
  <c r="H136"/>
  <c r="H135"/>
  <c r="H134"/>
  <c r="H133"/>
  <c r="H132"/>
  <c r="H131"/>
  <c r="H130"/>
  <c r="H129"/>
  <c r="H128"/>
  <c r="H127"/>
  <c r="H126"/>
  <c r="H125"/>
  <c r="H124"/>
  <c r="H123"/>
  <c r="H122"/>
  <c r="H121"/>
  <c r="H120"/>
  <c r="H119"/>
  <c r="F118"/>
  <c r="H118" s="1"/>
  <c r="H117"/>
  <c r="F116"/>
  <c r="H116" s="1"/>
  <c r="F115"/>
  <c r="H115" s="1"/>
  <c r="H114"/>
  <c r="H113"/>
  <c r="H112"/>
  <c r="F111"/>
  <c r="H111" s="1"/>
  <c r="H110"/>
  <c r="F109"/>
  <c r="H109" s="1"/>
  <c r="H108"/>
  <c r="F107"/>
  <c r="H107" s="1"/>
  <c r="H106"/>
  <c r="F105"/>
  <c r="H105" s="1"/>
  <c r="H104"/>
  <c r="H103"/>
  <c r="H102"/>
  <c r="H101"/>
  <c r="H100"/>
  <c r="H99"/>
  <c r="H98"/>
  <c r="H97"/>
  <c r="H96"/>
  <c r="H95"/>
  <c r="H94"/>
  <c r="H93"/>
  <c r="H92"/>
  <c r="H91"/>
  <c r="H90"/>
  <c r="H89"/>
  <c r="I88"/>
  <c r="H88"/>
  <c r="I87"/>
  <c r="H87"/>
  <c r="I86"/>
  <c r="H86"/>
  <c r="E83"/>
  <c r="F83" s="1"/>
  <c r="F82"/>
  <c r="I82" s="1"/>
  <c r="H80"/>
  <c r="H78"/>
  <c r="H76"/>
  <c r="H75"/>
  <c r="H74"/>
  <c r="H72"/>
  <c r="F71"/>
  <c r="H71" s="1"/>
  <c r="F70"/>
  <c r="H70" s="1"/>
  <c r="F69"/>
  <c r="H69" s="1"/>
  <c r="F68"/>
  <c r="H68" s="1"/>
  <c r="F67"/>
  <c r="H67" s="1"/>
  <c r="I66"/>
  <c r="H66"/>
  <c r="I65"/>
  <c r="H65"/>
  <c r="F63"/>
  <c r="I63" s="1"/>
  <c r="I62"/>
  <c r="H62"/>
  <c r="F60"/>
  <c r="H60" s="1"/>
  <c r="I59"/>
  <c r="H59"/>
  <c r="F58"/>
  <c r="I58" s="1"/>
  <c r="I55"/>
  <c r="F55"/>
  <c r="H55" s="1"/>
  <c r="H54"/>
  <c r="F53"/>
  <c r="H53" s="1"/>
  <c r="F52"/>
  <c r="H52" s="1"/>
  <c r="F51"/>
  <c r="I51" s="1"/>
  <c r="F50"/>
  <c r="H50" s="1"/>
  <c r="F49"/>
  <c r="H49" s="1"/>
  <c r="F48"/>
  <c r="H48" s="1"/>
  <c r="F47"/>
  <c r="H47" s="1"/>
  <c r="I45"/>
  <c r="H45"/>
  <c r="F44"/>
  <c r="I44" s="1"/>
  <c r="F43"/>
  <c r="I43" s="1"/>
  <c r="F42"/>
  <c r="I42" s="1"/>
  <c r="H41"/>
  <c r="F40"/>
  <c r="I40" s="1"/>
  <c r="I39"/>
  <c r="H39"/>
  <c r="I38"/>
  <c r="H38"/>
  <c r="F27"/>
  <c r="I27" s="1"/>
  <c r="H36"/>
  <c r="H35"/>
  <c r="F26"/>
  <c r="I26" s="1"/>
  <c r="H34"/>
  <c r="F34"/>
  <c r="I34" s="1"/>
  <c r="F33"/>
  <c r="H33" s="1"/>
  <c r="F32"/>
  <c r="H32" s="1"/>
  <c r="F31"/>
  <c r="H31" s="1"/>
  <c r="F30"/>
  <c r="H30" s="1"/>
  <c r="F25"/>
  <c r="I25" s="1"/>
  <c r="F24"/>
  <c r="I24" s="1"/>
  <c r="F23"/>
  <c r="H23" s="1"/>
  <c r="F22"/>
  <c r="H22" s="1"/>
  <c r="F21"/>
  <c r="I21" s="1"/>
  <c r="F20"/>
  <c r="I20" s="1"/>
  <c r="F19"/>
  <c r="H19" s="1"/>
  <c r="F18"/>
  <c r="I18" s="1"/>
  <c r="F17"/>
  <c r="I17" s="1"/>
  <c r="F16"/>
  <c r="I16" s="1"/>
  <c r="H79" i="18" l="1"/>
  <c r="I95"/>
  <c r="I148" i="17"/>
  <c r="I70"/>
  <c r="I68"/>
  <c r="I67"/>
  <c r="I71"/>
  <c r="I69"/>
  <c r="I30"/>
  <c r="I33"/>
  <c r="I32"/>
  <c r="I31"/>
  <c r="H44"/>
  <c r="H51"/>
  <c r="H17"/>
  <c r="H24"/>
  <c r="H27"/>
  <c r="H40"/>
  <c r="H63"/>
  <c r="H20"/>
  <c r="H42"/>
  <c r="H82"/>
  <c r="I83"/>
  <c r="H83"/>
  <c r="H84" s="1"/>
  <c r="H16"/>
  <c r="H18"/>
  <c r="H21"/>
  <c r="H25"/>
  <c r="H26"/>
  <c r="H43"/>
  <c r="H58"/>
  <c r="H79" s="1"/>
  <c r="G95" i="16" l="1"/>
  <c r="G91" i="8"/>
  <c r="G85"/>
  <c r="G63" l="1"/>
  <c r="E31"/>
  <c r="G85" i="16"/>
  <c r="G93" i="8" l="1"/>
  <c r="G63" i="16" l="1"/>
  <c r="E31"/>
  <c r="G97" l="1"/>
</calcChain>
</file>

<file path=xl/sharedStrings.xml><?xml version="1.0" encoding="utf-8"?>
<sst xmlns="http://schemas.openxmlformats.org/spreadsheetml/2006/main" count="2906" uniqueCount="283">
  <si>
    <t>№ позиции</t>
  </si>
  <si>
    <r>
      <t>Наименование вида работы (услуги)</t>
    </r>
    <r>
      <rPr>
        <vertAlign val="superscript"/>
        <sz val="10"/>
        <rFont val="Times New Roman"/>
        <family val="1"/>
        <charset val="204"/>
      </rPr>
      <t>2</t>
    </r>
  </si>
  <si>
    <t>Единица измерения работы (услуги)</t>
  </si>
  <si>
    <t>Цена выполненной работы  (оказанной услуги), в рублях</t>
  </si>
  <si>
    <t>I. Санитарное содержание помещений общего пользования</t>
  </si>
  <si>
    <t>Зимняя уборка</t>
  </si>
  <si>
    <t>(прописью)</t>
  </si>
  <si>
    <t>3. Работы (услуги) выполнены (оказаны) полностью, в установленные сроки, с надлежащим качеством.</t>
  </si>
  <si>
    <t>4. Претензий по выполнению условий Договора Стороны друг к другу не имеют.</t>
  </si>
  <si>
    <t>Подписи Сторон:</t>
  </si>
  <si>
    <t>Исполнитель -</t>
  </si>
  <si>
    <t>(должность, ФИО)</t>
  </si>
  <si>
    <t>(подпись)</t>
  </si>
  <si>
    <t>Заказчик -</t>
  </si>
  <si>
    <t>________________</t>
  </si>
  <si>
    <t>Примечания:</t>
  </si>
  <si>
    <r>
      <t>1</t>
    </r>
    <r>
      <rPr>
        <sz val="10"/>
        <rFont val="Times New Roman"/>
        <family val="1"/>
        <charset val="204"/>
      </rPr>
      <t> В соответствии с пунктом 4 части 8 статьи 161.1 Жилищного кодекса Российской Федерации (Собрание законодательства Российской Федерации, 2005, N 1, ст.14; 2011, N 23, ст.3263; 2014, N 30, ст.4264, 2015, N 27, ст.3967) председатель совета многоквартирного дома подписывает в том числе акты приемки оказанных услуг и (или) выполненных работ по содержанию и текущему ремонту общего имущества в многоквартирном доме.</t>
    </r>
  </si>
  <si>
    <r>
      <t>2</t>
    </r>
    <r>
      <rPr>
        <sz val="10"/>
        <rFont val="Times New Roman"/>
        <family val="1"/>
        <charset val="204"/>
      </rPr>
      <t> Минимальный перечень услуг и работ, необходимых для обеспечения надлежащего содержания общего имущества в многоквартирном доме, утвержден постановлением Правительства Российской Федерации от 3 апреля 2013 года N 290.</t>
    </r>
  </si>
  <si>
    <t>Периодичность</t>
  </si>
  <si>
    <t>Количественный показатель выполненной работы (оказанной услуги)</t>
  </si>
  <si>
    <r>
      <t>4</t>
    </r>
    <r>
      <rPr>
        <sz val="10"/>
        <rFont val="Times New Roman"/>
        <family val="1"/>
        <charset val="204"/>
      </rPr>
      <t xml:space="preserve"> Сметная стоимость за единицу выполненной работы по договору </t>
    </r>
    <r>
      <rPr>
        <sz val="10"/>
        <color rgb="FFFF0000"/>
        <rFont val="Times New Roman"/>
        <family val="1"/>
        <charset val="204"/>
      </rPr>
      <t xml:space="preserve">подряда </t>
    </r>
    <r>
      <rPr>
        <sz val="10"/>
        <rFont val="Times New Roman"/>
        <family val="1"/>
        <charset val="204"/>
      </rPr>
      <t>по выполнению работ по ремонту общего имущества в многоквартирном доме.</t>
    </r>
  </si>
  <si>
    <r>
      <t>3</t>
    </r>
    <r>
      <rPr>
        <sz val="10"/>
        <rFont val="Times New Roman"/>
        <family val="1"/>
        <charset val="204"/>
      </rPr>
      <t xml:space="preserve"> Стоимость за единицу выполненной работы (оказанной услуги) </t>
    </r>
    <r>
      <rPr>
        <sz val="10"/>
        <color rgb="FFFF0000"/>
        <rFont val="Times New Roman"/>
        <family val="1"/>
        <charset val="204"/>
      </rPr>
      <t xml:space="preserve">по договору управления </t>
    </r>
    <r>
      <rPr>
        <sz val="10"/>
        <rFont val="Times New Roman"/>
        <family val="1"/>
        <charset val="204"/>
      </rPr>
      <t xml:space="preserve">многоквартирным домом или </t>
    </r>
    <r>
      <rPr>
        <sz val="10"/>
        <color rgb="FFFF0000"/>
        <rFont val="Times New Roman"/>
        <family val="1"/>
        <charset val="204"/>
      </rPr>
      <t>договору оказания услуг</t>
    </r>
    <r>
      <rPr>
        <sz val="10"/>
        <rFont val="Times New Roman"/>
        <family val="1"/>
        <charset val="204"/>
      </rPr>
      <t xml:space="preserve"> по содержанию и (или) выполнению работ по ремонту общего имущества в многоквартирном доме.</t>
    </r>
  </si>
  <si>
    <t>Стоимость выполненной работы (оказанной услуги)  за единицу</t>
  </si>
  <si>
    <t>Вывоз ТБО и КГО</t>
  </si>
  <si>
    <t xml:space="preserve">кв. м </t>
  </si>
  <si>
    <t>м2</t>
  </si>
  <si>
    <t>Механизированная уборка дворовой территории</t>
  </si>
  <si>
    <t>Уборка газонов сильной загрязненности</t>
  </si>
  <si>
    <t>Летняя уборка</t>
  </si>
  <si>
    <t>1000 м2</t>
  </si>
  <si>
    <t>1 раз в месяц</t>
  </si>
  <si>
    <t>шт.</t>
  </si>
  <si>
    <t>м/час</t>
  </si>
  <si>
    <t>м3</t>
  </si>
  <si>
    <t>Осмотр деревянных заполнений проемов</t>
  </si>
  <si>
    <t>Осмотр внутренней и наружной отделки здания</t>
  </si>
  <si>
    <t>Осмотр каменных конструкций</t>
  </si>
  <si>
    <t>100 лест.</t>
  </si>
  <si>
    <t>Осмотр вводных электрических щитков</t>
  </si>
  <si>
    <t>100 шт.</t>
  </si>
  <si>
    <t>4 раза в год</t>
  </si>
  <si>
    <t>Проверка вентканалов</t>
  </si>
  <si>
    <t>2 раза в год</t>
  </si>
  <si>
    <t xml:space="preserve">Электротехнические измерения </t>
  </si>
  <si>
    <t>1 раз в 3 года</t>
  </si>
  <si>
    <t>Кровля</t>
  </si>
  <si>
    <t>Чердак, подвал, технический этаж</t>
  </si>
  <si>
    <t>Отопление</t>
  </si>
  <si>
    <t>Ликвидация воздушных пробок в стояках</t>
  </si>
  <si>
    <t>Ликвидация воздушных пробок в радиаторах</t>
  </si>
  <si>
    <t xml:space="preserve">Промывка СО </t>
  </si>
  <si>
    <t>Спуск воды и наполнение системы без осмотра</t>
  </si>
  <si>
    <t>Гидравлическое испытание СО</t>
  </si>
  <si>
    <t>Итого текущий ремонт</t>
  </si>
  <si>
    <t>Итого годовые затраты</t>
  </si>
  <si>
    <t>100 м2</t>
  </si>
  <si>
    <t>1 раз в год</t>
  </si>
  <si>
    <t>10 м</t>
  </si>
  <si>
    <t>1 м2</t>
  </si>
  <si>
    <t>ежемесячно</t>
  </si>
  <si>
    <t xml:space="preserve">Осмотр СО </t>
  </si>
  <si>
    <t>Проверка на прогрев отопительных приборов</t>
  </si>
  <si>
    <t>прибор</t>
  </si>
  <si>
    <t>Обязательные работы по содержанию общего имущества собственников помещений в многоквартирном доме</t>
  </si>
  <si>
    <t>Работы по текущему ремонту и по заявкам</t>
  </si>
  <si>
    <t>5. Настоящий Акт составлен в 2 экземплярах, имеющих одинаковую юридическую силу, по одному для каждой из Сторон</t>
  </si>
  <si>
    <t>Проведение технических осмотров и мелкий ремонт</t>
  </si>
  <si>
    <t>пгт. Ярега</t>
  </si>
  <si>
    <t>155 раз</t>
  </si>
  <si>
    <t>Подборка мусора на контейнерной площадке</t>
  </si>
  <si>
    <t xml:space="preserve">Погрузка травы, ветвей </t>
  </si>
  <si>
    <t>Вывоз смета, травы, ветвей и т.п.- м/ч</t>
  </si>
  <si>
    <t>по необходимости</t>
  </si>
  <si>
    <t xml:space="preserve">Подметание снега с тротуара, крылец, конт. площадок </t>
  </si>
  <si>
    <t>45 раз за сезон</t>
  </si>
  <si>
    <t>Стоимость песка -100м2-0,002м3</t>
  </si>
  <si>
    <t>3 раза в год</t>
  </si>
  <si>
    <t>Электроснабжение</t>
  </si>
  <si>
    <t>Смена ламп накаливания</t>
  </si>
  <si>
    <t>Смена плавкой вставки в электрощите</t>
  </si>
  <si>
    <t>10 шт</t>
  </si>
  <si>
    <t>Вентканалы, дымоходы</t>
  </si>
  <si>
    <t xml:space="preserve"> - прочистка каналов</t>
  </si>
  <si>
    <t>100м</t>
  </si>
  <si>
    <t>Услуги по выпуску квитанций, сопровождение собраний, работа с должниками</t>
  </si>
  <si>
    <t xml:space="preserve">Непредвиденные расходы </t>
  </si>
  <si>
    <t>за период с 01.01.2016 г. по 31.01.2016 г.</t>
  </si>
  <si>
    <t>Ремонт групповых щитков на лестничной клетке без ремонта автоматов</t>
  </si>
  <si>
    <t>Итого:</t>
  </si>
  <si>
    <t>1 м</t>
  </si>
  <si>
    <t>Подключение и отключение сварочного аппарата</t>
  </si>
  <si>
    <t>Очистка территории 1-го класса с усовершенствованным покрытием под скребок: ступеньки и площадки крылец, контейнерные площадки</t>
  </si>
  <si>
    <t>место</t>
  </si>
  <si>
    <t>Смена дверных приборов - петли</t>
  </si>
  <si>
    <t>Смена дверных приборов (замки навесные)</t>
  </si>
  <si>
    <t>II. Уборка земельного участка</t>
  </si>
  <si>
    <t>ООО «Жилсервис»</t>
  </si>
  <si>
    <t>АКТ №11</t>
  </si>
  <si>
    <t>за период с 01.11.2016 г. по 30.11.2016 г.</t>
  </si>
  <si>
    <t>Влажное подметание лестничных клеток 1 этажа</t>
  </si>
  <si>
    <t>100м2</t>
  </si>
  <si>
    <t>3 раза в неделю 156 раз в год</t>
  </si>
  <si>
    <t>2 раза в неделю 104 раза в год</t>
  </si>
  <si>
    <t>155 раз за сезон</t>
  </si>
  <si>
    <t>1000м2</t>
  </si>
  <si>
    <t xml:space="preserve">Пескопосыпка территории: крыльца и тротуары </t>
  </si>
  <si>
    <t>Осмотр электросетей, арматуры и электрооборудования на чердаках, подвалах и техэтажах</t>
  </si>
  <si>
    <t>Осмотр электросетей,арматуры и электооборудования на лестничных клетках</t>
  </si>
  <si>
    <t>Техническое обслуживание наружных газопроводов</t>
  </si>
  <si>
    <t>Мытье окон</t>
  </si>
  <si>
    <t>10м2</t>
  </si>
  <si>
    <t xml:space="preserve">1 раз в год     </t>
  </si>
  <si>
    <t>Влажная протирка перил</t>
  </si>
  <si>
    <t>Влажная протирка почтовых ящиков</t>
  </si>
  <si>
    <t xml:space="preserve">Влажная уборка стен </t>
  </si>
  <si>
    <t>Влажная протирка дверей</t>
  </si>
  <si>
    <t>Влажная протирка подоконников</t>
  </si>
  <si>
    <t>Влажная протирка отопительных приборов</t>
  </si>
  <si>
    <t>2 раза в неделю 52 раза в сезон</t>
  </si>
  <si>
    <t>3 раза в неделю 78 раз за сезон</t>
  </si>
  <si>
    <t>Уборка контейнерной площадки (16 кв.м.)</t>
  </si>
  <si>
    <t>Уборка газонов</t>
  </si>
  <si>
    <t>Сдвигание снега в дни снегопада (крыльца, тротуары)</t>
  </si>
  <si>
    <t>1 раз в месяц (5 раз за сезон)</t>
  </si>
  <si>
    <t>шт</t>
  </si>
  <si>
    <t xml:space="preserve">6 раз за сезон </t>
  </si>
  <si>
    <t>100м3</t>
  </si>
  <si>
    <t>1000м3</t>
  </si>
  <si>
    <t>Вода для промывки СО</t>
  </si>
  <si>
    <t>Сброс воды после промывки СО в канализацию</t>
  </si>
  <si>
    <t>ТО внутридомового газ.оборудования</t>
  </si>
  <si>
    <t>Замена ламп ДРЛ</t>
  </si>
  <si>
    <t>Аварийно-диспетчерское обслуживание</t>
  </si>
  <si>
    <t>АКТ №12</t>
  </si>
  <si>
    <t>за период с 01.12.2016 г. по 31.12.2016 г.</t>
  </si>
  <si>
    <t>Влажное подметание лестничных клеток 2-5 этажа</t>
  </si>
  <si>
    <t>Мытье лестничных  площадок и маршей 1-5 этаж.</t>
  </si>
  <si>
    <t xml:space="preserve">2 раза в месяц   24 раза в год </t>
  </si>
  <si>
    <t xml:space="preserve">1 раз в месяц </t>
  </si>
  <si>
    <t xml:space="preserve">1 раз в месяц  </t>
  </si>
  <si>
    <t>ежедневно 365 раз</t>
  </si>
  <si>
    <t>Очистка урн от мусора</t>
  </si>
  <si>
    <t>Подметание территории с усовершенствованным покрытием асф.: крыльца, контейнерн пл., проезд, тротуар</t>
  </si>
  <si>
    <t>Перекидывания снега и скола</t>
  </si>
  <si>
    <t>25 раз за сезон</t>
  </si>
  <si>
    <t>Вывоз снега с придомовой территории</t>
  </si>
  <si>
    <t>1м3</t>
  </si>
  <si>
    <t>50 раз за сезон</t>
  </si>
  <si>
    <t>Осмотр рулонной кровли</t>
  </si>
  <si>
    <t>Очистка края кровли от слежавшегося снега со сбрасыванием сосулек (козырьки)</t>
  </si>
  <si>
    <t>Очистка внутреннего водостока</t>
  </si>
  <si>
    <t>водосток</t>
  </si>
  <si>
    <t>Очистка водостоков от наледи</t>
  </si>
  <si>
    <t>Очистка  от мусора</t>
  </si>
  <si>
    <t>Дератизация</t>
  </si>
  <si>
    <t>Снятие показаний эл.счетчика коммунального назначения</t>
  </si>
  <si>
    <t>Внеплановый осмотр электросетей, армазуры и электрооборудования на лестничных клетках</t>
  </si>
  <si>
    <t>Смена дверных приборов - проушины</t>
  </si>
  <si>
    <t>Смена светодиодных светильников</t>
  </si>
  <si>
    <t xml:space="preserve">приемки оказанных услуг и выполненных работ по содержанию и текущему ремонту
общего имущества в многоквартирном доме №5 по ул.Строительная пгт.Ярега
</t>
  </si>
  <si>
    <t>Прочистка засоров ГВС, XВC</t>
  </si>
  <si>
    <t>3м</t>
  </si>
  <si>
    <t>Устройство хомута диаметром до 50 мм</t>
  </si>
  <si>
    <t>2. Всего за период с 01.12.2016 по 31.12.2016 выполнено работ (оказано услуг) на общую сумму: 115164,91 руб.</t>
  </si>
  <si>
    <t>(сто пятнадцать тысяч сто шестьдесят четыре рубля 91 копейка)</t>
  </si>
  <si>
    <t>Прогрев XВC</t>
  </si>
  <si>
    <t>Ремонт и регулировка доводчика (со стоимостью доводчика)</t>
  </si>
  <si>
    <t>1шт.</t>
  </si>
  <si>
    <t>2. Всего за период с 01.11.2016 по 30.11.2016 выполнено работ (оказано услуг) на общую сумму: 112598,93 руб.</t>
  </si>
  <si>
    <t>(сто двенадцать тысяч пятьсот девяносто восемь рублей 93 копейки)</t>
  </si>
  <si>
    <t>генеральный директор Куканов Ю.Л.</t>
  </si>
  <si>
    <t>IV. Прочие услуги</t>
  </si>
  <si>
    <t>III. Содержание общего имущества МКД</t>
  </si>
  <si>
    <r>
      <t xml:space="preserve">1. Исполнителем  предъявлены  к  приемке  следующие  оказанные  на  основании  Договора  на  содержание  и  ремонт  многоквартирного  дома  № </t>
    </r>
    <r>
      <rPr>
        <u/>
        <sz val="12"/>
        <rFont val="Times New Roman"/>
        <family val="1"/>
        <charset val="204"/>
      </rPr>
      <t xml:space="preserve">  5  </t>
    </r>
    <r>
      <rPr>
        <sz val="12"/>
        <rFont val="Times New Roman"/>
        <family val="1"/>
        <charset val="204"/>
      </rPr>
      <t xml:space="preserve"> от</t>
    </r>
    <r>
      <rPr>
        <u/>
        <sz val="12"/>
        <rFont val="Times New Roman"/>
        <family val="1"/>
        <charset val="204"/>
      </rPr>
      <t xml:space="preserve">                     </t>
    </r>
    <r>
      <rPr>
        <sz val="12"/>
        <rFont val="Times New Roman"/>
        <family val="1"/>
        <charset val="204"/>
      </rPr>
      <t>20    г. (далее - "Договор") услуги и выполненные работы по содержанию и текущему ремонту общего имущества в многоквартирном доме, расположенном по адресу: г.Ухта, пгт.Ярега, ул.Строительная, д.5</t>
    </r>
  </si>
  <si>
    <r>
      <t xml:space="preserve">    Собственники помещений в многоквартирном доме, расположенном по адресу: пгт.Ярега, ул.Строительная, д.5, именуемые в дальнейшем "Заказчик",   в лице </t>
    </r>
    <r>
      <rPr>
        <u/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>, являющегося собственником квартиры №</t>
    </r>
    <r>
      <rPr>
        <u/>
        <sz val="12"/>
        <color theme="1"/>
        <rFont val="Times New Roman"/>
        <family val="1"/>
        <charset val="204"/>
      </rPr>
      <t xml:space="preserve">          </t>
    </r>
    <r>
      <rPr>
        <sz val="12"/>
        <color theme="1"/>
        <rFont val="Times New Roman"/>
        <family val="1"/>
        <charset val="204"/>
      </rPr>
      <t>, находящихся в данном многоквартирном доме, действующего на основании решения от 06.05.2013г. стороны, и ООО «Жилсервис», именуемое в дальнейшем "Исполнитель", в лице генерального директора Куканова Юрия Леонидовича, действующего на основании Устава, с другой стороны, совместно именуемые "Стороны", составили настоящий Акт о нижеследующем:</t>
    </r>
  </si>
  <si>
    <t>III. Проведение технических осмотров</t>
  </si>
  <si>
    <t>IV. Содержание общего имущества МКД</t>
  </si>
  <si>
    <t>V. Прочие услуги</t>
  </si>
  <si>
    <t>АКТ №1</t>
  </si>
  <si>
    <t xml:space="preserve"> </t>
  </si>
  <si>
    <t xml:space="preserve">Уплотнение сгонов с применением льняной пряди или асбестового шнура (без разборки сгонов) </t>
  </si>
  <si>
    <t>1 соединение</t>
  </si>
  <si>
    <t>Смена арматуры - вентилей и клапанов обратных муфтовых диаметром до 20 мм</t>
  </si>
  <si>
    <t>1 шт</t>
  </si>
  <si>
    <t>Установка заглушек диаметром трубопроводов до 100 мм</t>
  </si>
  <si>
    <t>заглушка</t>
  </si>
  <si>
    <t>Внеплановая проверка вентканалов</t>
  </si>
  <si>
    <t xml:space="preserve">Смена сгонов у трубопроводов диаметром до 20 мм </t>
  </si>
  <si>
    <t>1 сгон</t>
  </si>
  <si>
    <t>Смена внутренних трубопроводов из стальных труб диаметром до 50 мм (без стоимости креплений)</t>
  </si>
  <si>
    <t xml:space="preserve">Вывертывание и ввертывание радиаторной пробки.   </t>
  </si>
  <si>
    <t>1 пробка</t>
  </si>
  <si>
    <t>Ремонт дверных полотен со сменой брусков обвязки горизонтальных на 2 сопряжения верхних</t>
  </si>
  <si>
    <t>брусок</t>
  </si>
  <si>
    <t>Смена трубопроводов на полипропиленовые трубы PN20 диаметром 25мм</t>
  </si>
  <si>
    <t>Смена арматуры - вентилей и клапанов обратных муфтовых диаметром до 32 мм</t>
  </si>
  <si>
    <t>Смена сгонов у трубопроводов диаметром до  32 мм</t>
  </si>
  <si>
    <t>Смена тройников у трубопроводов 20*15*20мм</t>
  </si>
  <si>
    <t>Смена обделок из листовой стали, поясков, сандриков, отливов, карнизов, шириной до 0,4 м</t>
  </si>
  <si>
    <t xml:space="preserve">Смена обводов у трубопроводов диаметром до 20 мм </t>
  </si>
  <si>
    <t>Мелкий ремонт электропроводки</t>
  </si>
  <si>
    <t>Смена обделок из листовой стали отливов шириной до 1,5 м</t>
  </si>
  <si>
    <t>Установка скамейки (VI под.)</t>
  </si>
  <si>
    <t>тыс.руб.</t>
  </si>
  <si>
    <t>Смена вентилей диаметром до 20 мм (без материалов)</t>
  </si>
  <si>
    <t>Смена прокладок</t>
  </si>
  <si>
    <t>Смена трубопроводов на металл-полимерные трубы диаметром до 20 мм</t>
  </si>
  <si>
    <t>Настройка таймера освещения ТО-2</t>
  </si>
  <si>
    <t>100шт</t>
  </si>
  <si>
    <t>Обрезка ветвей деревьев: осина, ива</t>
  </si>
  <si>
    <t>100 шт</t>
  </si>
  <si>
    <t>Работа автовышки</t>
  </si>
  <si>
    <t>маш/час</t>
  </si>
  <si>
    <t>Смена полиэтиленовых канализационных труб 110×1000 мм</t>
  </si>
  <si>
    <t xml:space="preserve">Смена полиэтиленовых канализационных труб 110×2000 мм </t>
  </si>
  <si>
    <t>Крестовина 110*110*110*45°</t>
  </si>
  <si>
    <t>Переход чугун-пластик Ду 110 с манжетой</t>
  </si>
  <si>
    <t>Отвод 110*87°</t>
  </si>
  <si>
    <t>Манжета 110 мм</t>
  </si>
  <si>
    <t>Ревизия 110 мм</t>
  </si>
  <si>
    <t xml:space="preserve">Установка перемычки диаметром до 20 мм </t>
  </si>
  <si>
    <t>Ремонт балконного ограждения (кв.73)</t>
  </si>
  <si>
    <t>Смена отдельных каменных и железобетонных ступеней - смена на сплошном основании или с заделкой двух концов</t>
  </si>
  <si>
    <t>Смена трубопроводов на полипропиленовые трубы PN25 диаметром 20 мм</t>
  </si>
  <si>
    <t>Смена трубопроводов на полипропиленовые трубы PN25 диаметром 25 мм</t>
  </si>
  <si>
    <t>Патрубок компенсационный ПП Ду 110 с кольцом</t>
  </si>
  <si>
    <t>Смена автомата на ток до 25А</t>
  </si>
  <si>
    <t>Валка сухостойных и больных деревьев в городских условиях диаметром до 300 мм</t>
  </si>
  <si>
    <t>1 мЗ</t>
  </si>
  <si>
    <t>Установка оконной рамы (I под.)</t>
  </si>
  <si>
    <t>Дезинфекция подвала</t>
  </si>
  <si>
    <t>Отвод 110*45°</t>
  </si>
  <si>
    <t>Тройник Ду-110*90°</t>
  </si>
  <si>
    <t>Тройник Ду-110*45°</t>
  </si>
  <si>
    <t>Муфта 110</t>
  </si>
  <si>
    <t>Тройник Ду-110*50*45°</t>
  </si>
  <si>
    <t xml:space="preserve">Смена внутренних трубопроводов из стальных труб диаметром до 50 мм </t>
  </si>
  <si>
    <t>Установка внутренней двери</t>
  </si>
  <si>
    <t>10 шт блоков</t>
  </si>
  <si>
    <t>Муфта разъемная с НР 25×3/4</t>
  </si>
  <si>
    <t xml:space="preserve">2 раза в месяц 24 раза в год </t>
  </si>
  <si>
    <t>5 раз в год</t>
  </si>
  <si>
    <t>Прочистка каналов</t>
  </si>
  <si>
    <t>2. Всего за период с 01.01.2016 по 31.01.2016 выполнено работ (оказано услуг) на общую сумму: 140601,81 руб.</t>
  </si>
  <si>
    <t>(сто сорок тысяч шестьсот один рубль 81 копейка)</t>
  </si>
  <si>
    <t>АКТ №2</t>
  </si>
  <si>
    <t>2. Всего за период с 01.02.2016 по 29.02.2016 выполнено работ (оказано услуг) на общую сумму: 116445,68 руб.</t>
  </si>
  <si>
    <t>(сто шестнадцать тысяч четыреста сорок пять рублей 68 копеек)</t>
  </si>
  <si>
    <t>за период с 01.02.2016 г. по 29.02.2016 г.</t>
  </si>
  <si>
    <t>АКТ №3</t>
  </si>
  <si>
    <t>за период с 01.03.2016 г. по 31.03.2016 г.</t>
  </si>
  <si>
    <t>2. Всего за период с 01.03.2016 по 31.03.2016 выполнено работ (оказано услуг) на общую сумму: 120563,00 руб.</t>
  </si>
  <si>
    <t>(сто двадцать тысяч пятьсот шестьдесят три рубля 00 копеек)</t>
  </si>
  <si>
    <t>АКТ №4</t>
  </si>
  <si>
    <t>за период с 01.04.2016 г. по 30.04.2016 г.</t>
  </si>
  <si>
    <t>2. Всего за период с 01.04.2016 по 30.04.2016 выполнено работ (оказано услуг) на общую сумму: 182837,85 руб.</t>
  </si>
  <si>
    <t>(сто восемьдесят две тысячи восемьсот тридцать семь рублей 85 копеек)</t>
  </si>
  <si>
    <t>АКТ №5</t>
  </si>
  <si>
    <t>за период с 01.05.2016 г. по 31.05.2016 г.</t>
  </si>
  <si>
    <t>2. Всего за период с 01.05.2016 по 31.05.2016 выполнено работ (оказано услуг) на общую сумму: 290349,98 руб.</t>
  </si>
  <si>
    <t>(двести девяносто тысяч триста сорок девять рублей 98 копеек)</t>
  </si>
  <si>
    <t>АКТ №6</t>
  </si>
  <si>
    <t>за период с 01.06.2016 г. по 30.06.2016 г.</t>
  </si>
  <si>
    <t>АКТ №7</t>
  </si>
  <si>
    <t>за период с 01.07.2016 г. по 31.07.2016 г.</t>
  </si>
  <si>
    <t>2. Всего за период с 01.07.2016 по 31.07.2016 выполнено работ (оказано услуг) на общую сумму: 119729,35 руб.</t>
  </si>
  <si>
    <t>(сто девятнадать тысяч семьсот двадцать девять рублей 35 копеек)</t>
  </si>
  <si>
    <t>АКТ №8</t>
  </si>
  <si>
    <t>за период с 01.08.2016 г. по 31.08.2016 г.</t>
  </si>
  <si>
    <t>2. Всего за период с 01.08.2016 по 31.08.2016 выполнено работ (оказано услуг) на общую сумму: 124709,06 руб.</t>
  </si>
  <si>
    <t>(сто двадцать четыре тысячи семьсот девять рублей 06 копеек)</t>
  </si>
  <si>
    <t>АКТ №9</t>
  </si>
  <si>
    <t>за период с 01.09.2016 г. по 30.09.2016 г.</t>
  </si>
  <si>
    <t>2. Всего за период с 01.09.2016 по 30.09.2016 выполнено работ (оказано услуг) на общую сумму: 132934,03 руб.</t>
  </si>
  <si>
    <t>(сто тридцать две тысячи девятьсот тридцать четыре рубля 03 копейки)</t>
  </si>
  <si>
    <t>АКТ №10</t>
  </si>
  <si>
    <t>за период с 01.10.2016 г. по 31.10.2016 г.</t>
  </si>
  <si>
    <t>2. Всего за период с 01.10.2016 по 31.10.2016 выполнено работ (оказано услуг) на общую сумму: 118641,53 руб.</t>
  </si>
  <si>
    <t>(сто восемнадцать тысяч шестьсот сорок один рубль 53 копейки)</t>
  </si>
  <si>
    <t>Ремонт козырька (IV под.)</t>
  </si>
  <si>
    <t>Работа гона</t>
  </si>
  <si>
    <t>2. Всего за период с 01.06.2016 по 30.06.2016 выполнено работ (оказано услуг) на общую сумму: 131894,66 руб.</t>
  </si>
  <si>
    <t>(сто тридцать одна тысяча восемьсот девяносто четыре рубля 66 копеек)</t>
  </si>
</sst>
</file>

<file path=xl/styles.xml><?xml version="1.0" encoding="utf-8"?>
<styleSheet xmlns="http://schemas.openxmlformats.org/spreadsheetml/2006/main">
  <numFmts count="1">
    <numFmt numFmtId="164" formatCode="#,##0.000"/>
  </numFmts>
  <fonts count="20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9"/>
      <name val="Times New Roman"/>
      <family val="1"/>
      <charset val="204"/>
    </font>
    <font>
      <u/>
      <sz val="12"/>
      <name val="Times New Roman"/>
      <family val="1"/>
      <charset val="204"/>
    </font>
    <font>
      <sz val="10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</font>
    <font>
      <sz val="10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u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.5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51"/>
      </patternFill>
    </fill>
    <fill>
      <patternFill patternType="solid">
        <fgColor indexed="9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</borders>
  <cellStyleXfs count="4">
    <xf numFmtId="0" fontId="0" fillId="0" borderId="0"/>
    <xf numFmtId="0" fontId="7" fillId="0" borderId="0"/>
    <xf numFmtId="0" fontId="8" fillId="0" borderId="0"/>
    <xf numFmtId="0" fontId="8" fillId="0" borderId="0"/>
  </cellStyleXfs>
  <cellXfs count="186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 applyAlignment="1"/>
    <xf numFmtId="0" fontId="2" fillId="0" borderId="0" xfId="0" applyFont="1" applyBorder="1" applyAlignment="1">
      <alignment wrapText="1"/>
    </xf>
    <xf numFmtId="0" fontId="2" fillId="0" borderId="0" xfId="0" applyFont="1"/>
    <xf numFmtId="0" fontId="3" fillId="0" borderId="0" xfId="0" applyFont="1" applyBorder="1" applyAlignment="1">
      <alignment vertical="top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0" fillId="0" borderId="0" xfId="0" applyFill="1"/>
    <xf numFmtId="0" fontId="0" fillId="0" borderId="0" xfId="0" applyBorder="1"/>
    <xf numFmtId="0" fontId="9" fillId="0" borderId="0" xfId="0" applyFont="1" applyAlignment="1">
      <alignment wrapText="1"/>
    </xf>
    <xf numFmtId="0" fontId="2" fillId="0" borderId="0" xfId="0" applyFont="1" applyAlignment="1">
      <alignment horizontal="justify"/>
    </xf>
    <xf numFmtId="0" fontId="2" fillId="0" borderId="0" xfId="0" applyFont="1" applyAlignment="1">
      <alignment horizontal="center" wrapText="1"/>
    </xf>
    <xf numFmtId="0" fontId="11" fillId="0" borderId="3" xfId="0" applyFont="1" applyFill="1" applyBorder="1" applyAlignment="1">
      <alignment horizontal="left"/>
    </xf>
    <xf numFmtId="0" fontId="11" fillId="0" borderId="3" xfId="0" applyFont="1" applyFill="1" applyBorder="1" applyAlignment="1">
      <alignment horizontal="center"/>
    </xf>
    <xf numFmtId="4" fontId="11" fillId="0" borderId="3" xfId="0" applyNumberFormat="1" applyFont="1" applyFill="1" applyBorder="1" applyAlignment="1">
      <alignment horizontal="center" wrapText="1"/>
    </xf>
    <xf numFmtId="4" fontId="11" fillId="0" borderId="3" xfId="0" applyNumberFormat="1" applyFont="1" applyFill="1" applyBorder="1" applyAlignment="1">
      <alignment horizontal="center" vertical="center"/>
    </xf>
    <xf numFmtId="4" fontId="11" fillId="0" borderId="3" xfId="0" applyNumberFormat="1" applyFont="1" applyFill="1" applyBorder="1" applyAlignment="1">
      <alignment horizontal="center"/>
    </xf>
    <xf numFmtId="0" fontId="11" fillId="0" borderId="3" xfId="0" applyFont="1" applyFill="1" applyBorder="1" applyAlignment="1">
      <alignment horizontal="left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164" fontId="11" fillId="0" borderId="3" xfId="0" applyNumberFormat="1" applyFont="1" applyFill="1" applyBorder="1" applyAlignment="1">
      <alignment horizontal="center" vertical="center"/>
    </xf>
    <xf numFmtId="4" fontId="11" fillId="2" borderId="3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2" fontId="11" fillId="0" borderId="3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left" vertical="center" wrapText="1"/>
    </xf>
    <xf numFmtId="0" fontId="11" fillId="0" borderId="7" xfId="0" applyFont="1" applyFill="1" applyBorder="1" applyAlignment="1">
      <alignment horizontal="center" vertical="center"/>
    </xf>
    <xf numFmtId="164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15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15" fillId="0" borderId="0" xfId="0" applyFont="1"/>
    <xf numFmtId="0" fontId="11" fillId="0" borderId="3" xfId="0" applyFont="1" applyFill="1" applyBorder="1" applyAlignment="1">
      <alignment horizontal="center" vertical="center" wrapText="1"/>
    </xf>
    <xf numFmtId="14" fontId="2" fillId="0" borderId="0" xfId="0" applyNumberFormat="1" applyFont="1" applyAlignment="1">
      <alignment wrapText="1"/>
    </xf>
    <xf numFmtId="4" fontId="13" fillId="0" borderId="3" xfId="0" applyNumberFormat="1" applyFont="1" applyFill="1" applyBorder="1" applyAlignment="1">
      <alignment horizontal="center" vertical="center" wrapText="1"/>
    </xf>
    <xf numFmtId="4" fontId="11" fillId="2" borderId="8" xfId="0" applyNumberFormat="1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left" vertical="center" wrapText="1"/>
    </xf>
    <xf numFmtId="0" fontId="14" fillId="0" borderId="3" xfId="0" applyFont="1" applyBorder="1" applyAlignment="1">
      <alignment horizontal="center" vertical="center"/>
    </xf>
    <xf numFmtId="0" fontId="11" fillId="3" borderId="8" xfId="0" applyFont="1" applyFill="1" applyBorder="1" applyAlignment="1">
      <alignment horizontal="left" vertical="center" wrapText="1"/>
    </xf>
    <xf numFmtId="4" fontId="11" fillId="3" borderId="8" xfId="0" applyNumberFormat="1" applyFont="1" applyFill="1" applyBorder="1" applyAlignment="1">
      <alignment horizontal="center" vertical="center"/>
    </xf>
    <xf numFmtId="0" fontId="14" fillId="0" borderId="3" xfId="0" applyFont="1" applyBorder="1"/>
    <xf numFmtId="0" fontId="14" fillId="0" borderId="3" xfId="0" applyFont="1" applyFill="1" applyBorder="1"/>
    <xf numFmtId="4" fontId="11" fillId="2" borderId="3" xfId="0" applyNumberFormat="1" applyFont="1" applyFill="1" applyBorder="1" applyAlignment="1">
      <alignment horizontal="center" vertical="center"/>
    </xf>
    <xf numFmtId="4" fontId="11" fillId="3" borderId="3" xfId="0" applyNumberFormat="1" applyFont="1" applyFill="1" applyBorder="1" applyAlignment="1">
      <alignment horizontal="center" vertical="center"/>
    </xf>
    <xf numFmtId="4" fontId="11" fillId="4" borderId="3" xfId="0" applyNumberFormat="1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left" vertical="center" wrapText="1"/>
    </xf>
    <xf numFmtId="0" fontId="11" fillId="2" borderId="3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left" vertical="center"/>
    </xf>
    <xf numFmtId="0" fontId="11" fillId="3" borderId="3" xfId="0" applyFont="1" applyFill="1" applyBorder="1" applyAlignment="1">
      <alignment horizontal="center" vertical="center"/>
    </xf>
    <xf numFmtId="4" fontId="13" fillId="2" borderId="3" xfId="0" applyNumberFormat="1" applyFont="1" applyFill="1" applyBorder="1" applyAlignment="1">
      <alignment horizontal="left" vertical="center"/>
    </xf>
    <xf numFmtId="0" fontId="11" fillId="2" borderId="8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wrapText="1"/>
    </xf>
    <xf numFmtId="1" fontId="11" fillId="0" borderId="3" xfId="0" applyNumberFormat="1" applyFont="1" applyBorder="1" applyAlignment="1">
      <alignment horizontal="center" vertical="center" wrapText="1"/>
    </xf>
    <xf numFmtId="0" fontId="11" fillId="0" borderId="3" xfId="3" applyFont="1" applyBorder="1" applyAlignment="1">
      <alignment horizontal="center" vertical="center"/>
    </xf>
    <xf numFmtId="4" fontId="13" fillId="2" borderId="3" xfId="0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left" wrapText="1"/>
    </xf>
    <xf numFmtId="0" fontId="13" fillId="0" borderId="3" xfId="0" applyFont="1" applyFill="1" applyBorder="1" applyAlignment="1">
      <alignment horizontal="left"/>
    </xf>
    <xf numFmtId="0" fontId="13" fillId="0" borderId="3" xfId="0" applyFont="1" applyFill="1" applyBorder="1" applyAlignment="1">
      <alignment horizontal="center" wrapText="1"/>
    </xf>
    <xf numFmtId="0" fontId="13" fillId="2" borderId="3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/>
    </xf>
    <xf numFmtId="0" fontId="13" fillId="0" borderId="3" xfId="0" applyFont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left" vertical="center"/>
    </xf>
    <xf numFmtId="0" fontId="11" fillId="2" borderId="11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left" vertical="center" wrapText="1"/>
    </xf>
    <xf numFmtId="0" fontId="12" fillId="0" borderId="3" xfId="0" applyFont="1" applyFill="1" applyBorder="1" applyAlignment="1">
      <alignment horizontal="center" wrapText="1"/>
    </xf>
    <xf numFmtId="0" fontId="11" fillId="0" borderId="3" xfId="0" applyFont="1" applyBorder="1"/>
    <xf numFmtId="0" fontId="2" fillId="0" borderId="0" xfId="0" applyFont="1" applyAlignment="1">
      <alignment horizontal="left" wrapText="1"/>
    </xf>
    <xf numFmtId="0" fontId="3" fillId="0" borderId="2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0" xfId="0" applyFont="1" applyBorder="1" applyAlignment="1">
      <alignment horizontal="left" wrapText="1"/>
    </xf>
    <xf numFmtId="0" fontId="13" fillId="0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3" fillId="0" borderId="0" xfId="0" applyFont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left" wrapText="1"/>
    </xf>
    <xf numFmtId="0" fontId="13" fillId="0" borderId="3" xfId="0" applyFont="1" applyFill="1" applyBorder="1" applyAlignment="1">
      <alignment horizontal="center" vertical="center" wrapText="1"/>
    </xf>
    <xf numFmtId="0" fontId="11" fillId="3" borderId="8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wrapText="1"/>
    </xf>
    <xf numFmtId="0" fontId="11" fillId="0" borderId="3" xfId="0" applyNumberFormat="1" applyFont="1" applyFill="1" applyBorder="1" applyAlignment="1" applyProtection="1">
      <alignment horizontal="left" vertical="center" wrapText="1"/>
    </xf>
    <xf numFmtId="0" fontId="11" fillId="3" borderId="3" xfId="0" applyFont="1" applyFill="1" applyBorder="1" applyAlignment="1">
      <alignment horizontal="left" vertical="center" wrapText="1"/>
    </xf>
    <xf numFmtId="0" fontId="11" fillId="4" borderId="3" xfId="0" applyFont="1" applyFill="1" applyBorder="1" applyAlignment="1">
      <alignment horizontal="center" vertical="center"/>
    </xf>
    <xf numFmtId="1" fontId="11" fillId="2" borderId="3" xfId="0" applyNumberFormat="1" applyFont="1" applyFill="1" applyBorder="1" applyAlignment="1">
      <alignment horizontal="left" vertical="center" wrapText="1"/>
    </xf>
    <xf numFmtId="2" fontId="11" fillId="0" borderId="3" xfId="0" applyNumberFormat="1" applyFont="1" applyFill="1" applyBorder="1" applyAlignment="1">
      <alignment horizontal="center" vertical="center" wrapText="1"/>
    </xf>
    <xf numFmtId="0" fontId="11" fillId="2" borderId="3" xfId="0" applyNumberFormat="1" applyFont="1" applyFill="1" applyBorder="1" applyAlignment="1" applyProtection="1">
      <alignment horizontal="left" vertical="center" wrapText="1"/>
    </xf>
    <xf numFmtId="0" fontId="11" fillId="2" borderId="3" xfId="0" applyNumberFormat="1" applyFont="1" applyFill="1" applyBorder="1" applyAlignment="1" applyProtection="1">
      <alignment horizontal="center" vertical="center" wrapText="1"/>
    </xf>
    <xf numFmtId="4" fontId="11" fillId="0" borderId="6" xfId="0" applyNumberFormat="1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left" vertical="center" wrapText="1"/>
    </xf>
    <xf numFmtId="4" fontId="11" fillId="2" borderId="0" xfId="0" applyNumberFormat="1" applyFont="1" applyFill="1" applyBorder="1" applyAlignment="1">
      <alignment horizontal="center" vertical="center"/>
    </xf>
    <xf numFmtId="0" fontId="11" fillId="2" borderId="13" xfId="0" applyNumberFormat="1" applyFont="1" applyFill="1" applyBorder="1" applyAlignment="1" applyProtection="1">
      <alignment horizontal="left" vertical="center" wrapText="1"/>
    </xf>
    <xf numFmtId="0" fontId="11" fillId="2" borderId="13" xfId="0" applyNumberFormat="1" applyFont="1" applyFill="1" applyBorder="1" applyAlignment="1" applyProtection="1">
      <alignment horizontal="center" vertical="center" wrapText="1"/>
    </xf>
    <xf numFmtId="0" fontId="11" fillId="5" borderId="3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13" fillId="0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0" xfId="0" applyFont="1" applyBorder="1" applyAlignment="1">
      <alignment horizontal="left" wrapText="1"/>
    </xf>
    <xf numFmtId="0" fontId="18" fillId="0" borderId="3" xfId="0" applyFont="1" applyFill="1" applyBorder="1" applyAlignment="1">
      <alignment horizontal="left" vertical="center" wrapText="1"/>
    </xf>
    <xf numFmtId="0" fontId="11" fillId="0" borderId="3" xfId="0" applyNumberFormat="1" applyFont="1" applyFill="1" applyBorder="1" applyAlignment="1" applyProtection="1">
      <alignment horizontal="center" vertical="center" wrapText="1"/>
    </xf>
    <xf numFmtId="0" fontId="11" fillId="0" borderId="3" xfId="0" applyNumberFormat="1" applyFont="1" applyFill="1" applyBorder="1" applyAlignment="1" applyProtection="1">
      <alignment horizontal="left" vertical="center"/>
    </xf>
    <xf numFmtId="0" fontId="11" fillId="2" borderId="3" xfId="0" applyNumberFormat="1" applyFont="1" applyFill="1" applyBorder="1" applyAlignment="1" applyProtection="1">
      <alignment horizontal="left" vertical="center"/>
    </xf>
    <xf numFmtId="0" fontId="11" fillId="2" borderId="3" xfId="0" applyNumberFormat="1" applyFont="1" applyFill="1" applyBorder="1" applyAlignment="1" applyProtection="1">
      <alignment horizontal="center" vertical="center"/>
    </xf>
    <xf numFmtId="0" fontId="11" fillId="0" borderId="14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11" fillId="2" borderId="15" xfId="0" applyFont="1" applyFill="1" applyBorder="1" applyAlignment="1">
      <alignment horizontal="left" vertical="center" wrapText="1"/>
    </xf>
    <xf numFmtId="0" fontId="11" fillId="2" borderId="15" xfId="0" applyFont="1" applyFill="1" applyBorder="1" applyAlignment="1">
      <alignment horizontal="center" vertical="center"/>
    </xf>
    <xf numFmtId="4" fontId="11" fillId="0" borderId="7" xfId="0" applyNumberFormat="1" applyFont="1" applyFill="1" applyBorder="1" applyAlignment="1">
      <alignment horizontal="center" vertical="center" wrapText="1"/>
    </xf>
    <xf numFmtId="4" fontId="11" fillId="2" borderId="7" xfId="0" applyNumberFormat="1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vertical="center" wrapText="1"/>
    </xf>
    <xf numFmtId="4" fontId="11" fillId="0" borderId="0" xfId="0" applyNumberFormat="1" applyFont="1" applyFill="1" applyBorder="1" applyAlignment="1">
      <alignment horizontal="center" vertical="center"/>
    </xf>
    <xf numFmtId="4" fontId="11" fillId="0" borderId="0" xfId="0" applyNumberFormat="1" applyFont="1" applyFill="1" applyBorder="1" applyAlignment="1">
      <alignment horizontal="center" vertical="center" wrapText="1"/>
    </xf>
    <xf numFmtId="0" fontId="19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14" fillId="0" borderId="0" xfId="0" applyFont="1" applyBorder="1" applyAlignment="1">
      <alignment wrapText="1"/>
    </xf>
    <xf numFmtId="0" fontId="11" fillId="0" borderId="8" xfId="0" applyFont="1" applyFill="1" applyBorder="1" applyAlignment="1">
      <alignment horizontal="left" vertical="center" wrapText="1"/>
    </xf>
    <xf numFmtId="0" fontId="11" fillId="0" borderId="8" xfId="0" applyFont="1" applyFill="1" applyBorder="1" applyAlignment="1">
      <alignment horizontal="center" vertical="center"/>
    </xf>
    <xf numFmtId="4" fontId="11" fillId="0" borderId="8" xfId="0" applyNumberFormat="1" applyFont="1" applyFill="1" applyBorder="1" applyAlignment="1">
      <alignment horizontal="center" vertical="center" wrapText="1"/>
    </xf>
    <xf numFmtId="4" fontId="11" fillId="0" borderId="8" xfId="0" applyNumberFormat="1" applyFont="1" applyFill="1" applyBorder="1" applyAlignment="1">
      <alignment horizontal="center" vertical="center"/>
    </xf>
    <xf numFmtId="4" fontId="11" fillId="0" borderId="16" xfId="0" applyNumberFormat="1" applyFont="1" applyFill="1" applyBorder="1" applyAlignment="1">
      <alignment horizontal="center" vertical="center"/>
    </xf>
    <xf numFmtId="4" fontId="11" fillId="0" borderId="15" xfId="0" applyNumberFormat="1" applyFont="1" applyFill="1" applyBorder="1" applyAlignment="1">
      <alignment horizontal="center" vertical="center" wrapText="1"/>
    </xf>
    <xf numFmtId="4" fontId="13" fillId="0" borderId="3" xfId="0" applyNumberFormat="1" applyFont="1" applyFill="1" applyBorder="1" applyAlignment="1">
      <alignment horizontal="center" vertical="center"/>
    </xf>
    <xf numFmtId="4" fontId="17" fillId="0" borderId="8" xfId="0" applyNumberFormat="1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left" vertical="center" wrapText="1"/>
    </xf>
    <xf numFmtId="0" fontId="11" fillId="0" borderId="11" xfId="0" applyFont="1" applyFill="1" applyBorder="1" applyAlignment="1">
      <alignment horizontal="center" vertical="center"/>
    </xf>
    <xf numFmtId="4" fontId="11" fillId="0" borderId="11" xfId="0" applyNumberFormat="1" applyFont="1" applyFill="1" applyBorder="1" applyAlignment="1">
      <alignment horizontal="center" vertical="center" wrapText="1"/>
    </xf>
    <xf numFmtId="4" fontId="11" fillId="0" borderId="17" xfId="0" applyNumberFormat="1" applyFont="1" applyFill="1" applyBorder="1" applyAlignment="1">
      <alignment horizontal="center" vertical="center"/>
    </xf>
    <xf numFmtId="4" fontId="11" fillId="0" borderId="18" xfId="0" applyNumberFormat="1" applyFont="1" applyFill="1" applyBorder="1" applyAlignment="1">
      <alignment horizontal="center" vertical="center"/>
    </xf>
    <xf numFmtId="4" fontId="11" fillId="0" borderId="11" xfId="0" applyNumberFormat="1" applyFont="1" applyFill="1" applyBorder="1" applyAlignment="1">
      <alignment horizontal="center" vertical="center"/>
    </xf>
    <xf numFmtId="4" fontId="11" fillId="0" borderId="5" xfId="0" applyNumberFormat="1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left" vertical="center" wrapText="1"/>
    </xf>
    <xf numFmtId="0" fontId="13" fillId="0" borderId="3" xfId="0" applyFont="1" applyFill="1" applyBorder="1" applyAlignment="1">
      <alignment horizontal="left" vertical="center"/>
    </xf>
    <xf numFmtId="0" fontId="13" fillId="0" borderId="3" xfId="0" applyFont="1" applyFill="1" applyBorder="1" applyAlignment="1">
      <alignment horizontal="center" vertical="center"/>
    </xf>
    <xf numFmtId="4" fontId="13" fillId="0" borderId="5" xfId="0" applyNumberFormat="1" applyFont="1" applyFill="1" applyBorder="1" applyAlignment="1">
      <alignment horizontal="center" vertical="center"/>
    </xf>
    <xf numFmtId="4" fontId="11" fillId="0" borderId="1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 applyProtection="1">
      <alignment horizontal="center" vertical="center"/>
    </xf>
    <xf numFmtId="0" fontId="11" fillId="0" borderId="13" xfId="0" applyNumberFormat="1" applyFont="1" applyFill="1" applyBorder="1" applyAlignment="1" applyProtection="1">
      <alignment horizontal="left" vertical="center" wrapText="1"/>
    </xf>
    <xf numFmtId="0" fontId="11" fillId="0" borderId="13" xfId="0" applyNumberFormat="1" applyFont="1" applyFill="1" applyBorder="1" applyAlignment="1" applyProtection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/>
    </xf>
    <xf numFmtId="0" fontId="13" fillId="0" borderId="11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left" vertical="center" wrapText="1"/>
    </xf>
    <xf numFmtId="4" fontId="11" fillId="0" borderId="7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center"/>
    </xf>
    <xf numFmtId="0" fontId="19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12" fillId="0" borderId="9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wrapText="1"/>
    </xf>
    <xf numFmtId="0" fontId="14" fillId="0" borderId="1" xfId="0" applyFont="1" applyBorder="1" applyAlignment="1">
      <alignment wrapText="1"/>
    </xf>
    <xf numFmtId="0" fontId="2" fillId="0" borderId="0" xfId="0" applyFont="1" applyAlignment="1">
      <alignment horizontal="left"/>
    </xf>
    <xf numFmtId="0" fontId="12" fillId="0" borderId="3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/>
    <xf numFmtId="0" fontId="15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2"/>
    <cellStyle name="Обычный 2 2" xfId="3"/>
    <cellStyle name="Обычный_Соддома № 13 по ул.Чибьюская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169"/>
  <sheetViews>
    <sheetView tabSelected="1" workbookViewId="0">
      <selection activeCell="A3" sqref="A3:I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36" t="s">
        <v>96</v>
      </c>
      <c r="I1" s="35"/>
      <c r="J1" s="1"/>
      <c r="K1" s="1"/>
      <c r="L1" s="1"/>
      <c r="M1" s="1"/>
    </row>
    <row r="2" spans="1:13" ht="15.75">
      <c r="A2" s="37" t="s">
        <v>67</v>
      </c>
      <c r="J2" s="2"/>
      <c r="K2" s="2"/>
      <c r="L2" s="2"/>
      <c r="M2" s="2"/>
    </row>
    <row r="3" spans="1:13" ht="15.75" customHeight="1">
      <c r="A3" s="177" t="s">
        <v>178</v>
      </c>
      <c r="B3" s="177"/>
      <c r="C3" s="177"/>
      <c r="D3" s="177"/>
      <c r="E3" s="177"/>
      <c r="F3" s="177"/>
      <c r="G3" s="177"/>
      <c r="H3" s="177"/>
      <c r="I3" s="177"/>
      <c r="J3" s="3"/>
      <c r="K3" s="3"/>
      <c r="L3" s="3"/>
    </row>
    <row r="4" spans="1:13" ht="31.5" customHeight="1">
      <c r="A4" s="178" t="s">
        <v>159</v>
      </c>
      <c r="B4" s="178"/>
      <c r="C4" s="178"/>
      <c r="D4" s="178"/>
      <c r="E4" s="178"/>
      <c r="F4" s="178"/>
      <c r="G4" s="178"/>
      <c r="H4" s="178"/>
      <c r="I4" s="178"/>
    </row>
    <row r="5" spans="1:13" ht="15.75">
      <c r="A5" s="177" t="s">
        <v>86</v>
      </c>
      <c r="B5" s="179"/>
      <c r="C5" s="179"/>
      <c r="D5" s="179"/>
      <c r="E5" s="179"/>
      <c r="F5" s="179"/>
      <c r="G5" s="179"/>
      <c r="H5" s="179"/>
      <c r="I5" s="179"/>
      <c r="J5" s="2"/>
      <c r="K5" s="2"/>
      <c r="L5" s="2"/>
      <c r="M5" s="2"/>
    </row>
    <row r="6" spans="1:13" ht="15.75">
      <c r="A6" s="2"/>
      <c r="B6" s="107"/>
      <c r="C6" s="107"/>
      <c r="D6" s="107"/>
      <c r="E6" s="107"/>
      <c r="F6" s="107"/>
      <c r="G6" s="107"/>
      <c r="H6" s="107"/>
      <c r="I6" s="39">
        <v>42400</v>
      </c>
      <c r="J6" s="2"/>
      <c r="K6" s="2"/>
      <c r="L6" s="2"/>
      <c r="M6" s="2"/>
    </row>
    <row r="7" spans="1:13" ht="15.75">
      <c r="B7" s="105"/>
      <c r="C7" s="105"/>
      <c r="D7" s="105"/>
      <c r="E7" s="3"/>
      <c r="F7" s="3"/>
      <c r="G7" s="3"/>
      <c r="H7" s="3"/>
      <c r="J7" s="3"/>
      <c r="K7" s="3"/>
      <c r="L7" s="3"/>
      <c r="M7" s="3"/>
    </row>
    <row r="8" spans="1:13" ht="87" customHeight="1">
      <c r="A8" s="180" t="s">
        <v>174</v>
      </c>
      <c r="B8" s="180"/>
      <c r="C8" s="180"/>
      <c r="D8" s="180"/>
      <c r="E8" s="180"/>
      <c r="F8" s="180"/>
      <c r="G8" s="180"/>
      <c r="H8" s="180"/>
      <c r="I8" s="180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55.5" customHeight="1">
      <c r="A10" s="181" t="s">
        <v>173</v>
      </c>
      <c r="B10" s="181"/>
      <c r="C10" s="181"/>
      <c r="D10" s="181"/>
      <c r="E10" s="181"/>
      <c r="F10" s="181"/>
      <c r="G10" s="181"/>
      <c r="H10" s="181"/>
      <c r="I10" s="181"/>
      <c r="J10" s="2"/>
      <c r="K10" s="2"/>
      <c r="L10" s="2"/>
      <c r="M10" s="2"/>
    </row>
    <row r="11" spans="1:13" ht="15.75">
      <c r="A11" s="4"/>
    </row>
    <row r="12" spans="1:13" ht="4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182" t="s">
        <v>63</v>
      </c>
      <c r="B14" s="182"/>
      <c r="C14" s="182"/>
      <c r="D14" s="182"/>
      <c r="E14" s="182"/>
      <c r="F14" s="182"/>
      <c r="G14" s="182"/>
      <c r="H14" s="182"/>
      <c r="I14" s="182"/>
      <c r="J14" s="8"/>
      <c r="K14" s="8"/>
      <c r="L14" s="8"/>
      <c r="M14" s="8"/>
    </row>
    <row r="15" spans="1:13" ht="15" customHeight="1">
      <c r="A15" s="173" t="s">
        <v>4</v>
      </c>
      <c r="B15" s="173"/>
      <c r="C15" s="173"/>
      <c r="D15" s="173"/>
      <c r="E15" s="173"/>
      <c r="F15" s="173"/>
      <c r="G15" s="173"/>
      <c r="H15" s="173"/>
      <c r="I15" s="173"/>
      <c r="J15" s="8"/>
      <c r="K15" s="8"/>
      <c r="L15" s="8"/>
      <c r="M15" s="8"/>
    </row>
    <row r="16" spans="1:13" ht="31.5" customHeight="1">
      <c r="A16" s="38">
        <v>1</v>
      </c>
      <c r="B16" s="131" t="s">
        <v>99</v>
      </c>
      <c r="C16" s="132" t="s">
        <v>100</v>
      </c>
      <c r="D16" s="131" t="s">
        <v>101</v>
      </c>
      <c r="E16" s="133">
        <v>208.08</v>
      </c>
      <c r="F16" s="134">
        <f>SUM(E16*156/100)</f>
        <v>324.60480000000001</v>
      </c>
      <c r="G16" s="134">
        <v>175.38</v>
      </c>
      <c r="H16" s="135">
        <f t="shared" ref="H16:H25" si="0">SUM(F16*G16/1000)</f>
        <v>56.929189823999998</v>
      </c>
      <c r="I16" s="16">
        <f>F16/12*G16</f>
        <v>4744.0991519999998</v>
      </c>
      <c r="J16" s="30"/>
      <c r="K16" s="8"/>
      <c r="L16" s="8"/>
      <c r="M16" s="8"/>
    </row>
    <row r="17" spans="1:13" ht="31.5" customHeight="1">
      <c r="A17" s="38">
        <v>2</v>
      </c>
      <c r="B17" s="131" t="s">
        <v>135</v>
      </c>
      <c r="C17" s="132" t="s">
        <v>100</v>
      </c>
      <c r="D17" s="131" t="s">
        <v>102</v>
      </c>
      <c r="E17" s="133">
        <v>832.32</v>
      </c>
      <c r="F17" s="134">
        <f>SUM(E17*104/100)</f>
        <v>865.61279999999999</v>
      </c>
      <c r="G17" s="134">
        <v>175.38</v>
      </c>
      <c r="H17" s="135">
        <f t="shared" si="0"/>
        <v>151.81117286399999</v>
      </c>
      <c r="I17" s="16">
        <f>F17/12*G17</f>
        <v>12650.931071999999</v>
      </c>
      <c r="J17" s="31"/>
      <c r="K17" s="8"/>
      <c r="L17" s="8"/>
      <c r="M17" s="8"/>
    </row>
    <row r="18" spans="1:13" ht="31.5" customHeight="1">
      <c r="A18" s="38">
        <v>3</v>
      </c>
      <c r="B18" s="131" t="s">
        <v>136</v>
      </c>
      <c r="C18" s="132" t="s">
        <v>100</v>
      </c>
      <c r="D18" s="131" t="s">
        <v>240</v>
      </c>
      <c r="E18" s="133">
        <v>1040.4000000000001</v>
      </c>
      <c r="F18" s="134">
        <f>SUM(E18*24/100)</f>
        <v>249.69600000000003</v>
      </c>
      <c r="G18" s="134">
        <v>504.5</v>
      </c>
      <c r="H18" s="135">
        <f t="shared" si="0"/>
        <v>125.97163200000001</v>
      </c>
      <c r="I18" s="16">
        <f>F18/12*G18</f>
        <v>10497.636000000002</v>
      </c>
      <c r="J18" s="31"/>
      <c r="K18" s="8"/>
      <c r="L18" s="8"/>
      <c r="M18" s="8"/>
    </row>
    <row r="19" spans="1:13" ht="15.75" hidden="1" customHeight="1">
      <c r="A19" s="38"/>
      <c r="B19" s="131" t="s">
        <v>109</v>
      </c>
      <c r="C19" s="132" t="s">
        <v>110</v>
      </c>
      <c r="D19" s="131" t="s">
        <v>111</v>
      </c>
      <c r="E19" s="133">
        <v>48</v>
      </c>
      <c r="F19" s="134">
        <f>SUM(E19/10)</f>
        <v>4.8</v>
      </c>
      <c r="G19" s="134">
        <v>170.16</v>
      </c>
      <c r="H19" s="135">
        <f t="shared" si="0"/>
        <v>0.81676799999999994</v>
      </c>
      <c r="I19" s="16">
        <v>0</v>
      </c>
      <c r="J19" s="31"/>
      <c r="K19" s="8"/>
      <c r="L19" s="8"/>
      <c r="M19" s="8"/>
    </row>
    <row r="20" spans="1:13" ht="15.75" customHeight="1">
      <c r="A20" s="38">
        <v>4</v>
      </c>
      <c r="B20" s="131" t="s">
        <v>112</v>
      </c>
      <c r="C20" s="132" t="s">
        <v>100</v>
      </c>
      <c r="D20" s="131" t="s">
        <v>138</v>
      </c>
      <c r="E20" s="133">
        <v>30.6</v>
      </c>
      <c r="F20" s="134">
        <f>SUM(E20*12/100)</f>
        <v>3.6720000000000006</v>
      </c>
      <c r="G20" s="134">
        <v>217.88</v>
      </c>
      <c r="H20" s="135">
        <f t="shared" si="0"/>
        <v>0.8000553600000001</v>
      </c>
      <c r="I20" s="16">
        <f>F20/12*G20</f>
        <v>66.67128000000001</v>
      </c>
      <c r="J20" s="31"/>
      <c r="K20" s="8"/>
      <c r="L20" s="8"/>
      <c r="M20" s="8"/>
    </row>
    <row r="21" spans="1:13" ht="15.75" customHeight="1">
      <c r="A21" s="38">
        <v>5</v>
      </c>
      <c r="B21" s="131" t="s">
        <v>113</v>
      </c>
      <c r="C21" s="132" t="s">
        <v>100</v>
      </c>
      <c r="D21" s="131" t="s">
        <v>30</v>
      </c>
      <c r="E21" s="133">
        <v>10.06</v>
      </c>
      <c r="F21" s="134">
        <f>SUM(E21*12/100)</f>
        <v>1.2072000000000001</v>
      </c>
      <c r="G21" s="134">
        <v>216.12</v>
      </c>
      <c r="H21" s="135">
        <f t="shared" si="0"/>
        <v>0.26090006400000004</v>
      </c>
      <c r="I21" s="16">
        <f>F21/12*G21</f>
        <v>21.741672000000001</v>
      </c>
      <c r="J21" s="31"/>
      <c r="K21" s="8"/>
      <c r="L21" s="8"/>
      <c r="M21" s="8"/>
    </row>
    <row r="22" spans="1:13" ht="15.75" hidden="1" customHeight="1">
      <c r="A22" s="38"/>
      <c r="B22" s="131" t="s">
        <v>114</v>
      </c>
      <c r="C22" s="132" t="s">
        <v>55</v>
      </c>
      <c r="D22" s="131" t="s">
        <v>111</v>
      </c>
      <c r="E22" s="133">
        <v>769.2</v>
      </c>
      <c r="F22" s="134">
        <f>SUM(E22/100)</f>
        <v>7.6920000000000002</v>
      </c>
      <c r="G22" s="134">
        <v>269.26</v>
      </c>
      <c r="H22" s="135">
        <f t="shared" si="0"/>
        <v>2.07114792</v>
      </c>
      <c r="I22" s="16">
        <v>0</v>
      </c>
      <c r="J22" s="31"/>
      <c r="K22" s="8"/>
      <c r="L22" s="8"/>
      <c r="M22" s="8"/>
    </row>
    <row r="23" spans="1:13" ht="15.75" hidden="1" customHeight="1">
      <c r="A23" s="38"/>
      <c r="B23" s="131" t="s">
        <v>115</v>
      </c>
      <c r="C23" s="132" t="s">
        <v>55</v>
      </c>
      <c r="D23" s="131" t="s">
        <v>111</v>
      </c>
      <c r="E23" s="136">
        <v>35.28</v>
      </c>
      <c r="F23" s="134">
        <f>SUM(E23/100)</f>
        <v>0.3528</v>
      </c>
      <c r="G23" s="134">
        <v>44.29</v>
      </c>
      <c r="H23" s="135">
        <f t="shared" si="0"/>
        <v>1.5625512000000001E-2</v>
      </c>
      <c r="I23" s="16">
        <v>0</v>
      </c>
      <c r="J23" s="31"/>
      <c r="K23" s="8"/>
      <c r="L23" s="8"/>
      <c r="M23" s="8"/>
    </row>
    <row r="24" spans="1:13" ht="15.75" customHeight="1">
      <c r="A24" s="38">
        <v>6</v>
      </c>
      <c r="B24" s="131" t="s">
        <v>116</v>
      </c>
      <c r="C24" s="132" t="s">
        <v>55</v>
      </c>
      <c r="D24" s="131" t="s">
        <v>30</v>
      </c>
      <c r="E24" s="133">
        <v>10.8</v>
      </c>
      <c r="F24" s="134">
        <f>E24*12/100</f>
        <v>1.2960000000000003</v>
      </c>
      <c r="G24" s="134">
        <v>389.72</v>
      </c>
      <c r="H24" s="135">
        <f t="shared" si="0"/>
        <v>0.50507712000000016</v>
      </c>
      <c r="I24" s="16">
        <f>F24/12*G24</f>
        <v>42.089760000000012</v>
      </c>
      <c r="J24" s="31"/>
      <c r="K24" s="8"/>
      <c r="L24" s="8"/>
      <c r="M24" s="8"/>
    </row>
    <row r="25" spans="1:13" ht="15.75" customHeight="1">
      <c r="A25" s="38">
        <v>7</v>
      </c>
      <c r="B25" s="131" t="s">
        <v>117</v>
      </c>
      <c r="C25" s="132" t="s">
        <v>55</v>
      </c>
      <c r="D25" s="131" t="s">
        <v>139</v>
      </c>
      <c r="E25" s="133">
        <v>21.6</v>
      </c>
      <c r="F25" s="134">
        <f>SUM(E25*12/100)</f>
        <v>2.5920000000000005</v>
      </c>
      <c r="G25" s="134">
        <v>520.79999999999995</v>
      </c>
      <c r="H25" s="135">
        <f t="shared" si="0"/>
        <v>1.3499136</v>
      </c>
      <c r="I25" s="16">
        <f>F25/12*G25</f>
        <v>112.49280000000002</v>
      </c>
      <c r="J25" s="31"/>
      <c r="K25" s="8"/>
      <c r="L25" s="8"/>
      <c r="M25" s="8"/>
    </row>
    <row r="26" spans="1:13" ht="15.75" customHeight="1">
      <c r="A26" s="38">
        <v>8</v>
      </c>
      <c r="B26" s="131" t="s">
        <v>69</v>
      </c>
      <c r="C26" s="132" t="s">
        <v>33</v>
      </c>
      <c r="D26" s="131" t="s">
        <v>140</v>
      </c>
      <c r="E26" s="133">
        <v>0.1</v>
      </c>
      <c r="F26" s="134">
        <f>SUM(E26*365)</f>
        <v>36.5</v>
      </c>
      <c r="G26" s="134">
        <v>147.03</v>
      </c>
      <c r="H26" s="135">
        <f>SUM(F26*G26/1000)</f>
        <v>5.3665950000000002</v>
      </c>
      <c r="I26" s="16">
        <f>F26/12*G26</f>
        <v>447.21625</v>
      </c>
      <c r="J26" s="32"/>
    </row>
    <row r="27" spans="1:13" ht="15.75" customHeight="1">
      <c r="A27" s="38">
        <v>9</v>
      </c>
      <c r="B27" s="139" t="s">
        <v>23</v>
      </c>
      <c r="C27" s="132" t="s">
        <v>24</v>
      </c>
      <c r="D27" s="139" t="s">
        <v>179</v>
      </c>
      <c r="E27" s="133">
        <v>6980.3</v>
      </c>
      <c r="F27" s="134">
        <f>SUM(E27*12)</f>
        <v>83763.600000000006</v>
      </c>
      <c r="G27" s="134">
        <v>4.4000000000000004</v>
      </c>
      <c r="H27" s="135">
        <f>SUM(F27*G27/1000)</f>
        <v>368.55984000000007</v>
      </c>
      <c r="I27" s="16">
        <f>F27/12*G27</f>
        <v>30713.320000000003</v>
      </c>
      <c r="J27" s="32"/>
    </row>
    <row r="28" spans="1:13" ht="15" customHeight="1">
      <c r="A28" s="173" t="s">
        <v>95</v>
      </c>
      <c r="B28" s="173"/>
      <c r="C28" s="173"/>
      <c r="D28" s="173"/>
      <c r="E28" s="173"/>
      <c r="F28" s="173"/>
      <c r="G28" s="173"/>
      <c r="H28" s="173"/>
      <c r="I28" s="173"/>
      <c r="J28" s="31"/>
      <c r="K28" s="8"/>
      <c r="L28" s="8"/>
      <c r="M28" s="8"/>
    </row>
    <row r="29" spans="1:13" ht="15.75" hidden="1" customHeight="1">
      <c r="A29" s="38"/>
      <c r="B29" s="155" t="s">
        <v>28</v>
      </c>
      <c r="C29" s="132"/>
      <c r="D29" s="131"/>
      <c r="E29" s="133"/>
      <c r="F29" s="134"/>
      <c r="G29" s="134"/>
      <c r="H29" s="135"/>
      <c r="I29" s="16"/>
      <c r="J29" s="31"/>
      <c r="K29" s="8"/>
      <c r="L29" s="8"/>
      <c r="M29" s="8"/>
    </row>
    <row r="30" spans="1:13" ht="31.5" hidden="1" customHeight="1">
      <c r="A30" s="38">
        <v>10</v>
      </c>
      <c r="B30" s="131" t="s">
        <v>121</v>
      </c>
      <c r="C30" s="132" t="s">
        <v>104</v>
      </c>
      <c r="D30" s="131" t="s">
        <v>118</v>
      </c>
      <c r="E30" s="134">
        <v>1168.05</v>
      </c>
      <c r="F30" s="134">
        <f>SUM(E30*52/1000)</f>
        <v>60.738599999999998</v>
      </c>
      <c r="G30" s="134">
        <v>155.88999999999999</v>
      </c>
      <c r="H30" s="135">
        <f t="shared" ref="H30:H36" si="1">SUM(F30*G30/1000)</f>
        <v>9.4685403539999982</v>
      </c>
      <c r="I30" s="16">
        <f>F30/6*G30</f>
        <v>1578.0900589999997</v>
      </c>
      <c r="J30" s="31"/>
      <c r="K30" s="8"/>
      <c r="L30" s="8"/>
      <c r="M30" s="8"/>
    </row>
    <row r="31" spans="1:13" ht="31.5" hidden="1" customHeight="1">
      <c r="A31" s="38">
        <v>11</v>
      </c>
      <c r="B31" s="131" t="s">
        <v>142</v>
      </c>
      <c r="C31" s="132" t="s">
        <v>104</v>
      </c>
      <c r="D31" s="131" t="s">
        <v>119</v>
      </c>
      <c r="E31" s="134">
        <v>1039.2</v>
      </c>
      <c r="F31" s="134">
        <f>SUM(E31*78/1000)</f>
        <v>81.057600000000008</v>
      </c>
      <c r="G31" s="134">
        <v>258.63</v>
      </c>
      <c r="H31" s="135">
        <f t="shared" si="1"/>
        <v>20.963927088000002</v>
      </c>
      <c r="I31" s="16">
        <f t="shared" ref="I31:I34" si="2">F31/6*G31</f>
        <v>3493.9878480000002</v>
      </c>
      <c r="J31" s="31"/>
      <c r="K31" s="8"/>
      <c r="L31" s="8"/>
      <c r="M31" s="8"/>
    </row>
    <row r="32" spans="1:13" ht="15.75" hidden="1" customHeight="1">
      <c r="A32" s="38">
        <v>16</v>
      </c>
      <c r="B32" s="131" t="s">
        <v>27</v>
      </c>
      <c r="C32" s="132" t="s">
        <v>104</v>
      </c>
      <c r="D32" s="131" t="s">
        <v>56</v>
      </c>
      <c r="E32" s="134">
        <v>584.03</v>
      </c>
      <c r="F32" s="134">
        <f>SUM(E32/1000)</f>
        <v>0.58402999999999994</v>
      </c>
      <c r="G32" s="134">
        <v>3020.33</v>
      </c>
      <c r="H32" s="135">
        <f t="shared" si="1"/>
        <v>1.7639633298999997</v>
      </c>
      <c r="I32" s="16">
        <f>F32*G32</f>
        <v>1763.9633298999997</v>
      </c>
      <c r="J32" s="31"/>
      <c r="K32" s="8"/>
      <c r="L32" s="8"/>
      <c r="M32" s="8"/>
    </row>
    <row r="33" spans="1:14" ht="15.75" hidden="1" customHeight="1">
      <c r="A33" s="38">
        <v>12</v>
      </c>
      <c r="B33" s="131" t="s">
        <v>141</v>
      </c>
      <c r="C33" s="132" t="s">
        <v>39</v>
      </c>
      <c r="D33" s="131" t="s">
        <v>68</v>
      </c>
      <c r="E33" s="134">
        <v>6</v>
      </c>
      <c r="F33" s="134">
        <f>E33*155/100</f>
        <v>9.3000000000000007</v>
      </c>
      <c r="G33" s="134">
        <v>1302.02</v>
      </c>
      <c r="H33" s="135">
        <f>G33*F33/1000</f>
        <v>12.108786</v>
      </c>
      <c r="I33" s="16">
        <f t="shared" si="2"/>
        <v>2018.1310000000001</v>
      </c>
      <c r="J33" s="31"/>
      <c r="K33" s="8"/>
      <c r="L33" s="8"/>
      <c r="M33" s="8"/>
    </row>
    <row r="34" spans="1:14" ht="15.75" hidden="1" customHeight="1">
      <c r="A34" s="38">
        <v>13</v>
      </c>
      <c r="B34" s="131" t="s">
        <v>120</v>
      </c>
      <c r="C34" s="132" t="s">
        <v>31</v>
      </c>
      <c r="D34" s="131" t="s">
        <v>68</v>
      </c>
      <c r="E34" s="138">
        <v>0.33333333333333331</v>
      </c>
      <c r="F34" s="134">
        <f>155/3</f>
        <v>51.666666666666664</v>
      </c>
      <c r="G34" s="134">
        <v>56.69</v>
      </c>
      <c r="H34" s="135">
        <f>SUM(G34*155/3/1000)</f>
        <v>2.9289833333333331</v>
      </c>
      <c r="I34" s="16">
        <f t="shared" si="2"/>
        <v>488.16388888888883</v>
      </c>
      <c r="J34" s="31"/>
      <c r="K34" s="8"/>
    </row>
    <row r="35" spans="1:14" ht="15.75" hidden="1" customHeight="1">
      <c r="A35" s="38"/>
      <c r="B35" s="131" t="s">
        <v>70</v>
      </c>
      <c r="C35" s="132" t="s">
        <v>33</v>
      </c>
      <c r="D35" s="131" t="s">
        <v>72</v>
      </c>
      <c r="E35" s="133"/>
      <c r="F35" s="134">
        <v>4</v>
      </c>
      <c r="G35" s="134">
        <v>180.15</v>
      </c>
      <c r="H35" s="135">
        <f t="shared" si="1"/>
        <v>0.72060000000000002</v>
      </c>
      <c r="I35" s="16">
        <v>0</v>
      </c>
      <c r="J35" s="32"/>
    </row>
    <row r="36" spans="1:14" ht="15.75" hidden="1" customHeight="1">
      <c r="A36" s="38"/>
      <c r="B36" s="131" t="s">
        <v>71</v>
      </c>
      <c r="C36" s="132" t="s">
        <v>32</v>
      </c>
      <c r="D36" s="131" t="s">
        <v>72</v>
      </c>
      <c r="E36" s="133"/>
      <c r="F36" s="134">
        <v>3</v>
      </c>
      <c r="G36" s="134">
        <v>1136.33</v>
      </c>
      <c r="H36" s="135">
        <f t="shared" si="1"/>
        <v>3.4089899999999997</v>
      </c>
      <c r="I36" s="16">
        <v>0</v>
      </c>
      <c r="J36" s="32"/>
    </row>
    <row r="37" spans="1:14" ht="15.75" customHeight="1">
      <c r="A37" s="38"/>
      <c r="B37" s="155" t="s">
        <v>5</v>
      </c>
      <c r="C37" s="132"/>
      <c r="D37" s="131"/>
      <c r="E37" s="133"/>
      <c r="F37" s="134"/>
      <c r="G37" s="134"/>
      <c r="H37" s="135" t="s">
        <v>179</v>
      </c>
      <c r="I37" s="16"/>
      <c r="J37" s="32"/>
    </row>
    <row r="38" spans="1:14" ht="15.75" customHeight="1">
      <c r="A38" s="38">
        <v>10</v>
      </c>
      <c r="B38" s="131" t="s">
        <v>26</v>
      </c>
      <c r="C38" s="132" t="s">
        <v>32</v>
      </c>
      <c r="D38" s="131"/>
      <c r="E38" s="133"/>
      <c r="F38" s="134">
        <v>10</v>
      </c>
      <c r="G38" s="134">
        <v>1527.22</v>
      </c>
      <c r="H38" s="135">
        <f t="shared" ref="H38:H45" si="3">SUM(F38*G38/1000)</f>
        <v>15.272200000000002</v>
      </c>
      <c r="I38" s="16">
        <f>F38/6*G38</f>
        <v>2545.3666666666668</v>
      </c>
      <c r="J38" s="32"/>
    </row>
    <row r="39" spans="1:14" ht="15.75" customHeight="1">
      <c r="A39" s="38">
        <v>11</v>
      </c>
      <c r="B39" s="131" t="s">
        <v>143</v>
      </c>
      <c r="C39" s="132" t="s">
        <v>33</v>
      </c>
      <c r="D39" s="131"/>
      <c r="E39" s="133"/>
      <c r="F39" s="134">
        <v>10</v>
      </c>
      <c r="G39" s="134">
        <v>77.94</v>
      </c>
      <c r="H39" s="135">
        <f>G39*F39/1000</f>
        <v>0.77939999999999998</v>
      </c>
      <c r="I39" s="16">
        <f>F39/6*G39</f>
        <v>129.9</v>
      </c>
      <c r="J39" s="32"/>
      <c r="L39" s="25"/>
      <c r="M39" s="26"/>
      <c r="N39" s="27"/>
    </row>
    <row r="40" spans="1:14" ht="15.75" customHeight="1">
      <c r="A40" s="38">
        <v>12</v>
      </c>
      <c r="B40" s="131" t="s">
        <v>122</v>
      </c>
      <c r="C40" s="132" t="s">
        <v>29</v>
      </c>
      <c r="D40" s="131" t="s">
        <v>144</v>
      </c>
      <c r="E40" s="133">
        <v>1039.2</v>
      </c>
      <c r="F40" s="134">
        <f>E40*25/1000</f>
        <v>25.98</v>
      </c>
      <c r="G40" s="134">
        <v>2102.71</v>
      </c>
      <c r="H40" s="135">
        <f>G40*F40/1000</f>
        <v>54.628405800000003</v>
      </c>
      <c r="I40" s="16">
        <f>F40/6*G40</f>
        <v>9104.7343000000001</v>
      </c>
      <c r="J40" s="32"/>
      <c r="L40" s="25"/>
      <c r="M40" s="26"/>
      <c r="N40" s="27"/>
    </row>
    <row r="41" spans="1:14" ht="15.75" hidden="1" customHeight="1">
      <c r="A41" s="38"/>
      <c r="B41" s="131" t="s">
        <v>145</v>
      </c>
      <c r="C41" s="132" t="s">
        <v>146</v>
      </c>
      <c r="D41" s="131" t="s">
        <v>72</v>
      </c>
      <c r="E41" s="133"/>
      <c r="F41" s="134">
        <v>50</v>
      </c>
      <c r="G41" s="134">
        <v>213.2</v>
      </c>
      <c r="H41" s="135">
        <f>G41*F41/1000</f>
        <v>10.66</v>
      </c>
      <c r="I41" s="16">
        <v>0</v>
      </c>
      <c r="J41" s="32"/>
      <c r="L41" s="25"/>
      <c r="M41" s="26"/>
      <c r="N41" s="27"/>
    </row>
    <row r="42" spans="1:14" ht="15.75" customHeight="1">
      <c r="A42" s="38">
        <v>13</v>
      </c>
      <c r="B42" s="131" t="s">
        <v>73</v>
      </c>
      <c r="C42" s="132" t="s">
        <v>29</v>
      </c>
      <c r="D42" s="131" t="s">
        <v>103</v>
      </c>
      <c r="E42" s="134">
        <v>153</v>
      </c>
      <c r="F42" s="134">
        <f>SUM(E42*155/1000)</f>
        <v>23.715</v>
      </c>
      <c r="G42" s="134">
        <v>350.75</v>
      </c>
      <c r="H42" s="135">
        <f t="shared" si="3"/>
        <v>8.3180362499999987</v>
      </c>
      <c r="I42" s="16">
        <f>F42/6*G42</f>
        <v>1386.339375</v>
      </c>
      <c r="J42" s="32"/>
      <c r="L42" s="25"/>
      <c r="M42" s="26"/>
      <c r="N42" s="27"/>
    </row>
    <row r="43" spans="1:14" ht="47.25" customHeight="1">
      <c r="A43" s="38">
        <v>14</v>
      </c>
      <c r="B43" s="131" t="s">
        <v>91</v>
      </c>
      <c r="C43" s="132" t="s">
        <v>104</v>
      </c>
      <c r="D43" s="131" t="s">
        <v>147</v>
      </c>
      <c r="E43" s="134">
        <v>24</v>
      </c>
      <c r="F43" s="134">
        <f>SUM(E43*50/1000)</f>
        <v>1.2</v>
      </c>
      <c r="G43" s="134">
        <v>5803.28</v>
      </c>
      <c r="H43" s="135">
        <f t="shared" si="3"/>
        <v>6.9639359999999995</v>
      </c>
      <c r="I43" s="16">
        <f>F43/6*G43</f>
        <v>1160.6559999999999</v>
      </c>
      <c r="J43" s="32"/>
      <c r="L43" s="25"/>
      <c r="M43" s="26"/>
      <c r="N43" s="27"/>
    </row>
    <row r="44" spans="1:14" ht="15.75" customHeight="1">
      <c r="A44" s="38">
        <v>15</v>
      </c>
      <c r="B44" s="131" t="s">
        <v>105</v>
      </c>
      <c r="C44" s="132" t="s">
        <v>104</v>
      </c>
      <c r="D44" s="131" t="s">
        <v>74</v>
      </c>
      <c r="E44" s="134">
        <v>153</v>
      </c>
      <c r="F44" s="134">
        <f>SUM(E44*45/1000)</f>
        <v>6.8849999999999998</v>
      </c>
      <c r="G44" s="134">
        <v>428.7</v>
      </c>
      <c r="H44" s="135">
        <f t="shared" si="3"/>
        <v>2.9515994999999999</v>
      </c>
      <c r="I44" s="16">
        <f>F44/6*G44</f>
        <v>491.93324999999999</v>
      </c>
      <c r="J44" s="32"/>
      <c r="L44" s="25"/>
      <c r="M44" s="26"/>
      <c r="N44" s="27"/>
    </row>
    <row r="45" spans="1:14" ht="15.75" customHeight="1">
      <c r="A45" s="38">
        <v>16</v>
      </c>
      <c r="B45" s="131" t="s">
        <v>75</v>
      </c>
      <c r="C45" s="132" t="s">
        <v>33</v>
      </c>
      <c r="D45" s="131"/>
      <c r="E45" s="133"/>
      <c r="F45" s="134">
        <v>0.9</v>
      </c>
      <c r="G45" s="134">
        <v>798</v>
      </c>
      <c r="H45" s="135">
        <f t="shared" si="3"/>
        <v>0.71820000000000006</v>
      </c>
      <c r="I45" s="16">
        <f>F45/6*G45</f>
        <v>119.69999999999999</v>
      </c>
      <c r="J45" s="32"/>
      <c r="L45" s="25"/>
      <c r="M45" s="26"/>
      <c r="N45" s="27"/>
    </row>
    <row r="46" spans="1:14" ht="15" customHeight="1">
      <c r="A46" s="174" t="s">
        <v>175</v>
      </c>
      <c r="B46" s="175"/>
      <c r="C46" s="175"/>
      <c r="D46" s="175"/>
      <c r="E46" s="175"/>
      <c r="F46" s="175"/>
      <c r="G46" s="175"/>
      <c r="H46" s="175"/>
      <c r="I46" s="176"/>
      <c r="J46" s="32"/>
      <c r="L46" s="25"/>
      <c r="M46" s="26"/>
      <c r="N46" s="27"/>
    </row>
    <row r="47" spans="1:14" ht="15.75" hidden="1" customHeight="1">
      <c r="A47" s="38"/>
      <c r="B47" s="131" t="s">
        <v>148</v>
      </c>
      <c r="C47" s="132" t="s">
        <v>104</v>
      </c>
      <c r="D47" s="131" t="s">
        <v>42</v>
      </c>
      <c r="E47" s="133">
        <v>1895</v>
      </c>
      <c r="F47" s="134">
        <f>SUM(E47*2/1000)</f>
        <v>3.79</v>
      </c>
      <c r="G47" s="16">
        <v>849.49</v>
      </c>
      <c r="H47" s="135">
        <f t="shared" ref="H47:H55" si="4">SUM(F47*G47/1000)</f>
        <v>3.2195671000000003</v>
      </c>
      <c r="I47" s="16">
        <v>0</v>
      </c>
      <c r="J47" s="32"/>
      <c r="L47" s="25"/>
      <c r="M47" s="26"/>
      <c r="N47" s="27"/>
    </row>
    <row r="48" spans="1:14" ht="15.75" hidden="1" customHeight="1">
      <c r="A48" s="38"/>
      <c r="B48" s="131" t="s">
        <v>34</v>
      </c>
      <c r="C48" s="132" t="s">
        <v>104</v>
      </c>
      <c r="D48" s="131" t="s">
        <v>42</v>
      </c>
      <c r="E48" s="133">
        <v>118.2</v>
      </c>
      <c r="F48" s="134">
        <f>E48*2/1000</f>
        <v>0.2364</v>
      </c>
      <c r="G48" s="16">
        <v>579.48</v>
      </c>
      <c r="H48" s="135">
        <f t="shared" si="4"/>
        <v>0.13698907199999999</v>
      </c>
      <c r="I48" s="16">
        <v>0</v>
      </c>
      <c r="J48" s="32"/>
      <c r="L48" s="25"/>
      <c r="M48" s="26"/>
      <c r="N48" s="27"/>
    </row>
    <row r="49" spans="1:22" ht="15.75" hidden="1" customHeight="1">
      <c r="A49" s="38"/>
      <c r="B49" s="131" t="s">
        <v>35</v>
      </c>
      <c r="C49" s="132" t="s">
        <v>104</v>
      </c>
      <c r="D49" s="131" t="s">
        <v>42</v>
      </c>
      <c r="E49" s="133">
        <v>4675</v>
      </c>
      <c r="F49" s="134">
        <f>SUM(E49*2/1000)</f>
        <v>9.35</v>
      </c>
      <c r="G49" s="16">
        <v>579.48</v>
      </c>
      <c r="H49" s="135">
        <f t="shared" si="4"/>
        <v>5.4181379999999999</v>
      </c>
      <c r="I49" s="16">
        <v>0</v>
      </c>
      <c r="J49" s="32"/>
      <c r="L49" s="25"/>
      <c r="M49" s="26"/>
      <c r="N49" s="27"/>
    </row>
    <row r="50" spans="1:22" ht="15.75" hidden="1" customHeight="1">
      <c r="A50" s="38"/>
      <c r="B50" s="131" t="s">
        <v>36</v>
      </c>
      <c r="C50" s="132" t="s">
        <v>104</v>
      </c>
      <c r="D50" s="131" t="s">
        <v>42</v>
      </c>
      <c r="E50" s="133">
        <v>4675</v>
      </c>
      <c r="F50" s="134">
        <f>SUM(E50*2/1000)</f>
        <v>9.35</v>
      </c>
      <c r="G50" s="16">
        <v>606.77</v>
      </c>
      <c r="H50" s="135">
        <f t="shared" si="4"/>
        <v>5.6732994999999988</v>
      </c>
      <c r="I50" s="16">
        <v>0</v>
      </c>
      <c r="J50" s="32"/>
      <c r="L50" s="25"/>
      <c r="M50" s="26"/>
      <c r="N50" s="27"/>
    </row>
    <row r="51" spans="1:22" ht="15.75" customHeight="1">
      <c r="A51" s="38">
        <v>17</v>
      </c>
      <c r="B51" s="131" t="s">
        <v>60</v>
      </c>
      <c r="C51" s="132" t="s">
        <v>104</v>
      </c>
      <c r="D51" s="131" t="s">
        <v>241</v>
      </c>
      <c r="E51" s="133">
        <v>3988</v>
      </c>
      <c r="F51" s="134">
        <f>SUM(E51*5/1000)</f>
        <v>19.940000000000001</v>
      </c>
      <c r="G51" s="16">
        <v>1142.7</v>
      </c>
      <c r="H51" s="135">
        <f t="shared" si="4"/>
        <v>22.785438000000003</v>
      </c>
      <c r="I51" s="16">
        <f>F51/5*G51</f>
        <v>4557.0876000000007</v>
      </c>
      <c r="J51" s="32"/>
      <c r="L51" s="25"/>
      <c r="M51" s="26"/>
      <c r="N51" s="27"/>
    </row>
    <row r="52" spans="1:22" ht="31.5" hidden="1" customHeight="1">
      <c r="A52" s="38"/>
      <c r="B52" s="131" t="s">
        <v>106</v>
      </c>
      <c r="C52" s="132" t="s">
        <v>104</v>
      </c>
      <c r="D52" s="131" t="s">
        <v>42</v>
      </c>
      <c r="E52" s="133">
        <v>3988</v>
      </c>
      <c r="F52" s="134">
        <f>SUM(E52*2/1000)</f>
        <v>7.976</v>
      </c>
      <c r="G52" s="16">
        <v>1213.55</v>
      </c>
      <c r="H52" s="135">
        <f t="shared" si="4"/>
        <v>9.6792748</v>
      </c>
      <c r="I52" s="16">
        <v>0</v>
      </c>
      <c r="J52" s="32"/>
      <c r="L52" s="25"/>
      <c r="M52" s="26"/>
      <c r="N52" s="27"/>
    </row>
    <row r="53" spans="1:22" ht="31.5" hidden="1" customHeight="1">
      <c r="A53" s="38"/>
      <c r="B53" s="131" t="s">
        <v>107</v>
      </c>
      <c r="C53" s="132" t="s">
        <v>37</v>
      </c>
      <c r="D53" s="131" t="s">
        <v>42</v>
      </c>
      <c r="E53" s="133">
        <v>30</v>
      </c>
      <c r="F53" s="134">
        <f>SUM(E53*2/100)</f>
        <v>0.6</v>
      </c>
      <c r="G53" s="16">
        <v>2730.49</v>
      </c>
      <c r="H53" s="135">
        <f>SUM(F53*G53/1000)</f>
        <v>1.6382939999999999</v>
      </c>
      <c r="I53" s="16">
        <v>0</v>
      </c>
      <c r="J53" s="32"/>
      <c r="L53" s="25"/>
      <c r="M53" s="26"/>
      <c r="N53" s="27"/>
    </row>
    <row r="54" spans="1:22" ht="15.75" hidden="1" customHeight="1">
      <c r="A54" s="38"/>
      <c r="B54" s="131" t="s">
        <v>38</v>
      </c>
      <c r="C54" s="132" t="s">
        <v>39</v>
      </c>
      <c r="D54" s="131" t="s">
        <v>42</v>
      </c>
      <c r="E54" s="133">
        <v>1</v>
      </c>
      <c r="F54" s="134">
        <v>0.02</v>
      </c>
      <c r="G54" s="16">
        <v>5652.13</v>
      </c>
      <c r="H54" s="135">
        <f t="shared" si="4"/>
        <v>0.11304260000000001</v>
      </c>
      <c r="I54" s="16">
        <v>0</v>
      </c>
      <c r="J54" s="32"/>
      <c r="L54" s="25"/>
      <c r="M54" s="26"/>
      <c r="N54" s="27"/>
    </row>
    <row r="55" spans="1:22" ht="15.75" customHeight="1">
      <c r="A55" s="38">
        <v>18</v>
      </c>
      <c r="B55" s="131" t="s">
        <v>41</v>
      </c>
      <c r="C55" s="132" t="s">
        <v>124</v>
      </c>
      <c r="D55" s="131" t="s">
        <v>76</v>
      </c>
      <c r="E55" s="133">
        <v>236</v>
      </c>
      <c r="F55" s="134">
        <f>SUM(E55)*3</f>
        <v>708</v>
      </c>
      <c r="G55" s="16">
        <v>65.67</v>
      </c>
      <c r="H55" s="135">
        <f t="shared" si="4"/>
        <v>46.49436</v>
      </c>
      <c r="I55" s="16">
        <f>E55*G55</f>
        <v>15498.12</v>
      </c>
      <c r="J55" s="32"/>
      <c r="L55" s="25"/>
      <c r="M55" s="26"/>
      <c r="N55" s="27"/>
    </row>
    <row r="56" spans="1:22" ht="15.75" customHeight="1">
      <c r="A56" s="174" t="s">
        <v>176</v>
      </c>
      <c r="B56" s="175"/>
      <c r="C56" s="175"/>
      <c r="D56" s="175"/>
      <c r="E56" s="175"/>
      <c r="F56" s="175"/>
      <c r="G56" s="175"/>
      <c r="H56" s="175"/>
      <c r="I56" s="176"/>
      <c r="J56" s="32"/>
      <c r="L56" s="25"/>
      <c r="M56" s="26"/>
      <c r="N56" s="27"/>
    </row>
    <row r="57" spans="1:22" ht="15.75" customHeight="1">
      <c r="A57" s="38"/>
      <c r="B57" s="155" t="s">
        <v>45</v>
      </c>
      <c r="C57" s="132"/>
      <c r="D57" s="131"/>
      <c r="E57" s="133"/>
      <c r="F57" s="134"/>
      <c r="G57" s="134"/>
      <c r="H57" s="135"/>
      <c r="I57" s="16"/>
      <c r="J57" s="32"/>
      <c r="L57" s="25"/>
      <c r="M57" s="26"/>
      <c r="N57" s="27"/>
    </row>
    <row r="58" spans="1:22" ht="31.5" customHeight="1">
      <c r="A58" s="38">
        <v>19</v>
      </c>
      <c r="B58" s="131" t="s">
        <v>149</v>
      </c>
      <c r="C58" s="132" t="s">
        <v>100</v>
      </c>
      <c r="D58" s="131" t="s">
        <v>125</v>
      </c>
      <c r="E58" s="133">
        <v>30</v>
      </c>
      <c r="F58" s="134">
        <f>SUM(E58*6/100)</f>
        <v>1.8</v>
      </c>
      <c r="G58" s="16">
        <v>1547.28</v>
      </c>
      <c r="H58" s="135">
        <f>SUM(F58*G58/1000)</f>
        <v>2.785104</v>
      </c>
      <c r="I58" s="16">
        <f>F58/6*G58</f>
        <v>464.18399999999997</v>
      </c>
      <c r="J58" s="32"/>
      <c r="L58" s="25"/>
    </row>
    <row r="59" spans="1:22" ht="15.75" customHeight="1">
      <c r="A59" s="38">
        <v>20</v>
      </c>
      <c r="B59" s="140" t="s">
        <v>150</v>
      </c>
      <c r="C59" s="141" t="s">
        <v>151</v>
      </c>
      <c r="D59" s="140" t="s">
        <v>42</v>
      </c>
      <c r="E59" s="142">
        <v>6</v>
      </c>
      <c r="F59" s="143">
        <v>12</v>
      </c>
      <c r="G59" s="16">
        <v>180.78</v>
      </c>
      <c r="H59" s="144">
        <f>G59*F59/1000</f>
        <v>2.1693600000000002</v>
      </c>
      <c r="I59" s="16">
        <f>F59/2*G59</f>
        <v>1084.68</v>
      </c>
    </row>
    <row r="60" spans="1:22" ht="15.75" customHeight="1">
      <c r="A60" s="38">
        <v>21</v>
      </c>
      <c r="B60" s="140" t="s">
        <v>152</v>
      </c>
      <c r="C60" s="141" t="s">
        <v>55</v>
      </c>
      <c r="D60" s="140" t="s">
        <v>40</v>
      </c>
      <c r="E60" s="142">
        <v>6</v>
      </c>
      <c r="F60" s="143">
        <f>E60*4/100</f>
        <v>0.24</v>
      </c>
      <c r="G60" s="16">
        <v>1547.28</v>
      </c>
      <c r="H60" s="144">
        <f>G60*F60/1000</f>
        <v>0.37134719999999999</v>
      </c>
      <c r="I60" s="16">
        <f>F60/4*G60</f>
        <v>92.836799999999997</v>
      </c>
    </row>
    <row r="61" spans="1:22" ht="15.75" customHeight="1">
      <c r="A61" s="38"/>
      <c r="B61" s="156" t="s">
        <v>46</v>
      </c>
      <c r="C61" s="141"/>
      <c r="D61" s="140"/>
      <c r="E61" s="142"/>
      <c r="F61" s="143"/>
      <c r="G61" s="16"/>
      <c r="H61" s="144"/>
      <c r="I61" s="16"/>
    </row>
    <row r="62" spans="1:22" ht="15.75" customHeight="1">
      <c r="A62" s="38">
        <v>22</v>
      </c>
      <c r="B62" s="140" t="s">
        <v>153</v>
      </c>
      <c r="C62" s="141" t="s">
        <v>55</v>
      </c>
      <c r="D62" s="140" t="s">
        <v>56</v>
      </c>
      <c r="E62" s="142">
        <v>997</v>
      </c>
      <c r="F62" s="143">
        <v>9.9700000000000006</v>
      </c>
      <c r="G62" s="16">
        <v>793.61</v>
      </c>
      <c r="H62" s="144">
        <f>F62*G62/1000</f>
        <v>7.9122917000000008</v>
      </c>
      <c r="I62" s="16">
        <f>G62*F62</f>
        <v>7912.2917000000007</v>
      </c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9"/>
    </row>
    <row r="63" spans="1:22" ht="15.75" customHeight="1">
      <c r="A63" s="38">
        <v>23</v>
      </c>
      <c r="B63" s="140" t="s">
        <v>154</v>
      </c>
      <c r="C63" s="141" t="s">
        <v>25</v>
      </c>
      <c r="D63" s="140" t="s">
        <v>30</v>
      </c>
      <c r="E63" s="142">
        <v>394</v>
      </c>
      <c r="F63" s="145">
        <f>E63*12</f>
        <v>4728</v>
      </c>
      <c r="G63" s="126">
        <v>2.6</v>
      </c>
      <c r="H63" s="143">
        <f>F63*G63/1000</f>
        <v>12.292800000000002</v>
      </c>
      <c r="I63" s="16">
        <f>F63/12*G63</f>
        <v>1024.4000000000001</v>
      </c>
      <c r="J63" s="34"/>
      <c r="K63" s="34"/>
      <c r="L63" s="3"/>
      <c r="M63" s="3"/>
      <c r="N63" s="3"/>
      <c r="O63" s="3"/>
      <c r="P63" s="3"/>
      <c r="Q63" s="3"/>
      <c r="R63" s="3"/>
      <c r="S63" s="3"/>
      <c r="T63" s="3"/>
      <c r="U63" s="3"/>
    </row>
    <row r="64" spans="1:22" ht="15.75" customHeight="1">
      <c r="A64" s="38"/>
      <c r="B64" s="156" t="s">
        <v>47</v>
      </c>
      <c r="C64" s="141"/>
      <c r="D64" s="140"/>
      <c r="E64" s="142"/>
      <c r="F64" s="145"/>
      <c r="G64" s="145"/>
      <c r="H64" s="143" t="s">
        <v>179</v>
      </c>
      <c r="I64" s="16"/>
      <c r="J64" s="3"/>
      <c r="K64" s="3"/>
      <c r="L64" s="3"/>
      <c r="M64" s="3"/>
      <c r="N64" s="3"/>
      <c r="O64" s="3"/>
      <c r="P64" s="3"/>
      <c r="Q64" s="3"/>
      <c r="S64" s="3"/>
      <c r="T64" s="3"/>
      <c r="U64" s="3"/>
    </row>
    <row r="65" spans="1:21" ht="15.75" customHeight="1">
      <c r="A65" s="38">
        <v>24</v>
      </c>
      <c r="B65" s="18" t="s">
        <v>48</v>
      </c>
      <c r="C65" s="20" t="s">
        <v>124</v>
      </c>
      <c r="D65" s="131" t="s">
        <v>72</v>
      </c>
      <c r="E65" s="23">
        <v>15</v>
      </c>
      <c r="F65" s="134">
        <v>15</v>
      </c>
      <c r="G65" s="16">
        <v>222.4</v>
      </c>
      <c r="H65" s="146">
        <f t="shared" ref="H65:H78" si="5">SUM(F65*G65/1000)</f>
        <v>3.3359999999999999</v>
      </c>
      <c r="I65" s="16">
        <f>G65*3</f>
        <v>667.2</v>
      </c>
      <c r="J65" s="5"/>
      <c r="K65" s="5"/>
      <c r="L65" s="5"/>
      <c r="M65" s="5"/>
      <c r="N65" s="5"/>
      <c r="O65" s="5"/>
      <c r="P65" s="5"/>
      <c r="Q65" s="5"/>
      <c r="R65" s="166"/>
      <c r="S65" s="166"/>
      <c r="T65" s="166"/>
      <c r="U65" s="166"/>
    </row>
    <row r="66" spans="1:21" ht="15.75" customHeight="1">
      <c r="A66" s="38">
        <v>25</v>
      </c>
      <c r="B66" s="18" t="s">
        <v>49</v>
      </c>
      <c r="C66" s="20" t="s">
        <v>124</v>
      </c>
      <c r="D66" s="131" t="s">
        <v>72</v>
      </c>
      <c r="E66" s="23">
        <v>10</v>
      </c>
      <c r="F66" s="134">
        <v>10</v>
      </c>
      <c r="G66" s="16">
        <v>76.25</v>
      </c>
      <c r="H66" s="146">
        <f t="shared" si="5"/>
        <v>0.76249999999999996</v>
      </c>
      <c r="I66" s="16">
        <f>G66</f>
        <v>76.25</v>
      </c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</row>
    <row r="67" spans="1:21" ht="15.75" hidden="1" customHeight="1">
      <c r="A67" s="38"/>
      <c r="B67" s="18" t="s">
        <v>50</v>
      </c>
      <c r="C67" s="20" t="s">
        <v>126</v>
      </c>
      <c r="D67" s="18" t="s">
        <v>56</v>
      </c>
      <c r="E67" s="133">
        <v>28608</v>
      </c>
      <c r="F67" s="16">
        <f>SUM(E67/100)</f>
        <v>286.08</v>
      </c>
      <c r="G67" s="16">
        <v>199.77</v>
      </c>
      <c r="H67" s="146">
        <f t="shared" si="5"/>
        <v>57.150201600000003</v>
      </c>
      <c r="I67" s="16">
        <f>F67*G67</f>
        <v>57150.2016</v>
      </c>
    </row>
    <row r="68" spans="1:21" ht="15.75" hidden="1" customHeight="1">
      <c r="A68" s="38"/>
      <c r="B68" s="18" t="s">
        <v>51</v>
      </c>
      <c r="C68" s="20" t="s">
        <v>127</v>
      </c>
      <c r="D68" s="18"/>
      <c r="E68" s="133">
        <v>28608</v>
      </c>
      <c r="F68" s="16">
        <f>SUM(E68/1000)</f>
        <v>28.608000000000001</v>
      </c>
      <c r="G68" s="16">
        <v>155.57</v>
      </c>
      <c r="H68" s="146">
        <f t="shared" si="5"/>
        <v>4.4505465599999994</v>
      </c>
      <c r="I68" s="16">
        <f t="shared" ref="I68:I72" si="6">F68*G68</f>
        <v>4450.5465599999998</v>
      </c>
    </row>
    <row r="69" spans="1:21" ht="15.75" hidden="1" customHeight="1">
      <c r="A69" s="38"/>
      <c r="B69" s="18" t="s">
        <v>52</v>
      </c>
      <c r="C69" s="20" t="s">
        <v>83</v>
      </c>
      <c r="D69" s="18" t="s">
        <v>56</v>
      </c>
      <c r="E69" s="133">
        <v>4550</v>
      </c>
      <c r="F69" s="16">
        <f>SUM(E69/100)</f>
        <v>45.5</v>
      </c>
      <c r="G69" s="16">
        <v>2074.63</v>
      </c>
      <c r="H69" s="146">
        <f t="shared" si="5"/>
        <v>94.395665000000008</v>
      </c>
      <c r="I69" s="16">
        <f t="shared" si="6"/>
        <v>94395.665000000008</v>
      </c>
    </row>
    <row r="70" spans="1:21" ht="15.75" hidden="1" customHeight="1">
      <c r="A70" s="38"/>
      <c r="B70" s="147" t="s">
        <v>128</v>
      </c>
      <c r="C70" s="20" t="s">
        <v>33</v>
      </c>
      <c r="D70" s="18"/>
      <c r="E70" s="133">
        <v>58.5</v>
      </c>
      <c r="F70" s="16">
        <f>SUM(E70)</f>
        <v>58.5</v>
      </c>
      <c r="G70" s="16">
        <v>45.32</v>
      </c>
      <c r="H70" s="146">
        <f t="shared" si="5"/>
        <v>2.6512199999999999</v>
      </c>
      <c r="I70" s="16">
        <f t="shared" si="6"/>
        <v>2651.22</v>
      </c>
    </row>
    <row r="71" spans="1:21" ht="15.75" hidden="1" customHeight="1">
      <c r="A71" s="38"/>
      <c r="B71" s="147" t="s">
        <v>129</v>
      </c>
      <c r="C71" s="20" t="s">
        <v>33</v>
      </c>
      <c r="D71" s="18"/>
      <c r="E71" s="133">
        <v>58.5</v>
      </c>
      <c r="F71" s="16">
        <f>SUM(E71)</f>
        <v>58.5</v>
      </c>
      <c r="G71" s="16">
        <v>42.28</v>
      </c>
      <c r="H71" s="146">
        <f t="shared" si="5"/>
        <v>2.4733800000000001</v>
      </c>
      <c r="I71" s="16">
        <f t="shared" si="6"/>
        <v>2473.38</v>
      </c>
    </row>
    <row r="72" spans="1:21" ht="15.75" hidden="1" customHeight="1">
      <c r="A72" s="38"/>
      <c r="B72" s="18" t="s">
        <v>61</v>
      </c>
      <c r="C72" s="20" t="s">
        <v>62</v>
      </c>
      <c r="D72" s="18" t="s">
        <v>56</v>
      </c>
      <c r="E72" s="23">
        <v>5</v>
      </c>
      <c r="F72" s="134">
        <v>5</v>
      </c>
      <c r="G72" s="16">
        <v>49.88</v>
      </c>
      <c r="H72" s="146">
        <f t="shared" si="5"/>
        <v>0.24940000000000001</v>
      </c>
      <c r="I72" s="16">
        <f t="shared" si="6"/>
        <v>249.4</v>
      </c>
    </row>
    <row r="73" spans="1:21" ht="15.75" hidden="1" customHeight="1">
      <c r="A73" s="38"/>
      <c r="B73" s="106" t="s">
        <v>77</v>
      </c>
      <c r="C73" s="20"/>
      <c r="D73" s="18"/>
      <c r="E73" s="23"/>
      <c r="F73" s="16"/>
      <c r="G73" s="16"/>
      <c r="H73" s="146" t="s">
        <v>179</v>
      </c>
      <c r="I73" s="16"/>
    </row>
    <row r="74" spans="1:21" ht="15.75" hidden="1" customHeight="1">
      <c r="A74" s="38"/>
      <c r="B74" s="18" t="s">
        <v>78</v>
      </c>
      <c r="C74" s="20" t="s">
        <v>80</v>
      </c>
      <c r="D74" s="18"/>
      <c r="E74" s="23">
        <v>10</v>
      </c>
      <c r="F74" s="16">
        <v>1</v>
      </c>
      <c r="G74" s="16">
        <v>501.62</v>
      </c>
      <c r="H74" s="146">
        <f t="shared" si="5"/>
        <v>0.50161999999999995</v>
      </c>
      <c r="I74" s="16">
        <v>0</v>
      </c>
    </row>
    <row r="75" spans="1:21" ht="15.75" hidden="1" customHeight="1">
      <c r="A75" s="38"/>
      <c r="B75" s="18" t="s">
        <v>79</v>
      </c>
      <c r="C75" s="20" t="s">
        <v>31</v>
      </c>
      <c r="D75" s="18"/>
      <c r="E75" s="23">
        <v>3</v>
      </c>
      <c r="F75" s="126">
        <v>3</v>
      </c>
      <c r="G75" s="16">
        <v>852.99</v>
      </c>
      <c r="H75" s="146">
        <f>F75*G75/1000</f>
        <v>2.5589700000000004</v>
      </c>
      <c r="I75" s="16">
        <v>0</v>
      </c>
    </row>
    <row r="76" spans="1:21" ht="15.75" hidden="1" customHeight="1">
      <c r="A76" s="38"/>
      <c r="B76" s="18" t="s">
        <v>131</v>
      </c>
      <c r="C76" s="20" t="s">
        <v>31</v>
      </c>
      <c r="D76" s="18"/>
      <c r="E76" s="23">
        <v>1</v>
      </c>
      <c r="F76" s="16">
        <v>1</v>
      </c>
      <c r="G76" s="16">
        <v>358.51</v>
      </c>
      <c r="H76" s="146">
        <f>G76*F76/1000</f>
        <v>0.35851</v>
      </c>
      <c r="I76" s="16">
        <v>0</v>
      </c>
    </row>
    <row r="77" spans="1:21" ht="15.75" hidden="1" customHeight="1">
      <c r="A77" s="38"/>
      <c r="B77" s="149" t="s">
        <v>81</v>
      </c>
      <c r="C77" s="20"/>
      <c r="D77" s="18"/>
      <c r="E77" s="23"/>
      <c r="F77" s="16"/>
      <c r="G77" s="16" t="s">
        <v>179</v>
      </c>
      <c r="H77" s="146" t="s">
        <v>179</v>
      </c>
      <c r="I77" s="16"/>
    </row>
    <row r="78" spans="1:21" ht="15.75" hidden="1" customHeight="1">
      <c r="A78" s="38"/>
      <c r="B78" s="68" t="s">
        <v>242</v>
      </c>
      <c r="C78" s="20" t="s">
        <v>83</v>
      </c>
      <c r="D78" s="18"/>
      <c r="E78" s="23"/>
      <c r="F78" s="16">
        <v>1.2</v>
      </c>
      <c r="G78" s="16">
        <v>2759.44</v>
      </c>
      <c r="H78" s="146">
        <f t="shared" si="5"/>
        <v>3.311328</v>
      </c>
      <c r="I78" s="16">
        <v>0</v>
      </c>
    </row>
    <row r="79" spans="1:21" ht="15.75" hidden="1" customHeight="1">
      <c r="A79" s="38"/>
      <c r="B79" s="125" t="s">
        <v>108</v>
      </c>
      <c r="C79" s="125"/>
      <c r="D79" s="125"/>
      <c r="E79" s="125"/>
      <c r="F79" s="125"/>
      <c r="G79" s="137"/>
      <c r="H79" s="150">
        <f>SUM(H58:H78)</f>
        <v>197.73024405999999</v>
      </c>
      <c r="I79" s="137"/>
    </row>
    <row r="80" spans="1:21" ht="15.75" hidden="1" customHeight="1">
      <c r="A80" s="38"/>
      <c r="B80" s="157" t="s">
        <v>130</v>
      </c>
      <c r="C80" s="29"/>
      <c r="D80" s="28"/>
      <c r="E80" s="127"/>
      <c r="F80" s="158">
        <v>1</v>
      </c>
      <c r="G80" s="16">
        <v>23072.1</v>
      </c>
      <c r="H80" s="146">
        <f>G80*F80/1000</f>
        <v>23.072099999999999</v>
      </c>
      <c r="I80" s="16">
        <v>0</v>
      </c>
    </row>
    <row r="81" spans="1:9" ht="15.75" customHeight="1">
      <c r="A81" s="167" t="s">
        <v>177</v>
      </c>
      <c r="B81" s="168"/>
      <c r="C81" s="168"/>
      <c r="D81" s="168"/>
      <c r="E81" s="168"/>
      <c r="F81" s="168"/>
      <c r="G81" s="168"/>
      <c r="H81" s="168"/>
      <c r="I81" s="169"/>
    </row>
    <row r="82" spans="1:9" ht="15.75" customHeight="1">
      <c r="A82" s="38">
        <v>26</v>
      </c>
      <c r="B82" s="131" t="s">
        <v>132</v>
      </c>
      <c r="C82" s="20" t="s">
        <v>58</v>
      </c>
      <c r="D82" s="92" t="s">
        <v>59</v>
      </c>
      <c r="E82" s="16">
        <v>6980.3</v>
      </c>
      <c r="F82" s="16">
        <f>SUM(E82*12)</f>
        <v>83763.600000000006</v>
      </c>
      <c r="G82" s="16">
        <v>2.1</v>
      </c>
      <c r="H82" s="146">
        <f>SUM(F82*G82/1000)</f>
        <v>175.90356000000003</v>
      </c>
      <c r="I82" s="16">
        <f>F82/12*G82</f>
        <v>14658.630000000001</v>
      </c>
    </row>
    <row r="83" spans="1:9" ht="31.5" customHeight="1">
      <c r="A83" s="38">
        <v>27</v>
      </c>
      <c r="B83" s="18" t="s">
        <v>84</v>
      </c>
      <c r="C83" s="20"/>
      <c r="D83" s="92" t="s">
        <v>59</v>
      </c>
      <c r="E83" s="133">
        <f>E82</f>
        <v>6980.3</v>
      </c>
      <c r="F83" s="16">
        <f>E83*12</f>
        <v>83763.600000000006</v>
      </c>
      <c r="G83" s="16">
        <v>1.63</v>
      </c>
      <c r="H83" s="146">
        <f>F83*G83/1000</f>
        <v>136.53466800000001</v>
      </c>
      <c r="I83" s="16">
        <f>F83/12*G83</f>
        <v>11377.888999999999</v>
      </c>
    </row>
    <row r="84" spans="1:9" ht="15.75" customHeight="1">
      <c r="A84" s="38"/>
      <c r="B84" s="55" t="s">
        <v>88</v>
      </c>
      <c r="C84" s="149"/>
      <c r="D84" s="148"/>
      <c r="E84" s="137"/>
      <c r="F84" s="137"/>
      <c r="G84" s="137"/>
      <c r="H84" s="150">
        <f>H83</f>
        <v>136.53466800000001</v>
      </c>
      <c r="I84" s="137">
        <f>I16+I17+I18+I20+I21+I24+I25+I26+I27+I38+I39+I40+I42+I43+I44+I45+I51+I55+I58+I59+I60+I62+I63+I65+I66+I82+I83</f>
        <v>131648.39667766666</v>
      </c>
    </row>
    <row r="85" spans="1:9" ht="15.75" customHeight="1">
      <c r="A85" s="38"/>
      <c r="B85" s="88" t="s">
        <v>64</v>
      </c>
      <c r="C85" s="20"/>
      <c r="D85" s="68"/>
      <c r="E85" s="16"/>
      <c r="F85" s="16"/>
      <c r="G85" s="16"/>
      <c r="H85" s="16"/>
      <c r="I85" s="16"/>
    </row>
    <row r="86" spans="1:9" ht="15.75" customHeight="1">
      <c r="A86" s="38">
        <v>28</v>
      </c>
      <c r="B86" s="89" t="s">
        <v>158</v>
      </c>
      <c r="C86" s="110" t="s">
        <v>124</v>
      </c>
      <c r="D86" s="68"/>
      <c r="E86" s="16"/>
      <c r="F86" s="16">
        <v>2</v>
      </c>
      <c r="G86" s="16">
        <v>1072.21</v>
      </c>
      <c r="H86" s="146">
        <f t="shared" ref="H86:H145" si="7">G86*F86/1000</f>
        <v>2.1444200000000002</v>
      </c>
      <c r="I86" s="16">
        <f>G86</f>
        <v>1072.21</v>
      </c>
    </row>
    <row r="87" spans="1:9" ht="15.75" customHeight="1">
      <c r="A87" s="38">
        <v>29</v>
      </c>
      <c r="B87" s="89" t="s">
        <v>155</v>
      </c>
      <c r="C87" s="110" t="s">
        <v>124</v>
      </c>
      <c r="D87" s="18"/>
      <c r="E87" s="23"/>
      <c r="F87" s="16">
        <v>1440</v>
      </c>
      <c r="G87" s="16">
        <v>50.68</v>
      </c>
      <c r="H87" s="146">
        <f t="shared" si="7"/>
        <v>72.979199999999992</v>
      </c>
      <c r="I87" s="16">
        <f>G87*120</f>
        <v>6081.6</v>
      </c>
    </row>
    <row r="88" spans="1:9" ht="15.75" customHeight="1">
      <c r="A88" s="38">
        <v>30</v>
      </c>
      <c r="B88" s="111" t="s">
        <v>94</v>
      </c>
      <c r="C88" s="110" t="s">
        <v>124</v>
      </c>
      <c r="D88" s="18"/>
      <c r="E88" s="23"/>
      <c r="F88" s="16">
        <v>13</v>
      </c>
      <c r="G88" s="16">
        <v>179.96</v>
      </c>
      <c r="H88" s="146">
        <f t="shared" si="7"/>
        <v>2.33948</v>
      </c>
      <c r="I88" s="16">
        <f>G88*10</f>
        <v>1799.6000000000001</v>
      </c>
    </row>
    <row r="89" spans="1:9" ht="31.5" hidden="1" customHeight="1">
      <c r="A89" s="38"/>
      <c r="B89" s="89" t="s">
        <v>180</v>
      </c>
      <c r="C89" s="110" t="s">
        <v>181</v>
      </c>
      <c r="D89" s="18"/>
      <c r="E89" s="23"/>
      <c r="F89" s="16">
        <v>3</v>
      </c>
      <c r="G89" s="16">
        <v>51.39</v>
      </c>
      <c r="H89" s="146">
        <f t="shared" si="7"/>
        <v>0.15417000000000003</v>
      </c>
      <c r="I89" s="16">
        <v>0</v>
      </c>
    </row>
    <row r="90" spans="1:9" ht="31.5" hidden="1" customHeight="1">
      <c r="A90" s="38"/>
      <c r="B90" s="109" t="s">
        <v>166</v>
      </c>
      <c r="C90" s="38" t="s">
        <v>167</v>
      </c>
      <c r="D90" s="18"/>
      <c r="E90" s="23"/>
      <c r="F90" s="16">
        <v>2</v>
      </c>
      <c r="G90" s="16">
        <v>1835.8</v>
      </c>
      <c r="H90" s="146">
        <f t="shared" si="7"/>
        <v>3.6715999999999998</v>
      </c>
      <c r="I90" s="16">
        <v>0</v>
      </c>
    </row>
    <row r="91" spans="1:9" ht="15.75" hidden="1" customHeight="1">
      <c r="A91" s="38"/>
      <c r="B91" s="89" t="s">
        <v>90</v>
      </c>
      <c r="C91" s="110" t="s">
        <v>124</v>
      </c>
      <c r="D91" s="18"/>
      <c r="E91" s="23"/>
      <c r="F91" s="16">
        <v>19</v>
      </c>
      <c r="G91" s="16">
        <v>180.15</v>
      </c>
      <c r="H91" s="146">
        <f t="shared" si="7"/>
        <v>3.4228499999999999</v>
      </c>
      <c r="I91" s="16">
        <v>0</v>
      </c>
    </row>
    <row r="92" spans="1:9" ht="31.5" hidden="1" customHeight="1">
      <c r="A92" s="38"/>
      <c r="B92" s="89" t="s">
        <v>182</v>
      </c>
      <c r="C92" s="110" t="s">
        <v>183</v>
      </c>
      <c r="D92" s="18"/>
      <c r="E92" s="23"/>
      <c r="F92" s="16">
        <v>7</v>
      </c>
      <c r="G92" s="16">
        <v>559.62</v>
      </c>
      <c r="H92" s="146">
        <f t="shared" si="7"/>
        <v>3.9173400000000003</v>
      </c>
      <c r="I92" s="16">
        <v>0</v>
      </c>
    </row>
    <row r="93" spans="1:9" ht="31.5" hidden="1" customHeight="1">
      <c r="A93" s="38"/>
      <c r="B93" s="89" t="s">
        <v>184</v>
      </c>
      <c r="C93" s="110" t="s">
        <v>185</v>
      </c>
      <c r="D93" s="18"/>
      <c r="E93" s="23"/>
      <c r="F93" s="16">
        <v>1</v>
      </c>
      <c r="G93" s="16">
        <v>629.39</v>
      </c>
      <c r="H93" s="146">
        <f t="shared" si="7"/>
        <v>0.62939000000000001</v>
      </c>
      <c r="I93" s="16">
        <v>0</v>
      </c>
    </row>
    <row r="94" spans="1:9" ht="15.75" hidden="1" customHeight="1">
      <c r="A94" s="38"/>
      <c r="B94" s="140" t="s">
        <v>186</v>
      </c>
      <c r="C94" s="141" t="s">
        <v>124</v>
      </c>
      <c r="D94" s="140"/>
      <c r="E94" s="142"/>
      <c r="F94" s="145">
        <v>1</v>
      </c>
      <c r="G94" s="151">
        <v>81.73</v>
      </c>
      <c r="H94" s="143">
        <f t="shared" ref="H94:H96" si="8">SUM(F94*G94/1000)</f>
        <v>8.1729999999999997E-2</v>
      </c>
      <c r="I94" s="16">
        <v>0</v>
      </c>
    </row>
    <row r="95" spans="1:9" ht="15.75" hidden="1" customHeight="1">
      <c r="A95" s="38"/>
      <c r="B95" s="89" t="s">
        <v>187</v>
      </c>
      <c r="C95" s="110" t="s">
        <v>188</v>
      </c>
      <c r="D95" s="18"/>
      <c r="E95" s="23"/>
      <c r="F95" s="16">
        <v>2</v>
      </c>
      <c r="G95" s="16">
        <v>195.95</v>
      </c>
      <c r="H95" s="16">
        <f t="shared" si="8"/>
        <v>0.39189999999999997</v>
      </c>
      <c r="I95" s="16">
        <v>0</v>
      </c>
    </row>
    <row r="96" spans="1:9" ht="31.5" hidden="1" customHeight="1">
      <c r="A96" s="38"/>
      <c r="B96" s="89" t="s">
        <v>189</v>
      </c>
      <c r="C96" s="110" t="s">
        <v>89</v>
      </c>
      <c r="D96" s="18"/>
      <c r="E96" s="23"/>
      <c r="F96" s="16">
        <v>7.5</v>
      </c>
      <c r="G96" s="16">
        <v>1264.3399999999999</v>
      </c>
      <c r="H96" s="16">
        <f t="shared" si="8"/>
        <v>9.4825499999999998</v>
      </c>
      <c r="I96" s="16">
        <v>0</v>
      </c>
    </row>
    <row r="97" spans="1:9" ht="15.75" hidden="1" customHeight="1">
      <c r="A97" s="38"/>
      <c r="B97" s="89" t="s">
        <v>162</v>
      </c>
      <c r="C97" s="110" t="s">
        <v>92</v>
      </c>
      <c r="D97" s="18"/>
      <c r="E97" s="23"/>
      <c r="F97" s="16">
        <v>9</v>
      </c>
      <c r="G97" s="16">
        <v>185.81</v>
      </c>
      <c r="H97" s="146">
        <f>G97*F97/1000</f>
        <v>1.6722900000000001</v>
      </c>
      <c r="I97" s="16">
        <v>0</v>
      </c>
    </row>
    <row r="98" spans="1:9" ht="15.75" hidden="1" customHeight="1">
      <c r="A98" s="38"/>
      <c r="B98" s="89" t="s">
        <v>190</v>
      </c>
      <c r="C98" s="152" t="s">
        <v>191</v>
      </c>
      <c r="D98" s="18"/>
      <c r="E98" s="23"/>
      <c r="F98" s="16">
        <v>1</v>
      </c>
      <c r="G98" s="16">
        <v>133.16999999999999</v>
      </c>
      <c r="H98" s="146">
        <f t="shared" ref="H98:H99" si="9">G98*F98/1000</f>
        <v>0.13316999999999998</v>
      </c>
      <c r="I98" s="16">
        <v>0</v>
      </c>
    </row>
    <row r="99" spans="1:9" ht="31.5" hidden="1" customHeight="1">
      <c r="A99" s="38"/>
      <c r="B99" s="89" t="s">
        <v>192</v>
      </c>
      <c r="C99" s="152" t="s">
        <v>193</v>
      </c>
      <c r="D99" s="18"/>
      <c r="E99" s="23"/>
      <c r="F99" s="16">
        <v>1</v>
      </c>
      <c r="G99" s="16">
        <v>811.24</v>
      </c>
      <c r="H99" s="146">
        <f t="shared" si="9"/>
        <v>0.81123999999999996</v>
      </c>
      <c r="I99" s="16">
        <v>0</v>
      </c>
    </row>
    <row r="100" spans="1:9" ht="31.5" hidden="1" customHeight="1">
      <c r="A100" s="38"/>
      <c r="B100" s="89" t="s">
        <v>87</v>
      </c>
      <c r="C100" s="110" t="s">
        <v>124</v>
      </c>
      <c r="D100" s="18"/>
      <c r="E100" s="23"/>
      <c r="F100" s="16">
        <v>4</v>
      </c>
      <c r="G100" s="16">
        <v>79.09</v>
      </c>
      <c r="H100" s="146">
        <f t="shared" si="7"/>
        <v>0.31636000000000003</v>
      </c>
      <c r="I100" s="16">
        <v>0</v>
      </c>
    </row>
    <row r="101" spans="1:9" ht="31.5" hidden="1" customHeight="1">
      <c r="A101" s="38"/>
      <c r="B101" s="109" t="s">
        <v>194</v>
      </c>
      <c r="C101" s="38" t="s">
        <v>58</v>
      </c>
      <c r="D101" s="18"/>
      <c r="E101" s="23"/>
      <c r="F101" s="16">
        <v>15</v>
      </c>
      <c r="G101" s="16">
        <v>1206</v>
      </c>
      <c r="H101" s="146">
        <f t="shared" si="7"/>
        <v>18.09</v>
      </c>
      <c r="I101" s="16">
        <v>0</v>
      </c>
    </row>
    <row r="102" spans="1:9" ht="31.5" hidden="1" customHeight="1">
      <c r="A102" s="38"/>
      <c r="B102" s="89" t="s">
        <v>195</v>
      </c>
      <c r="C102" s="110" t="s">
        <v>183</v>
      </c>
      <c r="D102" s="18"/>
      <c r="E102" s="23"/>
      <c r="F102" s="16">
        <v>4</v>
      </c>
      <c r="G102" s="16">
        <v>762.37</v>
      </c>
      <c r="H102" s="146">
        <f t="shared" si="7"/>
        <v>3.04948</v>
      </c>
      <c r="I102" s="16">
        <v>0</v>
      </c>
    </row>
    <row r="103" spans="1:9" ht="15.75" hidden="1" customHeight="1">
      <c r="A103" s="38"/>
      <c r="B103" s="89" t="s">
        <v>196</v>
      </c>
      <c r="C103" s="110" t="s">
        <v>188</v>
      </c>
      <c r="D103" s="18"/>
      <c r="E103" s="23"/>
      <c r="F103" s="16">
        <v>3</v>
      </c>
      <c r="G103" s="16">
        <v>290.67</v>
      </c>
      <c r="H103" s="146">
        <f t="shared" si="7"/>
        <v>0.87200999999999995</v>
      </c>
      <c r="I103" s="16">
        <v>0</v>
      </c>
    </row>
    <row r="104" spans="1:9" ht="15.75" hidden="1" customHeight="1">
      <c r="A104" s="38"/>
      <c r="B104" s="89" t="s">
        <v>197</v>
      </c>
      <c r="C104" s="110" t="s">
        <v>183</v>
      </c>
      <c r="D104" s="18"/>
      <c r="E104" s="23"/>
      <c r="F104" s="16">
        <v>1</v>
      </c>
      <c r="G104" s="16">
        <v>195.95</v>
      </c>
      <c r="H104" s="146">
        <f t="shared" si="7"/>
        <v>0.19594999999999999</v>
      </c>
      <c r="I104" s="16">
        <v>0</v>
      </c>
    </row>
    <row r="105" spans="1:9" ht="31.5" hidden="1" customHeight="1">
      <c r="A105" s="38"/>
      <c r="B105" s="89" t="s">
        <v>198</v>
      </c>
      <c r="C105" s="152" t="s">
        <v>57</v>
      </c>
      <c r="D105" s="18"/>
      <c r="E105" s="23"/>
      <c r="F105" s="16">
        <f>3.2/10</f>
        <v>0.32</v>
      </c>
      <c r="G105" s="16">
        <v>3393.77</v>
      </c>
      <c r="H105" s="146">
        <f t="shared" si="7"/>
        <v>1.0860064</v>
      </c>
      <c r="I105" s="16">
        <v>0</v>
      </c>
    </row>
    <row r="106" spans="1:9" ht="15.75" hidden="1" customHeight="1">
      <c r="A106" s="38"/>
      <c r="B106" s="89" t="s">
        <v>199</v>
      </c>
      <c r="C106" s="110" t="s">
        <v>183</v>
      </c>
      <c r="D106" s="18"/>
      <c r="E106" s="23"/>
      <c r="F106" s="16">
        <v>1</v>
      </c>
      <c r="G106" s="16">
        <v>197.76</v>
      </c>
      <c r="H106" s="146">
        <f t="shared" si="7"/>
        <v>0.19775999999999999</v>
      </c>
      <c r="I106" s="16">
        <v>0</v>
      </c>
    </row>
    <row r="107" spans="1:9" ht="31.5" hidden="1" customHeight="1">
      <c r="A107" s="38"/>
      <c r="B107" s="89" t="s">
        <v>156</v>
      </c>
      <c r="C107" s="110" t="s">
        <v>37</v>
      </c>
      <c r="D107" s="18"/>
      <c r="E107" s="23"/>
      <c r="F107" s="16">
        <f>5/100</f>
        <v>0.05</v>
      </c>
      <c r="G107" s="16">
        <v>3397.65</v>
      </c>
      <c r="H107" s="146">
        <f t="shared" si="7"/>
        <v>0.16988250000000002</v>
      </c>
      <c r="I107" s="16">
        <v>0</v>
      </c>
    </row>
    <row r="108" spans="1:9" ht="15.75" hidden="1" customHeight="1">
      <c r="A108" s="38"/>
      <c r="B108" s="89" t="s">
        <v>200</v>
      </c>
      <c r="C108" s="152" t="s">
        <v>89</v>
      </c>
      <c r="D108" s="18"/>
      <c r="E108" s="23"/>
      <c r="F108" s="16">
        <v>1</v>
      </c>
      <c r="G108" s="16">
        <v>18</v>
      </c>
      <c r="H108" s="146">
        <f t="shared" si="7"/>
        <v>1.7999999999999999E-2</v>
      </c>
      <c r="I108" s="16">
        <v>0</v>
      </c>
    </row>
    <row r="109" spans="1:9" ht="31.5" hidden="1" customHeight="1">
      <c r="A109" s="38"/>
      <c r="B109" s="89" t="s">
        <v>201</v>
      </c>
      <c r="C109" s="152" t="s">
        <v>57</v>
      </c>
      <c r="D109" s="18"/>
      <c r="E109" s="23"/>
      <c r="F109" s="16">
        <f>2.5/10</f>
        <v>0.25</v>
      </c>
      <c r="G109" s="16">
        <v>9193.82</v>
      </c>
      <c r="H109" s="146">
        <f t="shared" si="7"/>
        <v>2.2984550000000001</v>
      </c>
      <c r="I109" s="16">
        <v>0</v>
      </c>
    </row>
    <row r="110" spans="1:9" ht="15.75" hidden="1" customHeight="1">
      <c r="A110" s="38"/>
      <c r="B110" s="89" t="s">
        <v>202</v>
      </c>
      <c r="C110" s="152" t="s">
        <v>203</v>
      </c>
      <c r="D110" s="18"/>
      <c r="E110" s="23"/>
      <c r="F110" s="16">
        <v>1</v>
      </c>
      <c r="G110" s="16">
        <v>4879</v>
      </c>
      <c r="H110" s="146">
        <f t="shared" si="7"/>
        <v>4.8789999999999996</v>
      </c>
      <c r="I110" s="16">
        <v>0</v>
      </c>
    </row>
    <row r="111" spans="1:9" ht="15.75" hidden="1" customHeight="1">
      <c r="A111" s="38"/>
      <c r="B111" s="111" t="s">
        <v>93</v>
      </c>
      <c r="C111" s="152" t="s">
        <v>80</v>
      </c>
      <c r="D111" s="18"/>
      <c r="E111" s="23"/>
      <c r="F111" s="16">
        <f>3/10</f>
        <v>0.3</v>
      </c>
      <c r="G111" s="16">
        <v>3800</v>
      </c>
      <c r="H111" s="146">
        <f t="shared" si="7"/>
        <v>1.1399999999999999</v>
      </c>
      <c r="I111" s="16">
        <v>0</v>
      </c>
    </row>
    <row r="112" spans="1:9" ht="15.75" hidden="1" customHeight="1">
      <c r="A112" s="38"/>
      <c r="B112" s="89" t="s">
        <v>204</v>
      </c>
      <c r="C112" s="110" t="s">
        <v>183</v>
      </c>
      <c r="D112" s="18"/>
      <c r="E112" s="23"/>
      <c r="F112" s="16">
        <v>2</v>
      </c>
      <c r="G112" s="16">
        <v>476.76</v>
      </c>
      <c r="H112" s="146">
        <f t="shared" si="7"/>
        <v>0.95352000000000003</v>
      </c>
      <c r="I112" s="16">
        <v>0</v>
      </c>
    </row>
    <row r="113" spans="1:9" ht="15.75" hidden="1" customHeight="1">
      <c r="A113" s="38"/>
      <c r="B113" s="89" t="s">
        <v>205</v>
      </c>
      <c r="C113" s="110" t="s">
        <v>183</v>
      </c>
      <c r="D113" s="18"/>
      <c r="E113" s="23"/>
      <c r="F113" s="16">
        <v>1</v>
      </c>
      <c r="G113" s="16">
        <v>150.63999999999999</v>
      </c>
      <c r="H113" s="146">
        <f t="shared" si="7"/>
        <v>0.15064</v>
      </c>
      <c r="I113" s="16">
        <v>0</v>
      </c>
    </row>
    <row r="114" spans="1:9" ht="31.5" hidden="1" customHeight="1">
      <c r="A114" s="38"/>
      <c r="B114" s="109" t="s">
        <v>206</v>
      </c>
      <c r="C114" s="38" t="s">
        <v>58</v>
      </c>
      <c r="D114" s="18"/>
      <c r="E114" s="23"/>
      <c r="F114" s="16">
        <v>4</v>
      </c>
      <c r="G114" s="16">
        <v>2057</v>
      </c>
      <c r="H114" s="146">
        <f t="shared" si="7"/>
        <v>8.2279999999999998</v>
      </c>
      <c r="I114" s="16">
        <v>0</v>
      </c>
    </row>
    <row r="115" spans="1:9" ht="15.75" hidden="1" customHeight="1">
      <c r="A115" s="38"/>
      <c r="B115" s="89" t="s">
        <v>207</v>
      </c>
      <c r="C115" s="110" t="s">
        <v>208</v>
      </c>
      <c r="D115" s="18"/>
      <c r="E115" s="23"/>
      <c r="F115" s="16">
        <f>1/100</f>
        <v>0.01</v>
      </c>
      <c r="G115" s="16">
        <v>7033.13</v>
      </c>
      <c r="H115" s="146">
        <f t="shared" si="7"/>
        <v>7.0331299999999999E-2</v>
      </c>
      <c r="I115" s="16">
        <v>0</v>
      </c>
    </row>
    <row r="116" spans="1:9" ht="15.75" hidden="1" customHeight="1">
      <c r="A116" s="38"/>
      <c r="B116" s="89" t="s">
        <v>209</v>
      </c>
      <c r="C116" s="110" t="s">
        <v>210</v>
      </c>
      <c r="D116" s="18"/>
      <c r="E116" s="23"/>
      <c r="F116" s="16">
        <f>6/100</f>
        <v>0.06</v>
      </c>
      <c r="G116" s="16">
        <v>257.89999999999998</v>
      </c>
      <c r="H116" s="146">
        <f t="shared" si="7"/>
        <v>1.5473999999999998E-2</v>
      </c>
      <c r="I116" s="16">
        <v>0</v>
      </c>
    </row>
    <row r="117" spans="1:9" ht="15.75" hidden="1" customHeight="1">
      <c r="A117" s="38"/>
      <c r="B117" s="18" t="s">
        <v>211</v>
      </c>
      <c r="C117" s="20" t="s">
        <v>212</v>
      </c>
      <c r="D117" s="18"/>
      <c r="E117" s="23"/>
      <c r="F117" s="16">
        <v>1.5</v>
      </c>
      <c r="G117" s="16">
        <v>1501</v>
      </c>
      <c r="H117" s="146">
        <f t="shared" si="7"/>
        <v>2.2515000000000001</v>
      </c>
      <c r="I117" s="16">
        <v>0</v>
      </c>
    </row>
    <row r="118" spans="1:9" ht="15.75" hidden="1" customHeight="1">
      <c r="A118" s="38"/>
      <c r="B118" s="153" t="s">
        <v>160</v>
      </c>
      <c r="C118" s="154" t="s">
        <v>161</v>
      </c>
      <c r="D118" s="68"/>
      <c r="E118" s="16"/>
      <c r="F118" s="16">
        <f>24/3</f>
        <v>8</v>
      </c>
      <c r="G118" s="16">
        <v>1063.47</v>
      </c>
      <c r="H118" s="146">
        <f>G118*F118/1000</f>
        <v>8.5077600000000011</v>
      </c>
      <c r="I118" s="16">
        <v>0</v>
      </c>
    </row>
    <row r="119" spans="1:9" ht="15.75" hidden="1" customHeight="1">
      <c r="A119" s="38"/>
      <c r="B119" s="89" t="s">
        <v>213</v>
      </c>
      <c r="C119" s="110" t="s">
        <v>89</v>
      </c>
      <c r="D119" s="68"/>
      <c r="E119" s="16"/>
      <c r="F119" s="16">
        <v>5</v>
      </c>
      <c r="G119" s="16">
        <v>771.29</v>
      </c>
      <c r="H119" s="146">
        <f t="shared" si="7"/>
        <v>3.8564499999999997</v>
      </c>
      <c r="I119" s="16">
        <v>0</v>
      </c>
    </row>
    <row r="120" spans="1:9" ht="15.75" hidden="1" customHeight="1">
      <c r="A120" s="38"/>
      <c r="B120" s="89" t="s">
        <v>214</v>
      </c>
      <c r="C120" s="110" t="s">
        <v>183</v>
      </c>
      <c r="D120" s="68"/>
      <c r="E120" s="16"/>
      <c r="F120" s="16">
        <v>10</v>
      </c>
      <c r="G120" s="16">
        <v>960.74</v>
      </c>
      <c r="H120" s="146">
        <f t="shared" si="7"/>
        <v>9.6074000000000002</v>
      </c>
      <c r="I120" s="16">
        <v>0</v>
      </c>
    </row>
    <row r="121" spans="1:9" ht="15.75" hidden="1" customHeight="1">
      <c r="A121" s="38"/>
      <c r="B121" s="89" t="s">
        <v>215</v>
      </c>
      <c r="C121" s="110" t="s">
        <v>124</v>
      </c>
      <c r="D121" s="68"/>
      <c r="E121" s="16"/>
      <c r="F121" s="16">
        <v>1</v>
      </c>
      <c r="G121" s="16">
        <v>162.32</v>
      </c>
      <c r="H121" s="146">
        <f t="shared" si="7"/>
        <v>0.16231999999999999</v>
      </c>
      <c r="I121" s="16">
        <v>0</v>
      </c>
    </row>
    <row r="122" spans="1:9" ht="15.75" hidden="1" customHeight="1">
      <c r="A122" s="38"/>
      <c r="B122" s="89" t="s">
        <v>216</v>
      </c>
      <c r="C122" s="110" t="s">
        <v>124</v>
      </c>
      <c r="D122" s="68"/>
      <c r="E122" s="16"/>
      <c r="F122" s="16">
        <v>7</v>
      </c>
      <c r="G122" s="16">
        <v>109.73</v>
      </c>
      <c r="H122" s="146">
        <f t="shared" si="7"/>
        <v>0.76810999999999996</v>
      </c>
      <c r="I122" s="16">
        <v>0</v>
      </c>
    </row>
    <row r="123" spans="1:9" ht="15.75" hidden="1" customHeight="1">
      <c r="A123" s="38"/>
      <c r="B123" s="89" t="s">
        <v>217</v>
      </c>
      <c r="C123" s="110" t="s">
        <v>124</v>
      </c>
      <c r="D123" s="68"/>
      <c r="E123" s="16"/>
      <c r="F123" s="16">
        <v>1</v>
      </c>
      <c r="G123" s="16">
        <v>48.69</v>
      </c>
      <c r="H123" s="146">
        <f t="shared" si="7"/>
        <v>4.8689999999999997E-2</v>
      </c>
      <c r="I123" s="16">
        <v>0</v>
      </c>
    </row>
    <row r="124" spans="1:9" ht="15.75" hidden="1" customHeight="1">
      <c r="A124" s="38"/>
      <c r="B124" s="89" t="s">
        <v>218</v>
      </c>
      <c r="C124" s="110" t="s">
        <v>124</v>
      </c>
      <c r="D124" s="68"/>
      <c r="E124" s="16"/>
      <c r="F124" s="16">
        <v>1</v>
      </c>
      <c r="G124" s="16">
        <v>27.36</v>
      </c>
      <c r="H124" s="146">
        <f t="shared" si="7"/>
        <v>2.7359999999999999E-2</v>
      </c>
      <c r="I124" s="16">
        <v>0</v>
      </c>
    </row>
    <row r="125" spans="1:9" ht="15.75" hidden="1" customHeight="1">
      <c r="A125" s="38"/>
      <c r="B125" s="89" t="s">
        <v>219</v>
      </c>
      <c r="C125" s="110" t="s">
        <v>124</v>
      </c>
      <c r="D125" s="68"/>
      <c r="E125" s="16"/>
      <c r="F125" s="16">
        <v>3</v>
      </c>
      <c r="G125" s="16">
        <v>89.15</v>
      </c>
      <c r="H125" s="146">
        <f t="shared" si="7"/>
        <v>0.26745000000000002</v>
      </c>
      <c r="I125" s="16">
        <v>0</v>
      </c>
    </row>
    <row r="126" spans="1:9" ht="15.75" hidden="1" customHeight="1">
      <c r="A126" s="38"/>
      <c r="B126" s="89" t="s">
        <v>205</v>
      </c>
      <c r="C126" s="110" t="s">
        <v>183</v>
      </c>
      <c r="D126" s="68"/>
      <c r="E126" s="16"/>
      <c r="F126" s="16">
        <v>1</v>
      </c>
      <c r="G126" s="16">
        <v>111.11</v>
      </c>
      <c r="H126" s="146">
        <f t="shared" si="7"/>
        <v>0.11111</v>
      </c>
      <c r="I126" s="16">
        <v>0</v>
      </c>
    </row>
    <row r="127" spans="1:9" ht="15.75" hidden="1" customHeight="1">
      <c r="A127" s="38"/>
      <c r="B127" s="89" t="s">
        <v>220</v>
      </c>
      <c r="C127" s="110" t="s">
        <v>183</v>
      </c>
      <c r="D127" s="68"/>
      <c r="E127" s="16"/>
      <c r="F127" s="16">
        <v>2</v>
      </c>
      <c r="G127" s="16">
        <v>195.95</v>
      </c>
      <c r="H127" s="146">
        <f t="shared" si="7"/>
        <v>0.39189999999999997</v>
      </c>
      <c r="I127" s="16">
        <v>0</v>
      </c>
    </row>
    <row r="128" spans="1:9" ht="15.75" hidden="1" customHeight="1">
      <c r="A128" s="38"/>
      <c r="B128" s="89" t="s">
        <v>221</v>
      </c>
      <c r="C128" s="110" t="s">
        <v>203</v>
      </c>
      <c r="D128" s="68"/>
      <c r="E128" s="16"/>
      <c r="F128" s="16">
        <v>1</v>
      </c>
      <c r="G128" s="16">
        <v>14779</v>
      </c>
      <c r="H128" s="146">
        <f t="shared" si="7"/>
        <v>14.779</v>
      </c>
      <c r="I128" s="16">
        <v>0</v>
      </c>
    </row>
    <row r="129" spans="1:9" ht="31.5" hidden="1" customHeight="1">
      <c r="A129" s="38"/>
      <c r="B129" s="89" t="s">
        <v>222</v>
      </c>
      <c r="C129" s="152" t="s">
        <v>89</v>
      </c>
      <c r="D129" s="68"/>
      <c r="E129" s="16"/>
      <c r="F129" s="16">
        <v>1</v>
      </c>
      <c r="G129" s="16">
        <v>2367.11</v>
      </c>
      <c r="H129" s="146">
        <f t="shared" si="7"/>
        <v>2.3671100000000003</v>
      </c>
      <c r="I129" s="16">
        <v>0</v>
      </c>
    </row>
    <row r="130" spans="1:9" ht="31.5" hidden="1" customHeight="1">
      <c r="A130" s="38"/>
      <c r="B130" s="109" t="s">
        <v>223</v>
      </c>
      <c r="C130" s="38" t="s">
        <v>58</v>
      </c>
      <c r="D130" s="18"/>
      <c r="E130" s="23"/>
      <c r="F130" s="16">
        <v>0.5</v>
      </c>
      <c r="G130" s="16">
        <v>1187</v>
      </c>
      <c r="H130" s="146">
        <f t="shared" si="7"/>
        <v>0.59350000000000003</v>
      </c>
      <c r="I130" s="16">
        <v>0</v>
      </c>
    </row>
    <row r="131" spans="1:9" ht="31.5" hidden="1" customHeight="1">
      <c r="A131" s="38"/>
      <c r="B131" s="109" t="s">
        <v>224</v>
      </c>
      <c r="C131" s="38" t="s">
        <v>58</v>
      </c>
      <c r="D131" s="18"/>
      <c r="E131" s="23"/>
      <c r="F131" s="16">
        <v>5.5</v>
      </c>
      <c r="G131" s="16">
        <v>1272</v>
      </c>
      <c r="H131" s="146">
        <f t="shared" si="7"/>
        <v>6.9960000000000004</v>
      </c>
      <c r="I131" s="16">
        <v>0</v>
      </c>
    </row>
    <row r="132" spans="1:9" ht="15.75" hidden="1" customHeight="1">
      <c r="A132" s="38"/>
      <c r="B132" s="109" t="s">
        <v>225</v>
      </c>
      <c r="C132" s="38" t="s">
        <v>124</v>
      </c>
      <c r="D132" s="18"/>
      <c r="E132" s="23"/>
      <c r="F132" s="16">
        <v>2</v>
      </c>
      <c r="G132" s="16">
        <v>78.89</v>
      </c>
      <c r="H132" s="146">
        <f t="shared" si="7"/>
        <v>0.15778</v>
      </c>
      <c r="I132" s="16">
        <v>0</v>
      </c>
    </row>
    <row r="133" spans="1:9" ht="15.75" hidden="1" customHeight="1">
      <c r="A133" s="38"/>
      <c r="B133" s="89" t="s">
        <v>226</v>
      </c>
      <c r="C133" s="110" t="s">
        <v>124</v>
      </c>
      <c r="D133" s="18"/>
      <c r="E133" s="23"/>
      <c r="F133" s="16">
        <v>2</v>
      </c>
      <c r="G133" s="16">
        <v>581.91999999999996</v>
      </c>
      <c r="H133" s="146">
        <f t="shared" si="7"/>
        <v>1.16384</v>
      </c>
      <c r="I133" s="16">
        <v>0</v>
      </c>
    </row>
    <row r="134" spans="1:9" ht="31.5" hidden="1" customHeight="1">
      <c r="A134" s="38"/>
      <c r="B134" s="89" t="s">
        <v>227</v>
      </c>
      <c r="C134" s="110" t="s">
        <v>228</v>
      </c>
      <c r="D134" s="18"/>
      <c r="E134" s="23"/>
      <c r="F134" s="16">
        <v>2</v>
      </c>
      <c r="G134" s="16">
        <v>1096.78</v>
      </c>
      <c r="H134" s="146">
        <f t="shared" si="7"/>
        <v>2.1935599999999997</v>
      </c>
      <c r="I134" s="16">
        <v>0</v>
      </c>
    </row>
    <row r="135" spans="1:9" ht="15.75" hidden="1" customHeight="1">
      <c r="A135" s="38"/>
      <c r="B135" s="111" t="s">
        <v>229</v>
      </c>
      <c r="C135" s="152" t="s">
        <v>183</v>
      </c>
      <c r="D135" s="18"/>
      <c r="E135" s="23"/>
      <c r="F135" s="16">
        <v>1</v>
      </c>
      <c r="G135" s="16">
        <v>743.13</v>
      </c>
      <c r="H135" s="146">
        <f t="shared" si="7"/>
        <v>0.74312999999999996</v>
      </c>
      <c r="I135" s="16">
        <v>0</v>
      </c>
    </row>
    <row r="136" spans="1:9" ht="15.75" hidden="1" customHeight="1">
      <c r="A136" s="38"/>
      <c r="B136" s="111" t="s">
        <v>239</v>
      </c>
      <c r="C136" s="152" t="s">
        <v>124</v>
      </c>
      <c r="D136" s="18"/>
      <c r="E136" s="23"/>
      <c r="F136" s="16">
        <v>1</v>
      </c>
      <c r="G136" s="16">
        <v>250</v>
      </c>
      <c r="H136" s="146">
        <f t="shared" si="7"/>
        <v>0.25</v>
      </c>
      <c r="I136" s="16">
        <v>0</v>
      </c>
    </row>
    <row r="137" spans="1:9" ht="15.75" hidden="1" customHeight="1">
      <c r="A137" s="38"/>
      <c r="B137" s="109" t="s">
        <v>230</v>
      </c>
      <c r="C137" s="38" t="s">
        <v>124</v>
      </c>
      <c r="D137" s="68"/>
      <c r="E137" s="16"/>
      <c r="F137" s="16">
        <v>4</v>
      </c>
      <c r="G137" s="16">
        <v>470</v>
      </c>
      <c r="H137" s="146">
        <f t="shared" si="7"/>
        <v>1.88</v>
      </c>
      <c r="I137" s="16">
        <v>0</v>
      </c>
    </row>
    <row r="138" spans="1:9" ht="15.75" hidden="1" customHeight="1">
      <c r="A138" s="38"/>
      <c r="B138" s="89" t="s">
        <v>231</v>
      </c>
      <c r="C138" s="110" t="s">
        <v>124</v>
      </c>
      <c r="D138" s="68"/>
      <c r="E138" s="16"/>
      <c r="F138" s="16">
        <v>3</v>
      </c>
      <c r="G138" s="16">
        <v>46.75</v>
      </c>
      <c r="H138" s="146">
        <f t="shared" si="7"/>
        <v>0.14025000000000001</v>
      </c>
      <c r="I138" s="16">
        <v>0</v>
      </c>
    </row>
    <row r="139" spans="1:9" ht="15.75" hidden="1" customHeight="1">
      <c r="A139" s="38"/>
      <c r="B139" s="89" t="s">
        <v>232</v>
      </c>
      <c r="C139" s="110" t="s">
        <v>124</v>
      </c>
      <c r="D139" s="68"/>
      <c r="E139" s="16"/>
      <c r="F139" s="16">
        <v>1</v>
      </c>
      <c r="G139" s="16">
        <v>86.15</v>
      </c>
      <c r="H139" s="146">
        <f>G139*F139/1000</f>
        <v>8.6150000000000004E-2</v>
      </c>
      <c r="I139" s="16">
        <v>0</v>
      </c>
    </row>
    <row r="140" spans="1:9" ht="15.75" hidden="1" customHeight="1">
      <c r="A140" s="38"/>
      <c r="B140" s="89" t="s">
        <v>233</v>
      </c>
      <c r="C140" s="110" t="s">
        <v>124</v>
      </c>
      <c r="D140" s="68"/>
      <c r="E140" s="16"/>
      <c r="F140" s="16">
        <v>1</v>
      </c>
      <c r="G140" s="16">
        <v>92.74</v>
      </c>
      <c r="H140" s="146">
        <f t="shared" si="7"/>
        <v>9.2739999999999989E-2</v>
      </c>
      <c r="I140" s="16">
        <v>0</v>
      </c>
    </row>
    <row r="141" spans="1:9" ht="31.5" hidden="1" customHeight="1">
      <c r="A141" s="38"/>
      <c r="B141" s="89" t="s">
        <v>184</v>
      </c>
      <c r="C141" s="110" t="s">
        <v>185</v>
      </c>
      <c r="D141" s="68"/>
      <c r="E141" s="16"/>
      <c r="F141" s="16">
        <v>1</v>
      </c>
      <c r="G141" s="16">
        <v>629.39</v>
      </c>
      <c r="H141" s="146">
        <f t="shared" si="7"/>
        <v>0.62939000000000001</v>
      </c>
      <c r="I141" s="16">
        <v>0</v>
      </c>
    </row>
    <row r="142" spans="1:9" ht="15.75" hidden="1" customHeight="1">
      <c r="A142" s="38"/>
      <c r="B142" s="89" t="s">
        <v>234</v>
      </c>
      <c r="C142" s="110" t="s">
        <v>124</v>
      </c>
      <c r="D142" s="68"/>
      <c r="E142" s="16"/>
      <c r="F142" s="16">
        <v>1</v>
      </c>
      <c r="G142" s="16">
        <v>53.17</v>
      </c>
      <c r="H142" s="146">
        <f t="shared" si="7"/>
        <v>5.3170000000000002E-2</v>
      </c>
      <c r="I142" s="16">
        <v>0</v>
      </c>
    </row>
    <row r="143" spans="1:9" ht="15.75" hidden="1" customHeight="1">
      <c r="A143" s="38"/>
      <c r="B143" s="89" t="s">
        <v>235</v>
      </c>
      <c r="C143" s="110" t="s">
        <v>124</v>
      </c>
      <c r="D143" s="68"/>
      <c r="E143" s="16"/>
      <c r="F143" s="16">
        <v>1</v>
      </c>
      <c r="G143" s="16">
        <v>92.74</v>
      </c>
      <c r="H143" s="146">
        <f t="shared" si="7"/>
        <v>9.2739999999999989E-2</v>
      </c>
      <c r="I143" s="16">
        <v>0</v>
      </c>
    </row>
    <row r="144" spans="1:9" ht="31.5" hidden="1" customHeight="1">
      <c r="A144" s="38"/>
      <c r="B144" s="89" t="s">
        <v>236</v>
      </c>
      <c r="C144" s="110" t="s">
        <v>89</v>
      </c>
      <c r="D144" s="68"/>
      <c r="E144" s="16"/>
      <c r="F144" s="16">
        <v>2</v>
      </c>
      <c r="G144" s="16">
        <v>1264.3399999999999</v>
      </c>
      <c r="H144" s="146">
        <f t="shared" si="7"/>
        <v>2.52868</v>
      </c>
      <c r="I144" s="16">
        <v>0</v>
      </c>
    </row>
    <row r="145" spans="1:9" ht="15.75" hidden="1" customHeight="1">
      <c r="A145" s="38"/>
      <c r="B145" s="89" t="s">
        <v>237</v>
      </c>
      <c r="C145" s="110" t="s">
        <v>238</v>
      </c>
      <c r="D145" s="68"/>
      <c r="E145" s="16"/>
      <c r="F145" s="16">
        <f>1/10</f>
        <v>0.1</v>
      </c>
      <c r="G145" s="16">
        <v>3424.08</v>
      </c>
      <c r="H145" s="146">
        <f t="shared" si="7"/>
        <v>0.34240799999999999</v>
      </c>
      <c r="I145" s="16">
        <v>0</v>
      </c>
    </row>
    <row r="146" spans="1:9" ht="15.75" customHeight="1">
      <c r="A146" s="38"/>
      <c r="B146" s="62" t="s">
        <v>53</v>
      </c>
      <c r="C146" s="58"/>
      <c r="D146" s="72"/>
      <c r="E146" s="58">
        <v>1</v>
      </c>
      <c r="F146" s="58"/>
      <c r="G146" s="58"/>
      <c r="H146" s="58"/>
      <c r="I146" s="40">
        <f>SUM(I86:I145)</f>
        <v>8953.41</v>
      </c>
    </row>
    <row r="147" spans="1:9">
      <c r="A147" s="38"/>
      <c r="B147" s="68" t="s">
        <v>85</v>
      </c>
      <c r="C147" s="19"/>
      <c r="D147" s="19"/>
      <c r="E147" s="59"/>
      <c r="F147" s="59"/>
      <c r="G147" s="60"/>
      <c r="H147" s="60"/>
      <c r="I147" s="22">
        <v>0</v>
      </c>
    </row>
    <row r="148" spans="1:9">
      <c r="A148" s="73"/>
      <c r="B148" s="63" t="s">
        <v>54</v>
      </c>
      <c r="C148" s="46"/>
      <c r="D148" s="46"/>
      <c r="E148" s="46"/>
      <c r="F148" s="46"/>
      <c r="G148" s="46"/>
      <c r="H148" s="46"/>
      <c r="I148" s="61">
        <f>I84+I146</f>
        <v>140601.80667766667</v>
      </c>
    </row>
    <row r="149" spans="1:9" ht="15.75">
      <c r="A149" s="170" t="s">
        <v>243</v>
      </c>
      <c r="B149" s="170"/>
      <c r="C149" s="170"/>
      <c r="D149" s="170"/>
      <c r="E149" s="170"/>
      <c r="F149" s="170"/>
      <c r="G149" s="170"/>
      <c r="H149" s="170"/>
      <c r="I149" s="170"/>
    </row>
    <row r="150" spans="1:9" ht="15.75" customHeight="1">
      <c r="A150" s="108"/>
      <c r="B150" s="171" t="s">
        <v>244</v>
      </c>
      <c r="C150" s="171"/>
      <c r="D150" s="171"/>
      <c r="E150" s="171"/>
      <c r="F150" s="171"/>
      <c r="G150" s="171"/>
      <c r="H150" s="130"/>
      <c r="I150" s="3"/>
    </row>
    <row r="151" spans="1:9">
      <c r="A151" s="104"/>
      <c r="B151" s="164" t="s">
        <v>6</v>
      </c>
      <c r="C151" s="164"/>
      <c r="D151" s="164"/>
      <c r="E151" s="164"/>
      <c r="F151" s="164"/>
      <c r="G151" s="164"/>
      <c r="H151" s="33"/>
      <c r="I151" s="5"/>
    </row>
    <row r="152" spans="1:9">
      <c r="A152" s="10"/>
      <c r="B152" s="10"/>
      <c r="C152" s="10"/>
      <c r="D152" s="10"/>
      <c r="E152" s="10"/>
      <c r="F152" s="10"/>
      <c r="G152" s="10"/>
      <c r="H152" s="10"/>
      <c r="I152" s="10"/>
    </row>
    <row r="153" spans="1:9" ht="15.75">
      <c r="A153" s="172" t="s">
        <v>7</v>
      </c>
      <c r="B153" s="172"/>
      <c r="C153" s="172"/>
      <c r="D153" s="172"/>
      <c r="E153" s="172"/>
      <c r="F153" s="172"/>
      <c r="G153" s="172"/>
      <c r="H153" s="172"/>
      <c r="I153" s="172"/>
    </row>
    <row r="154" spans="1:9" ht="15.75">
      <c r="A154" s="172" t="s">
        <v>8</v>
      </c>
      <c r="B154" s="172"/>
      <c r="C154" s="172"/>
      <c r="D154" s="172"/>
      <c r="E154" s="172"/>
      <c r="F154" s="172"/>
      <c r="G154" s="172"/>
      <c r="H154" s="172"/>
      <c r="I154" s="172"/>
    </row>
    <row r="155" spans="1:9" ht="15.75">
      <c r="A155" s="161" t="s">
        <v>65</v>
      </c>
      <c r="B155" s="161"/>
      <c r="C155" s="161"/>
      <c r="D155" s="161"/>
      <c r="E155" s="161"/>
      <c r="F155" s="161"/>
      <c r="G155" s="161"/>
      <c r="H155" s="161"/>
      <c r="I155" s="161"/>
    </row>
    <row r="156" spans="1:9" ht="15.75">
      <c r="A156" s="11"/>
    </row>
    <row r="157" spans="1:9" ht="15.75">
      <c r="A157" s="162" t="s">
        <v>9</v>
      </c>
      <c r="B157" s="162"/>
      <c r="C157" s="162"/>
      <c r="D157" s="162"/>
      <c r="E157" s="162"/>
      <c r="F157" s="162"/>
      <c r="G157" s="162"/>
      <c r="H157" s="162"/>
      <c r="I157" s="162"/>
    </row>
    <row r="158" spans="1:9" ht="15.75" customHeight="1">
      <c r="A158" s="4"/>
    </row>
    <row r="159" spans="1:9" ht="15.75" customHeight="1">
      <c r="B159" s="105" t="s">
        <v>10</v>
      </c>
      <c r="C159" s="163" t="s">
        <v>170</v>
      </c>
      <c r="D159" s="163"/>
      <c r="E159" s="163"/>
      <c r="F159" s="128"/>
      <c r="I159" s="103"/>
    </row>
    <row r="160" spans="1:9" ht="15.75" customHeight="1">
      <c r="A160" s="104"/>
      <c r="C160" s="164" t="s">
        <v>11</v>
      </c>
      <c r="D160" s="164"/>
      <c r="E160" s="164"/>
      <c r="F160" s="33"/>
      <c r="I160" s="102" t="s">
        <v>12</v>
      </c>
    </row>
    <row r="161" spans="1:9" ht="15.75" customHeight="1">
      <c r="A161" s="34"/>
      <c r="C161" s="12"/>
      <c r="D161" s="12"/>
      <c r="G161" s="12"/>
      <c r="H161" s="12"/>
    </row>
    <row r="162" spans="1:9" ht="15.75">
      <c r="B162" s="105" t="s">
        <v>13</v>
      </c>
      <c r="C162" s="165"/>
      <c r="D162" s="165"/>
      <c r="E162" s="165"/>
      <c r="F162" s="129"/>
      <c r="I162" s="103"/>
    </row>
    <row r="163" spans="1:9">
      <c r="A163" s="104"/>
      <c r="C163" s="166" t="s">
        <v>11</v>
      </c>
      <c r="D163" s="166"/>
      <c r="E163" s="166"/>
      <c r="F163" s="104"/>
      <c r="I163" s="102" t="s">
        <v>12</v>
      </c>
    </row>
    <row r="164" spans="1:9" ht="15.75">
      <c r="A164" s="4" t="s">
        <v>14</v>
      </c>
    </row>
    <row r="165" spans="1:9">
      <c r="A165" s="159" t="s">
        <v>15</v>
      </c>
      <c r="B165" s="159"/>
      <c r="C165" s="159"/>
      <c r="D165" s="159"/>
      <c r="E165" s="159"/>
      <c r="F165" s="159"/>
      <c r="G165" s="159"/>
      <c r="H165" s="159"/>
      <c r="I165" s="159"/>
    </row>
    <row r="166" spans="1:9" ht="45" customHeight="1">
      <c r="A166" s="160" t="s">
        <v>16</v>
      </c>
      <c r="B166" s="160"/>
      <c r="C166" s="160"/>
      <c r="D166" s="160"/>
      <c r="E166" s="160"/>
      <c r="F166" s="160"/>
      <c r="G166" s="160"/>
      <c r="H166" s="160"/>
      <c r="I166" s="160"/>
    </row>
    <row r="167" spans="1:9" ht="30" customHeight="1">
      <c r="A167" s="160" t="s">
        <v>17</v>
      </c>
      <c r="B167" s="160"/>
      <c r="C167" s="160"/>
      <c r="D167" s="160"/>
      <c r="E167" s="160"/>
      <c r="F167" s="160"/>
      <c r="G167" s="160"/>
      <c r="H167" s="160"/>
      <c r="I167" s="160"/>
    </row>
    <row r="168" spans="1:9" ht="30" customHeight="1">
      <c r="A168" s="160" t="s">
        <v>21</v>
      </c>
      <c r="B168" s="160"/>
      <c r="C168" s="160"/>
      <c r="D168" s="160"/>
      <c r="E168" s="160"/>
      <c r="F168" s="160"/>
      <c r="G168" s="160"/>
      <c r="H168" s="160"/>
      <c r="I168" s="160"/>
    </row>
    <row r="169" spans="1:9" ht="15" customHeight="1">
      <c r="A169" s="160" t="s">
        <v>20</v>
      </c>
      <c r="B169" s="160"/>
      <c r="C169" s="160"/>
      <c r="D169" s="160"/>
      <c r="E169" s="160"/>
      <c r="F169" s="160"/>
      <c r="G169" s="160"/>
      <c r="H169" s="160"/>
      <c r="I169" s="160"/>
    </row>
  </sheetData>
  <autoFilter ref="I12:I60"/>
  <mergeCells count="28">
    <mergeCell ref="A14:I14"/>
    <mergeCell ref="A3:I3"/>
    <mergeCell ref="A4:I4"/>
    <mergeCell ref="A5:I5"/>
    <mergeCell ref="A8:I8"/>
    <mergeCell ref="A10:I10"/>
    <mergeCell ref="A15:I15"/>
    <mergeCell ref="A28:I28"/>
    <mergeCell ref="A46:I46"/>
    <mergeCell ref="A56:I56"/>
    <mergeCell ref="R65:U65"/>
    <mergeCell ref="C163:E163"/>
    <mergeCell ref="A81:I81"/>
    <mergeCell ref="A149:I149"/>
    <mergeCell ref="B150:G150"/>
    <mergeCell ref="B151:G151"/>
    <mergeCell ref="A153:I153"/>
    <mergeCell ref="A154:I154"/>
    <mergeCell ref="A155:I155"/>
    <mergeCell ref="A157:I157"/>
    <mergeCell ref="C159:E159"/>
    <mergeCell ref="C160:E160"/>
    <mergeCell ref="C162:E162"/>
    <mergeCell ref="A165:I165"/>
    <mergeCell ref="A166:I166"/>
    <mergeCell ref="A167:I167"/>
    <mergeCell ref="A168:I168"/>
    <mergeCell ref="A169:I169"/>
  </mergeCells>
  <pageMargins left="0.70866141732283472" right="0.23622047244094491" top="0.27559055118110237" bottom="0.27559055118110237" header="0.31496062992125984" footer="0.31496062992125984"/>
  <pageSetup paperSize="9" scale="60" orientation="portrait" r:id="rId1"/>
  <colBreaks count="1" manualBreakCount="1">
    <brk id="9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>
  <dimension ref="A1:V131"/>
  <sheetViews>
    <sheetView workbookViewId="0">
      <selection activeCell="A3" sqref="A3:I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36" t="s">
        <v>96</v>
      </c>
      <c r="I1" s="35"/>
      <c r="J1" s="1"/>
      <c r="K1" s="1"/>
      <c r="L1" s="1"/>
      <c r="M1" s="1"/>
    </row>
    <row r="2" spans="1:13" ht="15.75">
      <c r="A2" s="37" t="s">
        <v>67</v>
      </c>
      <c r="J2" s="2"/>
      <c r="K2" s="2"/>
      <c r="L2" s="2"/>
      <c r="M2" s="2"/>
    </row>
    <row r="3" spans="1:13" ht="15.75" customHeight="1">
      <c r="A3" s="177" t="s">
        <v>275</v>
      </c>
      <c r="B3" s="177"/>
      <c r="C3" s="177"/>
      <c r="D3" s="177"/>
      <c r="E3" s="177"/>
      <c r="F3" s="177"/>
      <c r="G3" s="177"/>
      <c r="H3" s="177"/>
      <c r="I3" s="177"/>
      <c r="J3" s="3"/>
      <c r="K3" s="3"/>
      <c r="L3" s="3"/>
    </row>
    <row r="4" spans="1:13" ht="31.5" customHeight="1">
      <c r="A4" s="178" t="s">
        <v>159</v>
      </c>
      <c r="B4" s="178"/>
      <c r="C4" s="178"/>
      <c r="D4" s="178"/>
      <c r="E4" s="178"/>
      <c r="F4" s="178"/>
      <c r="G4" s="178"/>
      <c r="H4" s="178"/>
      <c r="I4" s="178"/>
    </row>
    <row r="5" spans="1:13" ht="15.75">
      <c r="A5" s="177" t="s">
        <v>276</v>
      </c>
      <c r="B5" s="179"/>
      <c r="C5" s="179"/>
      <c r="D5" s="179"/>
      <c r="E5" s="179"/>
      <c r="F5" s="179"/>
      <c r="G5" s="179"/>
      <c r="H5" s="179"/>
      <c r="I5" s="179"/>
      <c r="J5" s="2"/>
      <c r="K5" s="2"/>
      <c r="L5" s="2"/>
      <c r="M5" s="2"/>
    </row>
    <row r="6" spans="1:13" ht="15.75">
      <c r="A6" s="2"/>
      <c r="B6" s="116"/>
      <c r="C6" s="116"/>
      <c r="D6" s="116"/>
      <c r="E6" s="116"/>
      <c r="F6" s="116"/>
      <c r="G6" s="116"/>
      <c r="H6" s="116"/>
      <c r="I6" s="39">
        <v>42674</v>
      </c>
      <c r="J6" s="2"/>
      <c r="K6" s="2"/>
      <c r="L6" s="2"/>
      <c r="M6" s="2"/>
    </row>
    <row r="7" spans="1:13" ht="15.75">
      <c r="B7" s="117"/>
      <c r="C7" s="117"/>
      <c r="D7" s="117"/>
      <c r="E7" s="3"/>
      <c r="F7" s="3"/>
      <c r="G7" s="3"/>
      <c r="H7" s="3"/>
      <c r="J7" s="3"/>
      <c r="K7" s="3"/>
      <c r="L7" s="3"/>
      <c r="M7" s="3"/>
    </row>
    <row r="8" spans="1:13" ht="87" customHeight="1">
      <c r="A8" s="180" t="s">
        <v>174</v>
      </c>
      <c r="B8" s="180"/>
      <c r="C8" s="180"/>
      <c r="D8" s="180"/>
      <c r="E8" s="180"/>
      <c r="F8" s="180"/>
      <c r="G8" s="180"/>
      <c r="H8" s="180"/>
      <c r="I8" s="180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55.5" customHeight="1">
      <c r="A10" s="181" t="s">
        <v>173</v>
      </c>
      <c r="B10" s="181"/>
      <c r="C10" s="181"/>
      <c r="D10" s="181"/>
      <c r="E10" s="181"/>
      <c r="F10" s="181"/>
      <c r="G10" s="181"/>
      <c r="H10" s="181"/>
      <c r="I10" s="181"/>
      <c r="J10" s="2"/>
      <c r="K10" s="2"/>
      <c r="L10" s="2"/>
      <c r="M10" s="2"/>
    </row>
    <row r="11" spans="1:13" ht="15.75">
      <c r="A11" s="4"/>
    </row>
    <row r="12" spans="1:13" ht="4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182" t="s">
        <v>63</v>
      </c>
      <c r="B14" s="182"/>
      <c r="C14" s="182"/>
      <c r="D14" s="182"/>
      <c r="E14" s="182"/>
      <c r="F14" s="182"/>
      <c r="G14" s="182"/>
      <c r="H14" s="182"/>
      <c r="I14" s="182"/>
      <c r="J14" s="8"/>
      <c r="K14" s="8"/>
      <c r="L14" s="8"/>
      <c r="M14" s="8"/>
    </row>
    <row r="15" spans="1:13" ht="15" customHeight="1">
      <c r="A15" s="173" t="s">
        <v>4</v>
      </c>
      <c r="B15" s="173"/>
      <c r="C15" s="173"/>
      <c r="D15" s="173"/>
      <c r="E15" s="173"/>
      <c r="F15" s="173"/>
      <c r="G15" s="173"/>
      <c r="H15" s="173"/>
      <c r="I15" s="173"/>
      <c r="J15" s="8"/>
      <c r="K15" s="8"/>
      <c r="L15" s="8"/>
      <c r="M15" s="8"/>
    </row>
    <row r="16" spans="1:13" ht="31.5" customHeight="1">
      <c r="A16" s="38">
        <v>1</v>
      </c>
      <c r="B16" s="131" t="s">
        <v>99</v>
      </c>
      <c r="C16" s="132" t="s">
        <v>100</v>
      </c>
      <c r="D16" s="131" t="s">
        <v>101</v>
      </c>
      <c r="E16" s="133">
        <v>208.08</v>
      </c>
      <c r="F16" s="134">
        <f>SUM(E16*156/100)</f>
        <v>324.60480000000001</v>
      </c>
      <c r="G16" s="134">
        <v>175.38</v>
      </c>
      <c r="H16" s="135">
        <f t="shared" ref="H16:H25" si="0">SUM(F16*G16/1000)</f>
        <v>56.929189823999998</v>
      </c>
      <c r="I16" s="16">
        <f>F16/12*G16</f>
        <v>4744.0991519999998</v>
      </c>
      <c r="J16" s="30"/>
      <c r="K16" s="8"/>
      <c r="L16" s="8"/>
      <c r="M16" s="8"/>
    </row>
    <row r="17" spans="1:13" ht="31.5" customHeight="1">
      <c r="A17" s="38">
        <v>2</v>
      </c>
      <c r="B17" s="131" t="s">
        <v>135</v>
      </c>
      <c r="C17" s="132" t="s">
        <v>100</v>
      </c>
      <c r="D17" s="131" t="s">
        <v>102</v>
      </c>
      <c r="E17" s="133">
        <v>832.32</v>
      </c>
      <c r="F17" s="134">
        <f>SUM(E17*104/100)</f>
        <v>865.61279999999999</v>
      </c>
      <c r="G17" s="134">
        <v>175.38</v>
      </c>
      <c r="H17" s="135">
        <f t="shared" si="0"/>
        <v>151.81117286399999</v>
      </c>
      <c r="I17" s="16">
        <f>F17/12*G17</f>
        <v>12650.931071999999</v>
      </c>
      <c r="J17" s="31"/>
      <c r="K17" s="8"/>
      <c r="L17" s="8"/>
      <c r="M17" s="8"/>
    </row>
    <row r="18" spans="1:13" ht="31.5" customHeight="1">
      <c r="A18" s="38">
        <v>3</v>
      </c>
      <c r="B18" s="131" t="s">
        <v>136</v>
      </c>
      <c r="C18" s="132" t="s">
        <v>100</v>
      </c>
      <c r="D18" s="131" t="s">
        <v>240</v>
      </c>
      <c r="E18" s="133">
        <v>1040.4000000000001</v>
      </c>
      <c r="F18" s="134">
        <f>SUM(E18*24/100)</f>
        <v>249.69600000000003</v>
      </c>
      <c r="G18" s="134">
        <v>504.5</v>
      </c>
      <c r="H18" s="135">
        <f t="shared" si="0"/>
        <v>125.97163200000001</v>
      </c>
      <c r="I18" s="16">
        <f>F18/12*G18</f>
        <v>10497.636000000002</v>
      </c>
      <c r="J18" s="31"/>
      <c r="K18" s="8"/>
      <c r="L18" s="8"/>
      <c r="M18" s="8"/>
    </row>
    <row r="19" spans="1:13" ht="15.75" hidden="1" customHeight="1">
      <c r="A19" s="38"/>
      <c r="B19" s="131" t="s">
        <v>109</v>
      </c>
      <c r="C19" s="132" t="s">
        <v>110</v>
      </c>
      <c r="D19" s="131" t="s">
        <v>111</v>
      </c>
      <c r="E19" s="133">
        <v>48</v>
      </c>
      <c r="F19" s="134">
        <f>SUM(E19/10)</f>
        <v>4.8</v>
      </c>
      <c r="G19" s="134">
        <v>170.16</v>
      </c>
      <c r="H19" s="135">
        <f t="shared" si="0"/>
        <v>0.81676799999999994</v>
      </c>
      <c r="I19" s="16">
        <v>0</v>
      </c>
      <c r="J19" s="31"/>
      <c r="K19" s="8"/>
      <c r="L19" s="8"/>
      <c r="M19" s="8"/>
    </row>
    <row r="20" spans="1:13" ht="15.75" customHeight="1">
      <c r="A20" s="38">
        <v>4</v>
      </c>
      <c r="B20" s="131" t="s">
        <v>112</v>
      </c>
      <c r="C20" s="132" t="s">
        <v>100</v>
      </c>
      <c r="D20" s="131" t="s">
        <v>138</v>
      </c>
      <c r="E20" s="133">
        <v>30.6</v>
      </c>
      <c r="F20" s="134">
        <f>SUM(E20*12/100)</f>
        <v>3.6720000000000006</v>
      </c>
      <c r="G20" s="134">
        <v>217.88</v>
      </c>
      <c r="H20" s="135">
        <f t="shared" si="0"/>
        <v>0.8000553600000001</v>
      </c>
      <c r="I20" s="16">
        <f>F20/12*G20</f>
        <v>66.67128000000001</v>
      </c>
      <c r="J20" s="31"/>
      <c r="K20" s="8"/>
      <c r="L20" s="8"/>
      <c r="M20" s="8"/>
    </row>
    <row r="21" spans="1:13" ht="15.75" customHeight="1">
      <c r="A21" s="38">
        <v>5</v>
      </c>
      <c r="B21" s="131" t="s">
        <v>113</v>
      </c>
      <c r="C21" s="132" t="s">
        <v>100</v>
      </c>
      <c r="D21" s="131" t="s">
        <v>30</v>
      </c>
      <c r="E21" s="133">
        <v>10.06</v>
      </c>
      <c r="F21" s="134">
        <f>SUM(E21*12/100)</f>
        <v>1.2072000000000001</v>
      </c>
      <c r="G21" s="134">
        <v>216.12</v>
      </c>
      <c r="H21" s="135">
        <f t="shared" si="0"/>
        <v>0.26090006400000004</v>
      </c>
      <c r="I21" s="16">
        <f>F21/12*G21</f>
        <v>21.741672000000001</v>
      </c>
      <c r="J21" s="31"/>
      <c r="K21" s="8"/>
      <c r="L21" s="8"/>
      <c r="M21" s="8"/>
    </row>
    <row r="22" spans="1:13" ht="15.75" hidden="1" customHeight="1">
      <c r="A22" s="38"/>
      <c r="B22" s="131" t="s">
        <v>114</v>
      </c>
      <c r="C22" s="132" t="s">
        <v>55</v>
      </c>
      <c r="D22" s="131" t="s">
        <v>111</v>
      </c>
      <c r="E22" s="133">
        <v>769.2</v>
      </c>
      <c r="F22" s="134">
        <f>SUM(E22/100)</f>
        <v>7.6920000000000002</v>
      </c>
      <c r="G22" s="134">
        <v>269.26</v>
      </c>
      <c r="H22" s="135">
        <f t="shared" si="0"/>
        <v>2.07114792</v>
      </c>
      <c r="I22" s="16">
        <v>0</v>
      </c>
      <c r="J22" s="31"/>
      <c r="K22" s="8"/>
      <c r="L22" s="8"/>
      <c r="M22" s="8"/>
    </row>
    <row r="23" spans="1:13" ht="15.75" hidden="1" customHeight="1">
      <c r="A23" s="38"/>
      <c r="B23" s="131" t="s">
        <v>115</v>
      </c>
      <c r="C23" s="132" t="s">
        <v>55</v>
      </c>
      <c r="D23" s="131" t="s">
        <v>111</v>
      </c>
      <c r="E23" s="136">
        <v>35.28</v>
      </c>
      <c r="F23" s="134">
        <f>SUM(E23/100)</f>
        <v>0.3528</v>
      </c>
      <c r="G23" s="134">
        <v>44.29</v>
      </c>
      <c r="H23" s="135">
        <f t="shared" si="0"/>
        <v>1.5625512000000001E-2</v>
      </c>
      <c r="I23" s="16">
        <v>0</v>
      </c>
      <c r="J23" s="31"/>
      <c r="K23" s="8"/>
      <c r="L23" s="8"/>
      <c r="M23" s="8"/>
    </row>
    <row r="24" spans="1:13" ht="15.75" customHeight="1">
      <c r="A24" s="38">
        <v>6</v>
      </c>
      <c r="B24" s="131" t="s">
        <v>116</v>
      </c>
      <c r="C24" s="132" t="s">
        <v>55</v>
      </c>
      <c r="D24" s="131" t="s">
        <v>30</v>
      </c>
      <c r="E24" s="133">
        <v>10.8</v>
      </c>
      <c r="F24" s="134">
        <f>E24*12/100</f>
        <v>1.2960000000000003</v>
      </c>
      <c r="G24" s="134">
        <v>389.72</v>
      </c>
      <c r="H24" s="135">
        <f t="shared" si="0"/>
        <v>0.50507712000000016</v>
      </c>
      <c r="I24" s="16">
        <f>F24/12*G24</f>
        <v>42.089760000000012</v>
      </c>
      <c r="J24" s="31"/>
      <c r="K24" s="8"/>
      <c r="L24" s="8"/>
      <c r="M24" s="8"/>
    </row>
    <row r="25" spans="1:13" ht="15.75" customHeight="1">
      <c r="A25" s="38">
        <v>7</v>
      </c>
      <c r="B25" s="131" t="s">
        <v>117</v>
      </c>
      <c r="C25" s="132" t="s">
        <v>55</v>
      </c>
      <c r="D25" s="131" t="s">
        <v>139</v>
      </c>
      <c r="E25" s="133">
        <v>21.6</v>
      </c>
      <c r="F25" s="134">
        <f>SUM(E25*12/100)</f>
        <v>2.5920000000000005</v>
      </c>
      <c r="G25" s="134">
        <v>520.79999999999995</v>
      </c>
      <c r="H25" s="135">
        <f t="shared" si="0"/>
        <v>1.3499136</v>
      </c>
      <c r="I25" s="16">
        <f>F25/12*G25</f>
        <v>112.49280000000002</v>
      </c>
      <c r="J25" s="31"/>
      <c r="K25" s="8"/>
      <c r="L25" s="8"/>
      <c r="M25" s="8"/>
    </row>
    <row r="26" spans="1:13" ht="15.75" customHeight="1">
      <c r="A26" s="38">
        <v>8</v>
      </c>
      <c r="B26" s="131" t="s">
        <v>69</v>
      </c>
      <c r="C26" s="132" t="s">
        <v>33</v>
      </c>
      <c r="D26" s="131" t="s">
        <v>140</v>
      </c>
      <c r="E26" s="133">
        <v>0.1</v>
      </c>
      <c r="F26" s="134">
        <f>SUM(E26*365)</f>
        <v>36.5</v>
      </c>
      <c r="G26" s="134">
        <v>147.03</v>
      </c>
      <c r="H26" s="135">
        <f>SUM(F26*G26/1000)</f>
        <v>5.3665950000000002</v>
      </c>
      <c r="I26" s="16">
        <f>F26/12*G26</f>
        <v>447.21625</v>
      </c>
      <c r="J26" s="32"/>
    </row>
    <row r="27" spans="1:13" ht="15.75" customHeight="1">
      <c r="A27" s="38">
        <v>9</v>
      </c>
      <c r="B27" s="139" t="s">
        <v>23</v>
      </c>
      <c r="C27" s="132" t="s">
        <v>24</v>
      </c>
      <c r="D27" s="139" t="s">
        <v>179</v>
      </c>
      <c r="E27" s="133">
        <v>6980.3</v>
      </c>
      <c r="F27" s="134">
        <f>SUM(E27*12)</f>
        <v>83763.600000000006</v>
      </c>
      <c r="G27" s="134">
        <v>4.4000000000000004</v>
      </c>
      <c r="H27" s="135">
        <f>SUM(F27*G27/1000)</f>
        <v>368.55984000000007</v>
      </c>
      <c r="I27" s="16">
        <f>F27/12*G27</f>
        <v>30713.320000000003</v>
      </c>
      <c r="J27" s="32"/>
    </row>
    <row r="28" spans="1:13" ht="15" customHeight="1">
      <c r="A28" s="173" t="s">
        <v>95</v>
      </c>
      <c r="B28" s="173"/>
      <c r="C28" s="173"/>
      <c r="D28" s="173"/>
      <c r="E28" s="173"/>
      <c r="F28" s="173"/>
      <c r="G28" s="173"/>
      <c r="H28" s="173"/>
      <c r="I28" s="173"/>
      <c r="J28" s="31"/>
      <c r="K28" s="8"/>
      <c r="L28" s="8"/>
      <c r="M28" s="8"/>
    </row>
    <row r="29" spans="1:13" ht="15.75" customHeight="1">
      <c r="A29" s="38"/>
      <c r="B29" s="155" t="s">
        <v>28</v>
      </c>
      <c r="C29" s="132"/>
      <c r="D29" s="131"/>
      <c r="E29" s="133"/>
      <c r="F29" s="134"/>
      <c r="G29" s="134"/>
      <c r="H29" s="135"/>
      <c r="I29" s="16"/>
      <c r="J29" s="31"/>
      <c r="K29" s="8"/>
      <c r="L29" s="8"/>
      <c r="M29" s="8"/>
    </row>
    <row r="30" spans="1:13" ht="31.5" customHeight="1">
      <c r="A30" s="38">
        <v>10</v>
      </c>
      <c r="B30" s="131" t="s">
        <v>121</v>
      </c>
      <c r="C30" s="132" t="s">
        <v>104</v>
      </c>
      <c r="D30" s="131" t="s">
        <v>118</v>
      </c>
      <c r="E30" s="134">
        <v>1168.05</v>
      </c>
      <c r="F30" s="134">
        <f>SUM(E30*52/1000)</f>
        <v>60.738599999999998</v>
      </c>
      <c r="G30" s="134">
        <v>155.88999999999999</v>
      </c>
      <c r="H30" s="135">
        <f t="shared" ref="H30:H36" si="1">SUM(F30*G30/1000)</f>
        <v>9.4685403539999982</v>
      </c>
      <c r="I30" s="16">
        <f>F30/6*G30</f>
        <v>1578.0900589999997</v>
      </c>
      <c r="J30" s="31"/>
      <c r="K30" s="8"/>
      <c r="L30" s="8"/>
      <c r="M30" s="8"/>
    </row>
    <row r="31" spans="1:13" ht="31.5" customHeight="1">
      <c r="A31" s="38">
        <v>11</v>
      </c>
      <c r="B31" s="131" t="s">
        <v>142</v>
      </c>
      <c r="C31" s="132" t="s">
        <v>104</v>
      </c>
      <c r="D31" s="131" t="s">
        <v>119</v>
      </c>
      <c r="E31" s="134">
        <v>1039.2</v>
      </c>
      <c r="F31" s="134">
        <f>SUM(E31*78/1000)</f>
        <v>81.057600000000008</v>
      </c>
      <c r="G31" s="134">
        <v>258.63</v>
      </c>
      <c r="H31" s="135">
        <f t="shared" si="1"/>
        <v>20.963927088000002</v>
      </c>
      <c r="I31" s="16">
        <f t="shared" ref="I31:I34" si="2">F31/6*G31</f>
        <v>3493.9878480000002</v>
      </c>
      <c r="J31" s="31"/>
      <c r="K31" s="8"/>
      <c r="L31" s="8"/>
      <c r="M31" s="8"/>
    </row>
    <row r="32" spans="1:13" ht="15.75" hidden="1" customHeight="1">
      <c r="A32" s="38">
        <v>16</v>
      </c>
      <c r="B32" s="131" t="s">
        <v>27</v>
      </c>
      <c r="C32" s="132" t="s">
        <v>104</v>
      </c>
      <c r="D32" s="131" t="s">
        <v>56</v>
      </c>
      <c r="E32" s="134">
        <v>584.03</v>
      </c>
      <c r="F32" s="134">
        <f>SUM(E32/1000)</f>
        <v>0.58402999999999994</v>
      </c>
      <c r="G32" s="134">
        <v>3020.33</v>
      </c>
      <c r="H32" s="135">
        <f t="shared" si="1"/>
        <v>1.7639633298999997</v>
      </c>
      <c r="I32" s="16">
        <f>F32*G32</f>
        <v>1763.9633298999997</v>
      </c>
      <c r="J32" s="31"/>
      <c r="K32" s="8"/>
      <c r="L32" s="8"/>
      <c r="M32" s="8"/>
    </row>
    <row r="33" spans="1:14" ht="15.75" customHeight="1">
      <c r="A33" s="38">
        <v>12</v>
      </c>
      <c r="B33" s="131" t="s">
        <v>141</v>
      </c>
      <c r="C33" s="132" t="s">
        <v>39</v>
      </c>
      <c r="D33" s="131" t="s">
        <v>68</v>
      </c>
      <c r="E33" s="134">
        <v>6</v>
      </c>
      <c r="F33" s="134">
        <f>E33*155/100</f>
        <v>9.3000000000000007</v>
      </c>
      <c r="G33" s="134">
        <v>1302.02</v>
      </c>
      <c r="H33" s="135">
        <f>G33*F33/1000</f>
        <v>12.108786</v>
      </c>
      <c r="I33" s="16">
        <f t="shared" si="2"/>
        <v>2018.1310000000001</v>
      </c>
      <c r="J33" s="31"/>
      <c r="K33" s="8"/>
      <c r="L33" s="8"/>
      <c r="M33" s="8"/>
    </row>
    <row r="34" spans="1:14" ht="15.75" customHeight="1">
      <c r="A34" s="38">
        <v>13</v>
      </c>
      <c r="B34" s="131" t="s">
        <v>120</v>
      </c>
      <c r="C34" s="132" t="s">
        <v>31</v>
      </c>
      <c r="D34" s="131" t="s">
        <v>68</v>
      </c>
      <c r="E34" s="138">
        <v>0.33333333333333331</v>
      </c>
      <c r="F34" s="134">
        <f>155/3</f>
        <v>51.666666666666664</v>
      </c>
      <c r="G34" s="134">
        <v>56.69</v>
      </c>
      <c r="H34" s="135">
        <f>SUM(G34*155/3/1000)</f>
        <v>2.9289833333333331</v>
      </c>
      <c r="I34" s="16">
        <f t="shared" si="2"/>
        <v>488.16388888888883</v>
      </c>
      <c r="J34" s="31"/>
      <c r="K34" s="8"/>
    </row>
    <row r="35" spans="1:14" ht="15.75" hidden="1" customHeight="1">
      <c r="A35" s="38"/>
      <c r="B35" s="131" t="s">
        <v>70</v>
      </c>
      <c r="C35" s="132" t="s">
        <v>33</v>
      </c>
      <c r="D35" s="131" t="s">
        <v>72</v>
      </c>
      <c r="E35" s="133"/>
      <c r="F35" s="134">
        <v>4</v>
      </c>
      <c r="G35" s="134">
        <v>180.15</v>
      </c>
      <c r="H35" s="135">
        <f t="shared" si="1"/>
        <v>0.72060000000000002</v>
      </c>
      <c r="I35" s="16">
        <v>0</v>
      </c>
      <c r="J35" s="32"/>
    </row>
    <row r="36" spans="1:14" ht="15.75" hidden="1" customHeight="1">
      <c r="A36" s="38"/>
      <c r="B36" s="131" t="s">
        <v>71</v>
      </c>
      <c r="C36" s="132" t="s">
        <v>32</v>
      </c>
      <c r="D36" s="131" t="s">
        <v>72</v>
      </c>
      <c r="E36" s="133"/>
      <c r="F36" s="134">
        <v>3</v>
      </c>
      <c r="G36" s="134">
        <v>1136.33</v>
      </c>
      <c r="H36" s="135">
        <f t="shared" si="1"/>
        <v>3.4089899999999997</v>
      </c>
      <c r="I36" s="16">
        <v>0</v>
      </c>
      <c r="J36" s="32"/>
    </row>
    <row r="37" spans="1:14" ht="15.75" hidden="1" customHeight="1">
      <c r="A37" s="38"/>
      <c r="B37" s="155" t="s">
        <v>5</v>
      </c>
      <c r="C37" s="132"/>
      <c r="D37" s="131"/>
      <c r="E37" s="133"/>
      <c r="F37" s="134"/>
      <c r="G37" s="134"/>
      <c r="H37" s="135" t="s">
        <v>179</v>
      </c>
      <c r="I37" s="16"/>
      <c r="J37" s="32"/>
    </row>
    <row r="38" spans="1:14" ht="15.75" hidden="1" customHeight="1">
      <c r="A38" s="38">
        <v>10</v>
      </c>
      <c r="B38" s="131" t="s">
        <v>26</v>
      </c>
      <c r="C38" s="132" t="s">
        <v>32</v>
      </c>
      <c r="D38" s="131"/>
      <c r="E38" s="133"/>
      <c r="F38" s="134">
        <v>10</v>
      </c>
      <c r="G38" s="134">
        <v>1527.22</v>
      </c>
      <c r="H38" s="135">
        <f t="shared" ref="H38:H45" si="3">SUM(F38*G38/1000)</f>
        <v>15.272200000000002</v>
      </c>
      <c r="I38" s="16">
        <f>F38/6*G38</f>
        <v>2545.3666666666668</v>
      </c>
      <c r="J38" s="32"/>
    </row>
    <row r="39" spans="1:14" ht="15.75" hidden="1" customHeight="1">
      <c r="A39" s="38">
        <v>11</v>
      </c>
      <c r="B39" s="131" t="s">
        <v>143</v>
      </c>
      <c r="C39" s="132" t="s">
        <v>33</v>
      </c>
      <c r="D39" s="131"/>
      <c r="E39" s="133"/>
      <c r="F39" s="134">
        <v>10</v>
      </c>
      <c r="G39" s="134">
        <v>77.94</v>
      </c>
      <c r="H39" s="135">
        <f>G39*F39/1000</f>
        <v>0.77939999999999998</v>
      </c>
      <c r="I39" s="16">
        <f>F39/6*G39</f>
        <v>129.9</v>
      </c>
      <c r="J39" s="32"/>
      <c r="L39" s="25"/>
      <c r="M39" s="26"/>
      <c r="N39" s="27"/>
    </row>
    <row r="40" spans="1:14" ht="15.75" hidden="1" customHeight="1">
      <c r="A40" s="38">
        <v>12</v>
      </c>
      <c r="B40" s="131" t="s">
        <v>122</v>
      </c>
      <c r="C40" s="132" t="s">
        <v>29</v>
      </c>
      <c r="D40" s="131" t="s">
        <v>144</v>
      </c>
      <c r="E40" s="133">
        <v>1039.2</v>
      </c>
      <c r="F40" s="134">
        <f>E40*25/1000</f>
        <v>25.98</v>
      </c>
      <c r="G40" s="134">
        <v>2102.71</v>
      </c>
      <c r="H40" s="135">
        <f>G40*F40/1000</f>
        <v>54.628405800000003</v>
      </c>
      <c r="I40" s="16">
        <f>F40/6*G40</f>
        <v>9104.7343000000001</v>
      </c>
      <c r="J40" s="32"/>
      <c r="L40" s="25"/>
      <c r="M40" s="26"/>
      <c r="N40" s="27"/>
    </row>
    <row r="41" spans="1:14" ht="15.75" hidden="1" customHeight="1">
      <c r="A41" s="38"/>
      <c r="B41" s="131" t="s">
        <v>145</v>
      </c>
      <c r="C41" s="132" t="s">
        <v>146</v>
      </c>
      <c r="D41" s="131" t="s">
        <v>72</v>
      </c>
      <c r="E41" s="133"/>
      <c r="F41" s="134">
        <v>50</v>
      </c>
      <c r="G41" s="134">
        <v>213.2</v>
      </c>
      <c r="H41" s="135">
        <f>G41*F41/1000</f>
        <v>10.66</v>
      </c>
      <c r="I41" s="16">
        <v>0</v>
      </c>
      <c r="J41" s="32"/>
      <c r="L41" s="25"/>
      <c r="M41" s="26"/>
      <c r="N41" s="27"/>
    </row>
    <row r="42" spans="1:14" ht="15.75" hidden="1" customHeight="1">
      <c r="A42" s="38">
        <v>13</v>
      </c>
      <c r="B42" s="131" t="s">
        <v>73</v>
      </c>
      <c r="C42" s="132" t="s">
        <v>29</v>
      </c>
      <c r="D42" s="131" t="s">
        <v>103</v>
      </c>
      <c r="E42" s="134">
        <v>153</v>
      </c>
      <c r="F42" s="134">
        <f>SUM(E42*155/1000)</f>
        <v>23.715</v>
      </c>
      <c r="G42" s="134">
        <v>350.75</v>
      </c>
      <c r="H42" s="135">
        <f t="shared" si="3"/>
        <v>8.3180362499999987</v>
      </c>
      <c r="I42" s="16">
        <f>F42/6*G42</f>
        <v>1386.339375</v>
      </c>
      <c r="J42" s="32"/>
      <c r="L42" s="25"/>
      <c r="M42" s="26"/>
      <c r="N42" s="27"/>
    </row>
    <row r="43" spans="1:14" ht="47.25" hidden="1" customHeight="1">
      <c r="A43" s="38">
        <v>14</v>
      </c>
      <c r="B43" s="131" t="s">
        <v>91</v>
      </c>
      <c r="C43" s="132" t="s">
        <v>104</v>
      </c>
      <c r="D43" s="131" t="s">
        <v>147</v>
      </c>
      <c r="E43" s="134">
        <v>24</v>
      </c>
      <c r="F43" s="134">
        <f>SUM(E43*50/1000)</f>
        <v>1.2</v>
      </c>
      <c r="G43" s="134">
        <v>5803.28</v>
      </c>
      <c r="H43" s="135">
        <f t="shared" si="3"/>
        <v>6.9639359999999995</v>
      </c>
      <c r="I43" s="16">
        <f>F43/6*G43</f>
        <v>1160.6559999999999</v>
      </c>
      <c r="J43" s="32"/>
      <c r="L43" s="25"/>
      <c r="M43" s="26"/>
      <c r="N43" s="27"/>
    </row>
    <row r="44" spans="1:14" ht="15.75" hidden="1" customHeight="1">
      <c r="A44" s="38">
        <v>15</v>
      </c>
      <c r="B44" s="131" t="s">
        <v>105</v>
      </c>
      <c r="C44" s="132" t="s">
        <v>104</v>
      </c>
      <c r="D44" s="131" t="s">
        <v>74</v>
      </c>
      <c r="E44" s="134">
        <v>153</v>
      </c>
      <c r="F44" s="134">
        <f>SUM(E44*45/1000)</f>
        <v>6.8849999999999998</v>
      </c>
      <c r="G44" s="134">
        <v>428.7</v>
      </c>
      <c r="H44" s="135">
        <f t="shared" si="3"/>
        <v>2.9515994999999999</v>
      </c>
      <c r="I44" s="16">
        <f>F44/6*G44</f>
        <v>491.93324999999999</v>
      </c>
      <c r="J44" s="32"/>
      <c r="L44" s="25"/>
      <c r="M44" s="26"/>
      <c r="N44" s="27"/>
    </row>
    <row r="45" spans="1:14" ht="15.75" hidden="1" customHeight="1">
      <c r="A45" s="38">
        <v>16</v>
      </c>
      <c r="B45" s="131" t="s">
        <v>75</v>
      </c>
      <c r="C45" s="132" t="s">
        <v>33</v>
      </c>
      <c r="D45" s="131"/>
      <c r="E45" s="133"/>
      <c r="F45" s="134">
        <v>0.9</v>
      </c>
      <c r="G45" s="134">
        <v>798</v>
      </c>
      <c r="H45" s="135">
        <f t="shared" si="3"/>
        <v>0.71820000000000006</v>
      </c>
      <c r="I45" s="16">
        <f>F45/6*G45</f>
        <v>119.69999999999999</v>
      </c>
      <c r="J45" s="32"/>
      <c r="L45" s="25"/>
      <c r="M45" s="26"/>
      <c r="N45" s="27"/>
    </row>
    <row r="46" spans="1:14" ht="15" hidden="1" customHeight="1">
      <c r="A46" s="174" t="s">
        <v>175</v>
      </c>
      <c r="B46" s="175"/>
      <c r="C46" s="175"/>
      <c r="D46" s="175"/>
      <c r="E46" s="175"/>
      <c r="F46" s="175"/>
      <c r="G46" s="175"/>
      <c r="H46" s="175"/>
      <c r="I46" s="176"/>
      <c r="J46" s="32"/>
      <c r="L46" s="25"/>
      <c r="M46" s="26"/>
      <c r="N46" s="27"/>
    </row>
    <row r="47" spans="1:14" ht="15.75" hidden="1" customHeight="1">
      <c r="A47" s="38"/>
      <c r="B47" s="131" t="s">
        <v>148</v>
      </c>
      <c r="C47" s="132" t="s">
        <v>104</v>
      </c>
      <c r="D47" s="131" t="s">
        <v>42</v>
      </c>
      <c r="E47" s="133">
        <v>1895</v>
      </c>
      <c r="F47" s="134">
        <f>SUM(E47*2/1000)</f>
        <v>3.79</v>
      </c>
      <c r="G47" s="16">
        <v>849.49</v>
      </c>
      <c r="H47" s="135">
        <f t="shared" ref="H47:H55" si="4">SUM(F47*G47/1000)</f>
        <v>3.2195671000000003</v>
      </c>
      <c r="I47" s="16">
        <v>0</v>
      </c>
      <c r="J47" s="32"/>
      <c r="L47" s="25"/>
      <c r="M47" s="26"/>
      <c r="N47" s="27"/>
    </row>
    <row r="48" spans="1:14" ht="15.75" hidden="1" customHeight="1">
      <c r="A48" s="38"/>
      <c r="B48" s="131" t="s">
        <v>34</v>
      </c>
      <c r="C48" s="132" t="s">
        <v>104</v>
      </c>
      <c r="D48" s="131" t="s">
        <v>42</v>
      </c>
      <c r="E48" s="133">
        <v>118.2</v>
      </c>
      <c r="F48" s="134">
        <f>E48*2/1000</f>
        <v>0.2364</v>
      </c>
      <c r="G48" s="16">
        <v>579.48</v>
      </c>
      <c r="H48" s="135">
        <f t="shared" si="4"/>
        <v>0.13698907199999999</v>
      </c>
      <c r="I48" s="16">
        <v>0</v>
      </c>
      <c r="J48" s="32"/>
      <c r="L48" s="25"/>
      <c r="M48" s="26"/>
      <c r="N48" s="27"/>
    </row>
    <row r="49" spans="1:22" ht="15.75" hidden="1" customHeight="1">
      <c r="A49" s="38"/>
      <c r="B49" s="131" t="s">
        <v>35</v>
      </c>
      <c r="C49" s="132" t="s">
        <v>104</v>
      </c>
      <c r="D49" s="131" t="s">
        <v>42</v>
      </c>
      <c r="E49" s="133">
        <v>4675</v>
      </c>
      <c r="F49" s="134">
        <f>SUM(E49*2/1000)</f>
        <v>9.35</v>
      </c>
      <c r="G49" s="16">
        <v>579.48</v>
      </c>
      <c r="H49" s="135">
        <f t="shared" si="4"/>
        <v>5.4181379999999999</v>
      </c>
      <c r="I49" s="16">
        <v>0</v>
      </c>
      <c r="J49" s="32"/>
      <c r="L49" s="25"/>
      <c r="M49" s="26"/>
      <c r="N49" s="27"/>
    </row>
    <row r="50" spans="1:22" ht="15.75" hidden="1" customHeight="1">
      <c r="A50" s="38"/>
      <c r="B50" s="131" t="s">
        <v>36</v>
      </c>
      <c r="C50" s="132" t="s">
        <v>104</v>
      </c>
      <c r="D50" s="131" t="s">
        <v>42</v>
      </c>
      <c r="E50" s="133">
        <v>4675</v>
      </c>
      <c r="F50" s="134">
        <f>SUM(E50*2/1000)</f>
        <v>9.35</v>
      </c>
      <c r="G50" s="16">
        <v>606.77</v>
      </c>
      <c r="H50" s="135">
        <f t="shared" si="4"/>
        <v>5.6732994999999988</v>
      </c>
      <c r="I50" s="16">
        <v>0</v>
      </c>
      <c r="J50" s="32"/>
      <c r="L50" s="25"/>
      <c r="M50" s="26"/>
      <c r="N50" s="27"/>
    </row>
    <row r="51" spans="1:22" ht="15.75" hidden="1" customHeight="1">
      <c r="A51" s="38">
        <v>17</v>
      </c>
      <c r="B51" s="131" t="s">
        <v>60</v>
      </c>
      <c r="C51" s="132" t="s">
        <v>104</v>
      </c>
      <c r="D51" s="131" t="s">
        <v>241</v>
      </c>
      <c r="E51" s="133">
        <v>3988</v>
      </c>
      <c r="F51" s="134">
        <f>SUM(E51*5/1000)</f>
        <v>19.940000000000001</v>
      </c>
      <c r="G51" s="16">
        <v>1142.7</v>
      </c>
      <c r="H51" s="135">
        <f t="shared" si="4"/>
        <v>22.785438000000003</v>
      </c>
      <c r="I51" s="16">
        <f>F51/5*G51</f>
        <v>4557.0876000000007</v>
      </c>
      <c r="J51" s="32"/>
      <c r="L51" s="25"/>
      <c r="M51" s="26"/>
      <c r="N51" s="27"/>
    </row>
    <row r="52" spans="1:22" ht="31.5" hidden="1" customHeight="1">
      <c r="A52" s="38"/>
      <c r="B52" s="131" t="s">
        <v>106</v>
      </c>
      <c r="C52" s="132" t="s">
        <v>104</v>
      </c>
      <c r="D52" s="131" t="s">
        <v>42</v>
      </c>
      <c r="E52" s="133">
        <v>3988</v>
      </c>
      <c r="F52" s="134">
        <f>SUM(E52*2/1000)</f>
        <v>7.976</v>
      </c>
      <c r="G52" s="16">
        <v>1213.55</v>
      </c>
      <c r="H52" s="135">
        <f t="shared" si="4"/>
        <v>9.6792748</v>
      </c>
      <c r="I52" s="16">
        <v>0</v>
      </c>
      <c r="J52" s="32"/>
      <c r="L52" s="25"/>
      <c r="M52" s="26"/>
      <c r="N52" s="27"/>
    </row>
    <row r="53" spans="1:22" ht="31.5" hidden="1" customHeight="1">
      <c r="A53" s="38"/>
      <c r="B53" s="131" t="s">
        <v>107</v>
      </c>
      <c r="C53" s="132" t="s">
        <v>37</v>
      </c>
      <c r="D53" s="131" t="s">
        <v>42</v>
      </c>
      <c r="E53" s="133">
        <v>30</v>
      </c>
      <c r="F53" s="134">
        <f>SUM(E53*2/100)</f>
        <v>0.6</v>
      </c>
      <c r="G53" s="16">
        <v>2730.49</v>
      </c>
      <c r="H53" s="135">
        <f>SUM(F53*G53/1000)</f>
        <v>1.6382939999999999</v>
      </c>
      <c r="I53" s="16">
        <v>0</v>
      </c>
      <c r="J53" s="32"/>
      <c r="L53" s="25"/>
      <c r="M53" s="26"/>
      <c r="N53" s="27"/>
    </row>
    <row r="54" spans="1:22" ht="15.75" hidden="1" customHeight="1">
      <c r="A54" s="38"/>
      <c r="B54" s="131" t="s">
        <v>38</v>
      </c>
      <c r="C54" s="132" t="s">
        <v>39</v>
      </c>
      <c r="D54" s="131" t="s">
        <v>42</v>
      </c>
      <c r="E54" s="133">
        <v>1</v>
      </c>
      <c r="F54" s="134">
        <v>0.02</v>
      </c>
      <c r="G54" s="16">
        <v>5652.13</v>
      </c>
      <c r="H54" s="135">
        <f t="shared" si="4"/>
        <v>0.11304260000000001</v>
      </c>
      <c r="I54" s="16">
        <v>0</v>
      </c>
      <c r="J54" s="32"/>
      <c r="L54" s="25"/>
      <c r="M54" s="26"/>
      <c r="N54" s="27"/>
    </row>
    <row r="55" spans="1:22" ht="15.75" hidden="1" customHeight="1">
      <c r="A55" s="38">
        <v>18</v>
      </c>
      <c r="B55" s="131" t="s">
        <v>41</v>
      </c>
      <c r="C55" s="132" t="s">
        <v>124</v>
      </c>
      <c r="D55" s="131" t="s">
        <v>76</v>
      </c>
      <c r="E55" s="133">
        <v>236</v>
      </c>
      <c r="F55" s="134">
        <f>SUM(E55)*3</f>
        <v>708</v>
      </c>
      <c r="G55" s="16">
        <v>65.67</v>
      </c>
      <c r="H55" s="135">
        <f t="shared" si="4"/>
        <v>46.49436</v>
      </c>
      <c r="I55" s="16">
        <f>E55*G55</f>
        <v>15498.12</v>
      </c>
      <c r="J55" s="32"/>
      <c r="L55" s="25"/>
      <c r="M55" s="26"/>
      <c r="N55" s="27"/>
    </row>
    <row r="56" spans="1:22" ht="15.75" customHeight="1">
      <c r="A56" s="174" t="s">
        <v>172</v>
      </c>
      <c r="B56" s="175"/>
      <c r="C56" s="175"/>
      <c r="D56" s="175"/>
      <c r="E56" s="175"/>
      <c r="F56" s="175"/>
      <c r="G56" s="175"/>
      <c r="H56" s="175"/>
      <c r="I56" s="176"/>
      <c r="J56" s="32"/>
      <c r="L56" s="25"/>
      <c r="M56" s="26"/>
      <c r="N56" s="27"/>
    </row>
    <row r="57" spans="1:22" ht="15.75" hidden="1" customHeight="1">
      <c r="A57" s="38"/>
      <c r="B57" s="155" t="s">
        <v>45</v>
      </c>
      <c r="C57" s="132"/>
      <c r="D57" s="131"/>
      <c r="E57" s="133"/>
      <c r="F57" s="134"/>
      <c r="G57" s="134"/>
      <c r="H57" s="135"/>
      <c r="I57" s="16"/>
      <c r="J57" s="32"/>
      <c r="L57" s="25"/>
      <c r="M57" s="26"/>
      <c r="N57" s="27"/>
    </row>
    <row r="58" spans="1:22" ht="31.5" hidden="1" customHeight="1">
      <c r="A58" s="38">
        <v>19</v>
      </c>
      <c r="B58" s="131" t="s">
        <v>149</v>
      </c>
      <c r="C58" s="132" t="s">
        <v>100</v>
      </c>
      <c r="D58" s="131" t="s">
        <v>125</v>
      </c>
      <c r="E58" s="133">
        <v>30</v>
      </c>
      <c r="F58" s="134">
        <f>SUM(E58*6/100)</f>
        <v>1.8</v>
      </c>
      <c r="G58" s="16">
        <v>1547.28</v>
      </c>
      <c r="H58" s="135">
        <f>SUM(F58*G58/1000)</f>
        <v>2.785104</v>
      </c>
      <c r="I58" s="16">
        <f>F58/6*G58</f>
        <v>464.18399999999997</v>
      </c>
      <c r="J58" s="32"/>
      <c r="L58" s="25"/>
    </row>
    <row r="59" spans="1:22" ht="15.75" hidden="1" customHeight="1">
      <c r="A59" s="38">
        <v>20</v>
      </c>
      <c r="B59" s="140" t="s">
        <v>150</v>
      </c>
      <c r="C59" s="141" t="s">
        <v>151</v>
      </c>
      <c r="D59" s="140" t="s">
        <v>42</v>
      </c>
      <c r="E59" s="142">
        <v>6</v>
      </c>
      <c r="F59" s="143">
        <v>12</v>
      </c>
      <c r="G59" s="16">
        <v>180.78</v>
      </c>
      <c r="H59" s="144">
        <f>G59*F59/1000</f>
        <v>2.1693600000000002</v>
      </c>
      <c r="I59" s="16">
        <f>F59/2*G59</f>
        <v>1084.68</v>
      </c>
    </row>
    <row r="60" spans="1:22" ht="15.75" hidden="1" customHeight="1">
      <c r="A60" s="38">
        <v>21</v>
      </c>
      <c r="B60" s="140" t="s">
        <v>152</v>
      </c>
      <c r="C60" s="141" t="s">
        <v>55</v>
      </c>
      <c r="D60" s="140" t="s">
        <v>40</v>
      </c>
      <c r="E60" s="142">
        <v>6</v>
      </c>
      <c r="F60" s="143">
        <f>E60*4/100</f>
        <v>0.24</v>
      </c>
      <c r="G60" s="16">
        <v>1547.28</v>
      </c>
      <c r="H60" s="144">
        <f>G60*F60/1000</f>
        <v>0.37134719999999999</v>
      </c>
      <c r="I60" s="16">
        <f>F60/4*G60</f>
        <v>92.836799999999997</v>
      </c>
    </row>
    <row r="61" spans="1:22" ht="15.75" customHeight="1">
      <c r="A61" s="38"/>
      <c r="B61" s="156" t="s">
        <v>46</v>
      </c>
      <c r="C61" s="141"/>
      <c r="D61" s="140"/>
      <c r="E61" s="142"/>
      <c r="F61" s="143"/>
      <c r="G61" s="16"/>
      <c r="H61" s="144"/>
      <c r="I61" s="16"/>
    </row>
    <row r="62" spans="1:22" ht="15.75" hidden="1" customHeight="1">
      <c r="A62" s="38">
        <v>22</v>
      </c>
      <c r="B62" s="140" t="s">
        <v>153</v>
      </c>
      <c r="C62" s="141" t="s">
        <v>55</v>
      </c>
      <c r="D62" s="140" t="s">
        <v>56</v>
      </c>
      <c r="E62" s="142">
        <v>997</v>
      </c>
      <c r="F62" s="143">
        <v>9.9700000000000006</v>
      </c>
      <c r="G62" s="16">
        <v>793.61</v>
      </c>
      <c r="H62" s="144">
        <f>F62*G62/1000</f>
        <v>7.9122917000000008</v>
      </c>
      <c r="I62" s="16">
        <f>G62*F62</f>
        <v>7912.2917000000007</v>
      </c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9"/>
    </row>
    <row r="63" spans="1:22" ht="15.75" customHeight="1">
      <c r="A63" s="38">
        <v>14</v>
      </c>
      <c r="B63" s="140" t="s">
        <v>154</v>
      </c>
      <c r="C63" s="141" t="s">
        <v>25</v>
      </c>
      <c r="D63" s="140" t="s">
        <v>30</v>
      </c>
      <c r="E63" s="142">
        <v>394</v>
      </c>
      <c r="F63" s="145">
        <f>E63*12</f>
        <v>4728</v>
      </c>
      <c r="G63" s="126">
        <v>2.6</v>
      </c>
      <c r="H63" s="143">
        <f>F63*G63/1000</f>
        <v>12.292800000000002</v>
      </c>
      <c r="I63" s="16">
        <f>F63/12*G63</f>
        <v>1024.4000000000001</v>
      </c>
      <c r="J63" s="34"/>
      <c r="K63" s="34"/>
      <c r="L63" s="3"/>
      <c r="M63" s="3"/>
      <c r="N63" s="3"/>
      <c r="O63" s="3"/>
      <c r="P63" s="3"/>
      <c r="Q63" s="3"/>
      <c r="R63" s="3"/>
      <c r="S63" s="3"/>
      <c r="T63" s="3"/>
      <c r="U63" s="3"/>
    </row>
    <row r="64" spans="1:22" ht="15.75" customHeight="1">
      <c r="A64" s="38"/>
      <c r="B64" s="156" t="s">
        <v>47</v>
      </c>
      <c r="C64" s="141"/>
      <c r="D64" s="140"/>
      <c r="E64" s="142"/>
      <c r="F64" s="145"/>
      <c r="G64" s="145"/>
      <c r="H64" s="143" t="s">
        <v>179</v>
      </c>
      <c r="I64" s="16"/>
      <c r="J64" s="3"/>
      <c r="K64" s="3"/>
      <c r="L64" s="3"/>
      <c r="M64" s="3"/>
      <c r="N64" s="3"/>
      <c r="O64" s="3"/>
      <c r="P64" s="3"/>
      <c r="Q64" s="3"/>
      <c r="S64" s="3"/>
      <c r="T64" s="3"/>
      <c r="U64" s="3"/>
    </row>
    <row r="65" spans="1:21" ht="15.75" customHeight="1">
      <c r="A65" s="38">
        <v>15</v>
      </c>
      <c r="B65" s="18" t="s">
        <v>48</v>
      </c>
      <c r="C65" s="20" t="s">
        <v>124</v>
      </c>
      <c r="D65" s="131" t="s">
        <v>72</v>
      </c>
      <c r="E65" s="23">
        <v>15</v>
      </c>
      <c r="F65" s="134">
        <v>15</v>
      </c>
      <c r="G65" s="16">
        <v>222.4</v>
      </c>
      <c r="H65" s="146">
        <f t="shared" ref="H65:H78" si="5">SUM(F65*G65/1000)</f>
        <v>3.3359999999999999</v>
      </c>
      <c r="I65" s="16">
        <f>G65*7</f>
        <v>1556.8</v>
      </c>
      <c r="J65" s="5"/>
      <c r="K65" s="5"/>
      <c r="L65" s="5"/>
      <c r="M65" s="5"/>
      <c r="N65" s="5"/>
      <c r="O65" s="5"/>
      <c r="P65" s="5"/>
      <c r="Q65" s="5"/>
      <c r="R65" s="166"/>
      <c r="S65" s="166"/>
      <c r="T65" s="166"/>
      <c r="U65" s="166"/>
    </row>
    <row r="66" spans="1:21" ht="15.75" hidden="1" customHeight="1">
      <c r="A66" s="38">
        <v>25</v>
      </c>
      <c r="B66" s="18" t="s">
        <v>49</v>
      </c>
      <c r="C66" s="20" t="s">
        <v>124</v>
      </c>
      <c r="D66" s="131" t="s">
        <v>72</v>
      </c>
      <c r="E66" s="23">
        <v>10</v>
      </c>
      <c r="F66" s="134">
        <v>10</v>
      </c>
      <c r="G66" s="16">
        <v>76.25</v>
      </c>
      <c r="H66" s="146">
        <f t="shared" si="5"/>
        <v>0.76249999999999996</v>
      </c>
      <c r="I66" s="16">
        <f>G66</f>
        <v>76.25</v>
      </c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</row>
    <row r="67" spans="1:21" ht="15.75" hidden="1" customHeight="1">
      <c r="A67" s="38"/>
      <c r="B67" s="18" t="s">
        <v>50</v>
      </c>
      <c r="C67" s="20" t="s">
        <v>126</v>
      </c>
      <c r="D67" s="18" t="s">
        <v>56</v>
      </c>
      <c r="E67" s="133">
        <v>28608</v>
      </c>
      <c r="F67" s="16">
        <f>SUM(E67/100)</f>
        <v>286.08</v>
      </c>
      <c r="G67" s="16">
        <v>199.77</v>
      </c>
      <c r="H67" s="146">
        <f t="shared" si="5"/>
        <v>57.150201600000003</v>
      </c>
      <c r="I67" s="16">
        <f>F67*G67</f>
        <v>57150.2016</v>
      </c>
    </row>
    <row r="68" spans="1:21" ht="15.75" hidden="1" customHeight="1">
      <c r="A68" s="38"/>
      <c r="B68" s="18" t="s">
        <v>51</v>
      </c>
      <c r="C68" s="20" t="s">
        <v>127</v>
      </c>
      <c r="D68" s="18"/>
      <c r="E68" s="133">
        <v>28608</v>
      </c>
      <c r="F68" s="16">
        <f>SUM(E68/1000)</f>
        <v>28.608000000000001</v>
      </c>
      <c r="G68" s="16">
        <v>155.57</v>
      </c>
      <c r="H68" s="146">
        <f t="shared" si="5"/>
        <v>4.4505465599999994</v>
      </c>
      <c r="I68" s="16">
        <f t="shared" ref="I68:I72" si="6">F68*G68</f>
        <v>4450.5465599999998</v>
      </c>
    </row>
    <row r="69" spans="1:21" ht="15.75" hidden="1" customHeight="1">
      <c r="A69" s="38"/>
      <c r="B69" s="18" t="s">
        <v>52</v>
      </c>
      <c r="C69" s="20" t="s">
        <v>83</v>
      </c>
      <c r="D69" s="18" t="s">
        <v>56</v>
      </c>
      <c r="E69" s="133">
        <v>4550</v>
      </c>
      <c r="F69" s="16">
        <f>SUM(E69/100)</f>
        <v>45.5</v>
      </c>
      <c r="G69" s="16">
        <v>2074.63</v>
      </c>
      <c r="H69" s="146">
        <f t="shared" si="5"/>
        <v>94.395665000000008</v>
      </c>
      <c r="I69" s="16">
        <f t="shared" si="6"/>
        <v>94395.665000000008</v>
      </c>
    </row>
    <row r="70" spans="1:21" ht="15.75" hidden="1" customHeight="1">
      <c r="A70" s="38"/>
      <c r="B70" s="147" t="s">
        <v>128</v>
      </c>
      <c r="C70" s="20" t="s">
        <v>33</v>
      </c>
      <c r="D70" s="18"/>
      <c r="E70" s="133">
        <v>58.5</v>
      </c>
      <c r="F70" s="16">
        <f>SUM(E70)</f>
        <v>58.5</v>
      </c>
      <c r="G70" s="16">
        <v>45.32</v>
      </c>
      <c r="H70" s="146">
        <f t="shared" si="5"/>
        <v>2.6512199999999999</v>
      </c>
      <c r="I70" s="16">
        <f t="shared" si="6"/>
        <v>2651.22</v>
      </c>
    </row>
    <row r="71" spans="1:21" ht="15.75" hidden="1" customHeight="1">
      <c r="A71" s="38"/>
      <c r="B71" s="147" t="s">
        <v>129</v>
      </c>
      <c r="C71" s="20" t="s">
        <v>33</v>
      </c>
      <c r="D71" s="18"/>
      <c r="E71" s="133">
        <v>58.5</v>
      </c>
      <c r="F71" s="16">
        <f>SUM(E71)</f>
        <v>58.5</v>
      </c>
      <c r="G71" s="16">
        <v>42.28</v>
      </c>
      <c r="H71" s="146">
        <f t="shared" si="5"/>
        <v>2.4733800000000001</v>
      </c>
      <c r="I71" s="16">
        <f t="shared" si="6"/>
        <v>2473.38</v>
      </c>
    </row>
    <row r="72" spans="1:21" ht="15.75" hidden="1" customHeight="1">
      <c r="A72" s="38"/>
      <c r="B72" s="18" t="s">
        <v>61</v>
      </c>
      <c r="C72" s="20" t="s">
        <v>62</v>
      </c>
      <c r="D72" s="18" t="s">
        <v>56</v>
      </c>
      <c r="E72" s="23">
        <v>5</v>
      </c>
      <c r="F72" s="134">
        <v>5</v>
      </c>
      <c r="G72" s="16">
        <v>49.88</v>
      </c>
      <c r="H72" s="146">
        <f t="shared" si="5"/>
        <v>0.24940000000000001</v>
      </c>
      <c r="I72" s="16">
        <f t="shared" si="6"/>
        <v>249.4</v>
      </c>
    </row>
    <row r="73" spans="1:21" ht="15.75" customHeight="1">
      <c r="A73" s="38"/>
      <c r="B73" s="115" t="s">
        <v>77</v>
      </c>
      <c r="C73" s="20"/>
      <c r="D73" s="18"/>
      <c r="E73" s="23"/>
      <c r="F73" s="16"/>
      <c r="G73" s="16"/>
      <c r="H73" s="146" t="s">
        <v>179</v>
      </c>
      <c r="I73" s="16"/>
    </row>
    <row r="74" spans="1:21" ht="15.75" customHeight="1">
      <c r="A74" s="38">
        <v>16</v>
      </c>
      <c r="B74" s="18" t="s">
        <v>78</v>
      </c>
      <c r="C74" s="20" t="s">
        <v>80</v>
      </c>
      <c r="D74" s="18"/>
      <c r="E74" s="23">
        <v>10</v>
      </c>
      <c r="F74" s="16">
        <v>1</v>
      </c>
      <c r="G74" s="16">
        <v>501.62</v>
      </c>
      <c r="H74" s="146">
        <f t="shared" si="5"/>
        <v>0.50161999999999995</v>
      </c>
      <c r="I74" s="16">
        <f>G74*0.2</f>
        <v>100.32400000000001</v>
      </c>
    </row>
    <row r="75" spans="1:21" ht="15.75" hidden="1" customHeight="1">
      <c r="A75" s="38"/>
      <c r="B75" s="18" t="s">
        <v>79</v>
      </c>
      <c r="C75" s="20" t="s">
        <v>31</v>
      </c>
      <c r="D75" s="18"/>
      <c r="E75" s="23">
        <v>3</v>
      </c>
      <c r="F75" s="126">
        <v>3</v>
      </c>
      <c r="G75" s="16">
        <v>852.99</v>
      </c>
      <c r="H75" s="146">
        <f>F75*G75/1000</f>
        <v>2.5589700000000004</v>
      </c>
      <c r="I75" s="16">
        <v>0</v>
      </c>
    </row>
    <row r="76" spans="1:21" ht="15.75" hidden="1" customHeight="1">
      <c r="A76" s="38"/>
      <c r="B76" s="18" t="s">
        <v>131</v>
      </c>
      <c r="C76" s="20" t="s">
        <v>31</v>
      </c>
      <c r="D76" s="18"/>
      <c r="E76" s="23">
        <v>1</v>
      </c>
      <c r="F76" s="16">
        <v>1</v>
      </c>
      <c r="G76" s="16">
        <v>358.51</v>
      </c>
      <c r="H76" s="146">
        <f>G76*F76/1000</f>
        <v>0.35851</v>
      </c>
      <c r="I76" s="16">
        <v>0</v>
      </c>
    </row>
    <row r="77" spans="1:21" ht="15.75" hidden="1" customHeight="1">
      <c r="A77" s="38"/>
      <c r="B77" s="149" t="s">
        <v>81</v>
      </c>
      <c r="C77" s="20"/>
      <c r="D77" s="18"/>
      <c r="E77" s="23"/>
      <c r="F77" s="16"/>
      <c r="G77" s="16" t="s">
        <v>179</v>
      </c>
      <c r="H77" s="146" t="s">
        <v>179</v>
      </c>
      <c r="I77" s="16"/>
    </row>
    <row r="78" spans="1:21" ht="15.75" hidden="1" customHeight="1">
      <c r="A78" s="38"/>
      <c r="B78" s="68" t="s">
        <v>242</v>
      </c>
      <c r="C78" s="20" t="s">
        <v>83</v>
      </c>
      <c r="D78" s="18"/>
      <c r="E78" s="23"/>
      <c r="F78" s="16">
        <v>1.2</v>
      </c>
      <c r="G78" s="16">
        <v>2759.44</v>
      </c>
      <c r="H78" s="146">
        <f t="shared" si="5"/>
        <v>3.311328</v>
      </c>
      <c r="I78" s="16">
        <v>0</v>
      </c>
    </row>
    <row r="79" spans="1:21" ht="15.75" hidden="1" customHeight="1">
      <c r="A79" s="38"/>
      <c r="B79" s="125" t="s">
        <v>108</v>
      </c>
      <c r="C79" s="125"/>
      <c r="D79" s="125"/>
      <c r="E79" s="125"/>
      <c r="F79" s="125"/>
      <c r="G79" s="137"/>
      <c r="H79" s="150">
        <f>SUM(H58:H78)</f>
        <v>197.73024405999999</v>
      </c>
      <c r="I79" s="137"/>
    </row>
    <row r="80" spans="1:21" ht="15.75" hidden="1" customHeight="1">
      <c r="A80" s="38"/>
      <c r="B80" s="157" t="s">
        <v>130</v>
      </c>
      <c r="C80" s="29"/>
      <c r="D80" s="28"/>
      <c r="E80" s="127"/>
      <c r="F80" s="158">
        <v>1</v>
      </c>
      <c r="G80" s="16">
        <v>23072.1</v>
      </c>
      <c r="H80" s="146">
        <f>G80*F80/1000</f>
        <v>23.072099999999999</v>
      </c>
      <c r="I80" s="16">
        <v>0</v>
      </c>
    </row>
    <row r="81" spans="1:9" ht="15.75" customHeight="1">
      <c r="A81" s="167" t="s">
        <v>171</v>
      </c>
      <c r="B81" s="168"/>
      <c r="C81" s="168"/>
      <c r="D81" s="168"/>
      <c r="E81" s="168"/>
      <c r="F81" s="168"/>
      <c r="G81" s="168"/>
      <c r="H81" s="168"/>
      <c r="I81" s="169"/>
    </row>
    <row r="82" spans="1:9" ht="15.75" customHeight="1">
      <c r="A82" s="38">
        <v>17</v>
      </c>
      <c r="B82" s="131" t="s">
        <v>132</v>
      </c>
      <c r="C82" s="20" t="s">
        <v>58</v>
      </c>
      <c r="D82" s="92" t="s">
        <v>59</v>
      </c>
      <c r="E82" s="16">
        <v>6980.3</v>
      </c>
      <c r="F82" s="16">
        <f>SUM(E82*12)</f>
        <v>83763.600000000006</v>
      </c>
      <c r="G82" s="16">
        <v>2.1</v>
      </c>
      <c r="H82" s="146">
        <f>SUM(F82*G82/1000)</f>
        <v>175.90356000000003</v>
      </c>
      <c r="I82" s="16">
        <f>F82/12*G82</f>
        <v>14658.630000000001</v>
      </c>
    </row>
    <row r="83" spans="1:9" ht="31.5" customHeight="1">
      <c r="A83" s="38">
        <v>18</v>
      </c>
      <c r="B83" s="18" t="s">
        <v>84</v>
      </c>
      <c r="C83" s="20"/>
      <c r="D83" s="92" t="s">
        <v>59</v>
      </c>
      <c r="E83" s="133">
        <f>E82</f>
        <v>6980.3</v>
      </c>
      <c r="F83" s="16">
        <f>E83*12</f>
        <v>83763.600000000006</v>
      </c>
      <c r="G83" s="16">
        <v>1.63</v>
      </c>
      <c r="H83" s="146">
        <f>F83*G83/1000</f>
        <v>136.53466800000001</v>
      </c>
      <c r="I83" s="16">
        <f>F83/12*G83</f>
        <v>11377.888999999999</v>
      </c>
    </row>
    <row r="84" spans="1:9" ht="15.75" customHeight="1">
      <c r="A84" s="38"/>
      <c r="B84" s="55" t="s">
        <v>88</v>
      </c>
      <c r="C84" s="149"/>
      <c r="D84" s="148"/>
      <c r="E84" s="137"/>
      <c r="F84" s="137"/>
      <c r="G84" s="137"/>
      <c r="H84" s="150">
        <f>H83</f>
        <v>136.53466800000001</v>
      </c>
      <c r="I84" s="137">
        <f>I16+I17+I18+I20+I21+I24+I25+I26+I27+I30+I31+I33+I34+I63+I65+I74+I82+I83</f>
        <v>95592.613781888867</v>
      </c>
    </row>
    <row r="85" spans="1:9" ht="15.75" customHeight="1">
      <c r="A85" s="38"/>
      <c r="B85" s="88" t="s">
        <v>64</v>
      </c>
      <c r="C85" s="20"/>
      <c r="D85" s="68"/>
      <c r="E85" s="16"/>
      <c r="F85" s="16"/>
      <c r="G85" s="16"/>
      <c r="H85" s="16"/>
      <c r="I85" s="16"/>
    </row>
    <row r="86" spans="1:9" ht="15.75" customHeight="1">
      <c r="A86" s="38">
        <v>19</v>
      </c>
      <c r="B86" s="89" t="s">
        <v>155</v>
      </c>
      <c r="C86" s="110" t="s">
        <v>124</v>
      </c>
      <c r="D86" s="18"/>
      <c r="E86" s="23"/>
      <c r="F86" s="16">
        <v>1440</v>
      </c>
      <c r="G86" s="16">
        <v>50.68</v>
      </c>
      <c r="H86" s="146">
        <f t="shared" ref="H86:H107" si="7">G86*F86/1000</f>
        <v>72.979199999999992</v>
      </c>
      <c r="I86" s="16">
        <f>G86*120</f>
        <v>6081.6</v>
      </c>
    </row>
    <row r="87" spans="1:9" ht="31.5" customHeight="1">
      <c r="A87" s="38">
        <v>20</v>
      </c>
      <c r="B87" s="89" t="s">
        <v>180</v>
      </c>
      <c r="C87" s="110" t="s">
        <v>181</v>
      </c>
      <c r="D87" s="18"/>
      <c r="E87" s="23"/>
      <c r="F87" s="16">
        <v>3</v>
      </c>
      <c r="G87" s="16">
        <v>51.39</v>
      </c>
      <c r="H87" s="146">
        <f t="shared" si="7"/>
        <v>0.15417000000000003</v>
      </c>
      <c r="I87" s="16">
        <f>G87</f>
        <v>51.39</v>
      </c>
    </row>
    <row r="88" spans="1:9" ht="15.75" customHeight="1">
      <c r="A88" s="38">
        <v>21</v>
      </c>
      <c r="B88" s="89" t="s">
        <v>90</v>
      </c>
      <c r="C88" s="110" t="s">
        <v>124</v>
      </c>
      <c r="D88" s="18"/>
      <c r="E88" s="23"/>
      <c r="F88" s="16">
        <v>19</v>
      </c>
      <c r="G88" s="16">
        <v>180.15</v>
      </c>
      <c r="H88" s="146">
        <f t="shared" si="7"/>
        <v>3.4228499999999999</v>
      </c>
      <c r="I88" s="16">
        <f t="shared" ref="I88:I89" si="8">G88</f>
        <v>180.15</v>
      </c>
    </row>
    <row r="89" spans="1:9" ht="31.5" customHeight="1">
      <c r="A89" s="38">
        <v>22</v>
      </c>
      <c r="B89" s="89" t="s">
        <v>182</v>
      </c>
      <c r="C89" s="110" t="s">
        <v>183</v>
      </c>
      <c r="D89" s="18"/>
      <c r="E89" s="23"/>
      <c r="F89" s="16">
        <v>7</v>
      </c>
      <c r="G89" s="16">
        <v>559.62</v>
      </c>
      <c r="H89" s="146">
        <f t="shared" si="7"/>
        <v>3.9173400000000003</v>
      </c>
      <c r="I89" s="16">
        <f t="shared" si="8"/>
        <v>559.62</v>
      </c>
    </row>
    <row r="90" spans="1:9" ht="31.5" customHeight="1">
      <c r="A90" s="38">
        <v>23</v>
      </c>
      <c r="B90" s="89" t="s">
        <v>195</v>
      </c>
      <c r="C90" s="110" t="s">
        <v>183</v>
      </c>
      <c r="D90" s="18"/>
      <c r="E90" s="23"/>
      <c r="F90" s="16">
        <v>4</v>
      </c>
      <c r="G90" s="16">
        <v>762.37</v>
      </c>
      <c r="H90" s="146">
        <f t="shared" si="7"/>
        <v>3.04948</v>
      </c>
      <c r="I90" s="16">
        <f>G90*3</f>
        <v>2287.11</v>
      </c>
    </row>
    <row r="91" spans="1:9" ht="15.75" customHeight="1">
      <c r="A91" s="38">
        <v>24</v>
      </c>
      <c r="B91" s="89" t="s">
        <v>196</v>
      </c>
      <c r="C91" s="110" t="s">
        <v>188</v>
      </c>
      <c r="D91" s="18"/>
      <c r="E91" s="23"/>
      <c r="F91" s="16">
        <v>3</v>
      </c>
      <c r="G91" s="16">
        <v>290.67</v>
      </c>
      <c r="H91" s="146">
        <f t="shared" si="7"/>
        <v>0.87200999999999995</v>
      </c>
      <c r="I91" s="16">
        <f>G91*2</f>
        <v>581.34</v>
      </c>
    </row>
    <row r="92" spans="1:9" ht="31.5" customHeight="1">
      <c r="A92" s="38">
        <v>25</v>
      </c>
      <c r="B92" s="89" t="s">
        <v>156</v>
      </c>
      <c r="C92" s="110" t="s">
        <v>37</v>
      </c>
      <c r="D92" s="18"/>
      <c r="E92" s="23"/>
      <c r="F92" s="16">
        <f>5/100</f>
        <v>0.05</v>
      </c>
      <c r="G92" s="16">
        <v>3397.65</v>
      </c>
      <c r="H92" s="146">
        <f t="shared" si="7"/>
        <v>0.16988250000000002</v>
      </c>
      <c r="I92" s="16">
        <f>G92*0.01</f>
        <v>33.976500000000001</v>
      </c>
    </row>
    <row r="93" spans="1:9" ht="15.75" customHeight="1">
      <c r="A93" s="38">
        <v>26</v>
      </c>
      <c r="B93" s="111" t="s">
        <v>93</v>
      </c>
      <c r="C93" s="152" t="s">
        <v>80</v>
      </c>
      <c r="D93" s="18"/>
      <c r="E93" s="23"/>
      <c r="F93" s="16">
        <f>3/10</f>
        <v>0.3</v>
      </c>
      <c r="G93" s="16">
        <v>3800</v>
      </c>
      <c r="H93" s="146">
        <f t="shared" si="7"/>
        <v>1.1399999999999999</v>
      </c>
      <c r="I93" s="16">
        <f>G93*0.1</f>
        <v>380</v>
      </c>
    </row>
    <row r="94" spans="1:9" ht="15.75" customHeight="1">
      <c r="A94" s="38">
        <v>27</v>
      </c>
      <c r="B94" s="153" t="s">
        <v>160</v>
      </c>
      <c r="C94" s="154" t="s">
        <v>161</v>
      </c>
      <c r="D94" s="68"/>
      <c r="E94" s="16"/>
      <c r="F94" s="16">
        <f>24/3</f>
        <v>8</v>
      </c>
      <c r="G94" s="16">
        <v>1063.47</v>
      </c>
      <c r="H94" s="146">
        <f>G94*F94/1000</f>
        <v>8.5077600000000011</v>
      </c>
      <c r="I94" s="16">
        <f>G94*2</f>
        <v>2126.94</v>
      </c>
    </row>
    <row r="95" spans="1:9" ht="31.5" customHeight="1">
      <c r="A95" s="38">
        <v>28</v>
      </c>
      <c r="B95" s="89" t="s">
        <v>213</v>
      </c>
      <c r="C95" s="110" t="s">
        <v>89</v>
      </c>
      <c r="D95" s="68"/>
      <c r="E95" s="16"/>
      <c r="F95" s="16">
        <v>5</v>
      </c>
      <c r="G95" s="16">
        <v>771.29</v>
      </c>
      <c r="H95" s="146">
        <f t="shared" si="7"/>
        <v>3.8564499999999997</v>
      </c>
      <c r="I95" s="16">
        <f t="shared" ref="I95" si="9">G95*2</f>
        <v>1542.58</v>
      </c>
    </row>
    <row r="96" spans="1:9" ht="31.5" customHeight="1">
      <c r="A96" s="38">
        <v>29</v>
      </c>
      <c r="B96" s="89" t="s">
        <v>214</v>
      </c>
      <c r="C96" s="110" t="s">
        <v>183</v>
      </c>
      <c r="D96" s="68"/>
      <c r="E96" s="16"/>
      <c r="F96" s="16">
        <v>10</v>
      </c>
      <c r="G96" s="16">
        <v>960.74</v>
      </c>
      <c r="H96" s="146">
        <f t="shared" si="7"/>
        <v>9.6074000000000002</v>
      </c>
      <c r="I96" s="16">
        <f>G96*3</f>
        <v>2882.2200000000003</v>
      </c>
    </row>
    <row r="97" spans="1:9" ht="15.75" customHeight="1">
      <c r="A97" s="38">
        <v>30</v>
      </c>
      <c r="B97" s="89" t="s">
        <v>216</v>
      </c>
      <c r="C97" s="110" t="s">
        <v>124</v>
      </c>
      <c r="D97" s="68"/>
      <c r="E97" s="16"/>
      <c r="F97" s="16">
        <v>7</v>
      </c>
      <c r="G97" s="16">
        <v>109.73</v>
      </c>
      <c r="H97" s="146">
        <f t="shared" si="7"/>
        <v>0.76810999999999996</v>
      </c>
      <c r="I97" s="16">
        <f>G97*2</f>
        <v>219.46</v>
      </c>
    </row>
    <row r="98" spans="1:9" ht="15.75" customHeight="1">
      <c r="A98" s="38">
        <v>31</v>
      </c>
      <c r="B98" s="111" t="s">
        <v>239</v>
      </c>
      <c r="C98" s="152" t="s">
        <v>124</v>
      </c>
      <c r="D98" s="18"/>
      <c r="E98" s="23"/>
      <c r="F98" s="16">
        <v>1</v>
      </c>
      <c r="G98" s="16">
        <v>250</v>
      </c>
      <c r="H98" s="146">
        <f t="shared" si="7"/>
        <v>0.25</v>
      </c>
      <c r="I98" s="16">
        <f>G98</f>
        <v>250</v>
      </c>
    </row>
    <row r="99" spans="1:9" ht="15.75" customHeight="1">
      <c r="A99" s="38">
        <v>32</v>
      </c>
      <c r="B99" s="109" t="s">
        <v>230</v>
      </c>
      <c r="C99" s="38" t="s">
        <v>124</v>
      </c>
      <c r="D99" s="68"/>
      <c r="E99" s="16"/>
      <c r="F99" s="16">
        <v>4</v>
      </c>
      <c r="G99" s="16">
        <v>470</v>
      </c>
      <c r="H99" s="146">
        <f t="shared" si="7"/>
        <v>1.88</v>
      </c>
      <c r="I99" s="16">
        <f>G99*4</f>
        <v>1880</v>
      </c>
    </row>
    <row r="100" spans="1:9" ht="15.75" customHeight="1">
      <c r="A100" s="38">
        <v>33</v>
      </c>
      <c r="B100" s="89" t="s">
        <v>231</v>
      </c>
      <c r="C100" s="110" t="s">
        <v>124</v>
      </c>
      <c r="D100" s="68"/>
      <c r="E100" s="16"/>
      <c r="F100" s="16">
        <v>3</v>
      </c>
      <c r="G100" s="16">
        <v>46.75</v>
      </c>
      <c r="H100" s="146">
        <f t="shared" si="7"/>
        <v>0.14025000000000001</v>
      </c>
      <c r="I100" s="16">
        <f>G100*3</f>
        <v>140.25</v>
      </c>
    </row>
    <row r="101" spans="1:9" ht="15.75" customHeight="1">
      <c r="A101" s="38">
        <v>34</v>
      </c>
      <c r="B101" s="89" t="s">
        <v>232</v>
      </c>
      <c r="C101" s="110" t="s">
        <v>124</v>
      </c>
      <c r="D101" s="68"/>
      <c r="E101" s="16"/>
      <c r="F101" s="16">
        <v>1</v>
      </c>
      <c r="G101" s="16">
        <v>86.15</v>
      </c>
      <c r="H101" s="146">
        <f>G101*F101/1000</f>
        <v>8.6150000000000004E-2</v>
      </c>
      <c r="I101" s="16">
        <f>G101</f>
        <v>86.15</v>
      </c>
    </row>
    <row r="102" spans="1:9" ht="15.75" customHeight="1">
      <c r="A102" s="38">
        <v>35</v>
      </c>
      <c r="B102" s="89" t="s">
        <v>233</v>
      </c>
      <c r="C102" s="110" t="s">
        <v>124</v>
      </c>
      <c r="D102" s="68"/>
      <c r="E102" s="16"/>
      <c r="F102" s="16">
        <v>1</v>
      </c>
      <c r="G102" s="16">
        <v>92.74</v>
      </c>
      <c r="H102" s="146">
        <f t="shared" si="7"/>
        <v>9.2739999999999989E-2</v>
      </c>
      <c r="I102" s="16">
        <f t="shared" ref="I102:I105" si="10">G102</f>
        <v>92.74</v>
      </c>
    </row>
    <row r="103" spans="1:9" ht="31.5" customHeight="1">
      <c r="A103" s="38">
        <v>36</v>
      </c>
      <c r="B103" s="89" t="s">
        <v>184</v>
      </c>
      <c r="C103" s="110" t="s">
        <v>185</v>
      </c>
      <c r="D103" s="68"/>
      <c r="E103" s="16"/>
      <c r="F103" s="16">
        <v>1</v>
      </c>
      <c r="G103" s="16">
        <v>629.39</v>
      </c>
      <c r="H103" s="146">
        <f t="shared" si="7"/>
        <v>0.62939000000000001</v>
      </c>
      <c r="I103" s="16">
        <f t="shared" si="10"/>
        <v>629.39</v>
      </c>
    </row>
    <row r="104" spans="1:9" ht="15.75" customHeight="1">
      <c r="A104" s="38">
        <v>37</v>
      </c>
      <c r="B104" s="89" t="s">
        <v>234</v>
      </c>
      <c r="C104" s="110" t="s">
        <v>124</v>
      </c>
      <c r="D104" s="68"/>
      <c r="E104" s="16"/>
      <c r="F104" s="16">
        <v>1</v>
      </c>
      <c r="G104" s="16">
        <v>53.17</v>
      </c>
      <c r="H104" s="146">
        <f t="shared" si="7"/>
        <v>5.3170000000000002E-2</v>
      </c>
      <c r="I104" s="16">
        <f t="shared" si="10"/>
        <v>53.17</v>
      </c>
    </row>
    <row r="105" spans="1:9" ht="15.75" customHeight="1">
      <c r="A105" s="38">
        <v>38</v>
      </c>
      <c r="B105" s="89" t="s">
        <v>235</v>
      </c>
      <c r="C105" s="110" t="s">
        <v>124</v>
      </c>
      <c r="D105" s="68"/>
      <c r="E105" s="16"/>
      <c r="F105" s="16">
        <v>1</v>
      </c>
      <c r="G105" s="16">
        <v>92.74</v>
      </c>
      <c r="H105" s="146">
        <f t="shared" si="7"/>
        <v>9.2739999999999989E-2</v>
      </c>
      <c r="I105" s="16">
        <f t="shared" si="10"/>
        <v>92.74</v>
      </c>
    </row>
    <row r="106" spans="1:9" ht="31.5" customHeight="1">
      <c r="A106" s="38">
        <v>39</v>
      </c>
      <c r="B106" s="89" t="s">
        <v>236</v>
      </c>
      <c r="C106" s="110" t="s">
        <v>89</v>
      </c>
      <c r="D106" s="68"/>
      <c r="E106" s="16"/>
      <c r="F106" s="16">
        <v>2</v>
      </c>
      <c r="G106" s="16">
        <v>1264.3399999999999</v>
      </c>
      <c r="H106" s="146">
        <f t="shared" si="7"/>
        <v>2.52868</v>
      </c>
      <c r="I106" s="16">
        <f>G106*2</f>
        <v>2528.6799999999998</v>
      </c>
    </row>
    <row r="107" spans="1:9" ht="15.75" customHeight="1">
      <c r="A107" s="38">
        <v>40</v>
      </c>
      <c r="B107" s="89" t="s">
        <v>237</v>
      </c>
      <c r="C107" s="110" t="s">
        <v>238</v>
      </c>
      <c r="D107" s="68"/>
      <c r="E107" s="16"/>
      <c r="F107" s="16">
        <f>1/10</f>
        <v>0.1</v>
      </c>
      <c r="G107" s="16">
        <v>3424.08</v>
      </c>
      <c r="H107" s="146">
        <f t="shared" si="7"/>
        <v>0.34240799999999999</v>
      </c>
      <c r="I107" s="16">
        <f>G107*0.1</f>
        <v>342.40800000000002</v>
      </c>
    </row>
    <row r="108" spans="1:9" ht="15.75" customHeight="1">
      <c r="A108" s="38"/>
      <c r="B108" s="62" t="s">
        <v>53</v>
      </c>
      <c r="C108" s="58"/>
      <c r="D108" s="72"/>
      <c r="E108" s="58">
        <v>1</v>
      </c>
      <c r="F108" s="58"/>
      <c r="G108" s="58"/>
      <c r="H108" s="58"/>
      <c r="I108" s="40">
        <f>SUM(I86:I107)</f>
        <v>23021.914500000003</v>
      </c>
    </row>
    <row r="109" spans="1:9">
      <c r="A109" s="38"/>
      <c r="B109" s="68" t="s">
        <v>85</v>
      </c>
      <c r="C109" s="19"/>
      <c r="D109" s="19"/>
      <c r="E109" s="59"/>
      <c r="F109" s="59"/>
      <c r="G109" s="60"/>
      <c r="H109" s="60"/>
      <c r="I109" s="22">
        <v>0</v>
      </c>
    </row>
    <row r="110" spans="1:9">
      <c r="A110" s="73"/>
      <c r="B110" s="63" t="s">
        <v>54</v>
      </c>
      <c r="C110" s="46"/>
      <c r="D110" s="46"/>
      <c r="E110" s="46"/>
      <c r="F110" s="46"/>
      <c r="G110" s="46"/>
      <c r="H110" s="46"/>
      <c r="I110" s="61">
        <f>I84+I108</f>
        <v>118614.52828188887</v>
      </c>
    </row>
    <row r="111" spans="1:9" ht="15.75">
      <c r="A111" s="170" t="s">
        <v>277</v>
      </c>
      <c r="B111" s="170"/>
      <c r="C111" s="170"/>
      <c r="D111" s="170"/>
      <c r="E111" s="170"/>
      <c r="F111" s="170"/>
      <c r="G111" s="170"/>
      <c r="H111" s="170"/>
      <c r="I111" s="170"/>
    </row>
    <row r="112" spans="1:9" ht="15.75" customHeight="1">
      <c r="A112" s="108"/>
      <c r="B112" s="171" t="s">
        <v>278</v>
      </c>
      <c r="C112" s="171"/>
      <c r="D112" s="171"/>
      <c r="E112" s="171"/>
      <c r="F112" s="171"/>
      <c r="G112" s="171"/>
      <c r="H112" s="130"/>
      <c r="I112" s="3"/>
    </row>
    <row r="113" spans="1:9">
      <c r="A113" s="120"/>
      <c r="B113" s="164" t="s">
        <v>6</v>
      </c>
      <c r="C113" s="164"/>
      <c r="D113" s="164"/>
      <c r="E113" s="164"/>
      <c r="F113" s="164"/>
      <c r="G113" s="164"/>
      <c r="H113" s="33"/>
      <c r="I113" s="5"/>
    </row>
    <row r="114" spans="1:9">
      <c r="A114" s="10"/>
      <c r="B114" s="10"/>
      <c r="C114" s="10"/>
      <c r="D114" s="10"/>
      <c r="E114" s="10"/>
      <c r="F114" s="10"/>
      <c r="G114" s="10"/>
      <c r="H114" s="10"/>
      <c r="I114" s="10"/>
    </row>
    <row r="115" spans="1:9" ht="15.75">
      <c r="A115" s="172" t="s">
        <v>7</v>
      </c>
      <c r="B115" s="172"/>
      <c r="C115" s="172"/>
      <c r="D115" s="172"/>
      <c r="E115" s="172"/>
      <c r="F115" s="172"/>
      <c r="G115" s="172"/>
      <c r="H115" s="172"/>
      <c r="I115" s="172"/>
    </row>
    <row r="116" spans="1:9" ht="15.75">
      <c r="A116" s="172" t="s">
        <v>8</v>
      </c>
      <c r="B116" s="172"/>
      <c r="C116" s="172"/>
      <c r="D116" s="172"/>
      <c r="E116" s="172"/>
      <c r="F116" s="172"/>
      <c r="G116" s="172"/>
      <c r="H116" s="172"/>
      <c r="I116" s="172"/>
    </row>
    <row r="117" spans="1:9" ht="15.75">
      <c r="A117" s="161" t="s">
        <v>65</v>
      </c>
      <c r="B117" s="161"/>
      <c r="C117" s="161"/>
      <c r="D117" s="161"/>
      <c r="E117" s="161"/>
      <c r="F117" s="161"/>
      <c r="G117" s="161"/>
      <c r="H117" s="161"/>
      <c r="I117" s="161"/>
    </row>
    <row r="118" spans="1:9" ht="15.75">
      <c r="A118" s="11"/>
    </row>
    <row r="119" spans="1:9" ht="15.75">
      <c r="A119" s="162" t="s">
        <v>9</v>
      </c>
      <c r="B119" s="162"/>
      <c r="C119" s="162"/>
      <c r="D119" s="162"/>
      <c r="E119" s="162"/>
      <c r="F119" s="162"/>
      <c r="G119" s="162"/>
      <c r="H119" s="162"/>
      <c r="I119" s="162"/>
    </row>
    <row r="120" spans="1:9" ht="15.75" customHeight="1">
      <c r="A120" s="4"/>
    </row>
    <row r="121" spans="1:9" ht="15.75" customHeight="1">
      <c r="B121" s="117" t="s">
        <v>10</v>
      </c>
      <c r="C121" s="163" t="s">
        <v>170</v>
      </c>
      <c r="D121" s="163"/>
      <c r="E121" s="163"/>
      <c r="F121" s="128"/>
      <c r="I121" s="119"/>
    </row>
    <row r="122" spans="1:9" ht="15.75" customHeight="1">
      <c r="A122" s="120"/>
      <c r="C122" s="164" t="s">
        <v>11</v>
      </c>
      <c r="D122" s="164"/>
      <c r="E122" s="164"/>
      <c r="F122" s="33"/>
      <c r="I122" s="118" t="s">
        <v>12</v>
      </c>
    </row>
    <row r="123" spans="1:9" ht="15.75" customHeight="1">
      <c r="A123" s="34"/>
      <c r="C123" s="12"/>
      <c r="D123" s="12"/>
      <c r="G123" s="12"/>
      <c r="H123" s="12"/>
    </row>
    <row r="124" spans="1:9" ht="15.75">
      <c r="B124" s="117" t="s">
        <v>13</v>
      </c>
      <c r="C124" s="165"/>
      <c r="D124" s="165"/>
      <c r="E124" s="165"/>
      <c r="F124" s="129"/>
      <c r="I124" s="119"/>
    </row>
    <row r="125" spans="1:9">
      <c r="A125" s="120"/>
      <c r="C125" s="166" t="s">
        <v>11</v>
      </c>
      <c r="D125" s="166"/>
      <c r="E125" s="166"/>
      <c r="F125" s="120"/>
      <c r="I125" s="118" t="s">
        <v>12</v>
      </c>
    </row>
    <row r="126" spans="1:9" ht="15.75">
      <c r="A126" s="4" t="s">
        <v>14</v>
      </c>
    </row>
    <row r="127" spans="1:9">
      <c r="A127" s="159" t="s">
        <v>15</v>
      </c>
      <c r="B127" s="159"/>
      <c r="C127" s="159"/>
      <c r="D127" s="159"/>
      <c r="E127" s="159"/>
      <c r="F127" s="159"/>
      <c r="G127" s="159"/>
      <c r="H127" s="159"/>
      <c r="I127" s="159"/>
    </row>
    <row r="128" spans="1:9" ht="45" customHeight="1">
      <c r="A128" s="160" t="s">
        <v>16</v>
      </c>
      <c r="B128" s="160"/>
      <c r="C128" s="160"/>
      <c r="D128" s="160"/>
      <c r="E128" s="160"/>
      <c r="F128" s="160"/>
      <c r="G128" s="160"/>
      <c r="H128" s="160"/>
      <c r="I128" s="160"/>
    </row>
    <row r="129" spans="1:9" ht="30" customHeight="1">
      <c r="A129" s="160" t="s">
        <v>17</v>
      </c>
      <c r="B129" s="160"/>
      <c r="C129" s="160"/>
      <c r="D129" s="160"/>
      <c r="E129" s="160"/>
      <c r="F129" s="160"/>
      <c r="G129" s="160"/>
      <c r="H129" s="160"/>
      <c r="I129" s="160"/>
    </row>
    <row r="130" spans="1:9" ht="30" customHeight="1">
      <c r="A130" s="160" t="s">
        <v>21</v>
      </c>
      <c r="B130" s="160"/>
      <c r="C130" s="160"/>
      <c r="D130" s="160"/>
      <c r="E130" s="160"/>
      <c r="F130" s="160"/>
      <c r="G130" s="160"/>
      <c r="H130" s="160"/>
      <c r="I130" s="160"/>
    </row>
    <row r="131" spans="1:9" ht="15" customHeight="1">
      <c r="A131" s="160" t="s">
        <v>20</v>
      </c>
      <c r="B131" s="160"/>
      <c r="C131" s="160"/>
      <c r="D131" s="160"/>
      <c r="E131" s="160"/>
      <c r="F131" s="160"/>
      <c r="G131" s="160"/>
      <c r="H131" s="160"/>
      <c r="I131" s="160"/>
    </row>
  </sheetData>
  <autoFilter ref="I12:I60"/>
  <mergeCells count="28">
    <mergeCell ref="A128:I128"/>
    <mergeCell ref="A129:I129"/>
    <mergeCell ref="A130:I130"/>
    <mergeCell ref="A131:I131"/>
    <mergeCell ref="A119:I119"/>
    <mergeCell ref="C121:E121"/>
    <mergeCell ref="C122:E122"/>
    <mergeCell ref="C124:E124"/>
    <mergeCell ref="C125:E125"/>
    <mergeCell ref="A127:I127"/>
    <mergeCell ref="A111:I111"/>
    <mergeCell ref="B112:G112"/>
    <mergeCell ref="B113:G113"/>
    <mergeCell ref="A115:I115"/>
    <mergeCell ref="A116:I116"/>
    <mergeCell ref="A117:I117"/>
    <mergeCell ref="A15:I15"/>
    <mergeCell ref="A28:I28"/>
    <mergeCell ref="A46:I46"/>
    <mergeCell ref="A56:I56"/>
    <mergeCell ref="R65:U65"/>
    <mergeCell ref="A81:I81"/>
    <mergeCell ref="A3:I3"/>
    <mergeCell ref="A4:I4"/>
    <mergeCell ref="A5:I5"/>
    <mergeCell ref="A8:I8"/>
    <mergeCell ref="A10:I10"/>
    <mergeCell ref="A14:I14"/>
  </mergeCells>
  <pageMargins left="0.70866141732283472" right="0.23622047244094491" top="0.27559055118110237" bottom="0.27559055118110237" header="0.31496062992125984" footer="0.31496062992125984"/>
  <pageSetup paperSize="9" scale="60" orientation="portrait" r:id="rId1"/>
  <colBreaks count="1" manualBreakCount="1">
    <brk id="9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>
  <dimension ref="A1:G118"/>
  <sheetViews>
    <sheetView workbookViewId="0">
      <selection activeCell="A3" sqref="A3:G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0" hidden="1" customWidth="1"/>
    <col min="6" max="7" width="22.5703125" customWidth="1"/>
  </cols>
  <sheetData>
    <row r="1" spans="1:7" ht="15.75">
      <c r="A1" s="36" t="s">
        <v>96</v>
      </c>
      <c r="G1" s="35"/>
    </row>
    <row r="2" spans="1:7" ht="15.75">
      <c r="A2" s="37" t="s">
        <v>67</v>
      </c>
    </row>
    <row r="3" spans="1:7" ht="15.75">
      <c r="A3" s="177" t="s">
        <v>97</v>
      </c>
      <c r="B3" s="177"/>
      <c r="C3" s="177"/>
      <c r="D3" s="177"/>
      <c r="E3" s="177"/>
      <c r="F3" s="177"/>
      <c r="G3" s="177"/>
    </row>
    <row r="4" spans="1:7" ht="31.5" customHeight="1">
      <c r="A4" s="178" t="s">
        <v>159</v>
      </c>
      <c r="B4" s="178"/>
      <c r="C4" s="178"/>
      <c r="D4" s="178"/>
      <c r="E4" s="178"/>
      <c r="F4" s="178"/>
      <c r="G4" s="178"/>
    </row>
    <row r="5" spans="1:7" ht="15.75">
      <c r="A5" s="177" t="s">
        <v>98</v>
      </c>
      <c r="B5" s="179"/>
      <c r="C5" s="179"/>
      <c r="D5" s="179"/>
      <c r="E5" s="179"/>
      <c r="F5" s="179"/>
      <c r="G5" s="179"/>
    </row>
    <row r="6" spans="1:7" ht="15.75">
      <c r="A6" s="2"/>
      <c r="B6" s="78"/>
      <c r="C6" s="78"/>
      <c r="D6" s="78"/>
      <c r="E6" s="78"/>
      <c r="F6" s="78"/>
      <c r="G6" s="39">
        <v>42704</v>
      </c>
    </row>
    <row r="7" spans="1:7" ht="15.75">
      <c r="B7" s="74"/>
      <c r="C7" s="74"/>
      <c r="D7" s="74"/>
      <c r="E7" s="3"/>
      <c r="F7" s="3"/>
    </row>
    <row r="8" spans="1:7" ht="78.75" customHeight="1">
      <c r="A8" s="180" t="s">
        <v>174</v>
      </c>
      <c r="B8" s="180"/>
      <c r="C8" s="180"/>
      <c r="D8" s="180"/>
      <c r="E8" s="180"/>
      <c r="F8" s="180"/>
      <c r="G8" s="180"/>
    </row>
    <row r="9" spans="1:7" ht="15.75">
      <c r="A9" s="4"/>
    </row>
    <row r="10" spans="1:7" ht="47.25" customHeight="1">
      <c r="A10" s="181" t="s">
        <v>173</v>
      </c>
      <c r="B10" s="181"/>
      <c r="C10" s="181"/>
      <c r="D10" s="181"/>
      <c r="E10" s="181"/>
      <c r="F10" s="181"/>
      <c r="G10" s="181"/>
    </row>
    <row r="11" spans="1:7" ht="15.75">
      <c r="A11" s="4"/>
    </row>
    <row r="12" spans="1:7" ht="4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 t="s">
        <v>22</v>
      </c>
      <c r="G12" s="6" t="s">
        <v>3</v>
      </c>
    </row>
    <row r="13" spans="1:7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>
        <v>5</v>
      </c>
      <c r="G13" s="7">
        <v>6</v>
      </c>
    </row>
    <row r="14" spans="1:7">
      <c r="A14" s="182" t="s">
        <v>63</v>
      </c>
      <c r="B14" s="182"/>
      <c r="C14" s="182"/>
      <c r="D14" s="182"/>
      <c r="E14" s="182"/>
      <c r="F14" s="182"/>
      <c r="G14" s="182"/>
    </row>
    <row r="15" spans="1:7">
      <c r="A15" s="173" t="s">
        <v>4</v>
      </c>
      <c r="B15" s="173"/>
      <c r="C15" s="173"/>
      <c r="D15" s="173"/>
      <c r="E15" s="173"/>
      <c r="F15" s="173"/>
      <c r="G15" s="173"/>
    </row>
    <row r="16" spans="1:7" ht="31.5" customHeight="1">
      <c r="A16" s="38">
        <v>1</v>
      </c>
      <c r="B16" s="42" t="s">
        <v>99</v>
      </c>
      <c r="C16" s="56" t="s">
        <v>100</v>
      </c>
      <c r="D16" s="42" t="s">
        <v>101</v>
      </c>
      <c r="E16" s="38"/>
      <c r="F16" s="41">
        <v>175.38</v>
      </c>
      <c r="G16" s="93">
        <v>4744.1000000000004</v>
      </c>
    </row>
    <row r="17" spans="1:7" ht="31.5" customHeight="1">
      <c r="A17" s="38">
        <v>2</v>
      </c>
      <c r="B17" s="42" t="s">
        <v>135</v>
      </c>
      <c r="C17" s="56" t="s">
        <v>100</v>
      </c>
      <c r="D17" s="42" t="s">
        <v>102</v>
      </c>
      <c r="E17" s="38"/>
      <c r="F17" s="41">
        <v>175.38</v>
      </c>
      <c r="G17" s="93">
        <v>12650.93</v>
      </c>
    </row>
    <row r="18" spans="1:7" ht="31.5" customHeight="1">
      <c r="A18" s="38">
        <v>3</v>
      </c>
      <c r="B18" s="42" t="s">
        <v>136</v>
      </c>
      <c r="C18" s="56" t="s">
        <v>100</v>
      </c>
      <c r="D18" s="42" t="s">
        <v>137</v>
      </c>
      <c r="E18" s="38"/>
      <c r="F18" s="41">
        <v>504.5</v>
      </c>
      <c r="G18" s="93">
        <v>10497.64</v>
      </c>
    </row>
    <row r="19" spans="1:7" ht="15.75" hidden="1" customHeight="1">
      <c r="A19" s="38"/>
      <c r="B19" s="42" t="s">
        <v>109</v>
      </c>
      <c r="C19" s="56" t="s">
        <v>110</v>
      </c>
      <c r="D19" s="42" t="s">
        <v>111</v>
      </c>
      <c r="E19" s="38"/>
      <c r="F19" s="41">
        <v>170.16</v>
      </c>
      <c r="G19" s="93">
        <v>0</v>
      </c>
    </row>
    <row r="20" spans="1:7" ht="15.75" customHeight="1">
      <c r="A20" s="38">
        <v>4</v>
      </c>
      <c r="B20" s="42" t="s">
        <v>112</v>
      </c>
      <c r="C20" s="56" t="s">
        <v>100</v>
      </c>
      <c r="D20" s="42" t="s">
        <v>138</v>
      </c>
      <c r="E20" s="38"/>
      <c r="F20" s="41">
        <v>217.88</v>
      </c>
      <c r="G20" s="93">
        <v>66.67</v>
      </c>
    </row>
    <row r="21" spans="1:7" ht="15.75" customHeight="1">
      <c r="A21" s="38">
        <v>5</v>
      </c>
      <c r="B21" s="42" t="s">
        <v>113</v>
      </c>
      <c r="C21" s="56" t="s">
        <v>100</v>
      </c>
      <c r="D21" s="42" t="s">
        <v>30</v>
      </c>
      <c r="E21" s="38"/>
      <c r="F21" s="41">
        <v>216.12</v>
      </c>
      <c r="G21" s="93">
        <v>21.74</v>
      </c>
    </row>
    <row r="22" spans="1:7" ht="15.75" hidden="1" customHeight="1">
      <c r="A22" s="38"/>
      <c r="B22" s="42" t="s">
        <v>114</v>
      </c>
      <c r="C22" s="56" t="s">
        <v>55</v>
      </c>
      <c r="D22" s="42" t="s">
        <v>111</v>
      </c>
      <c r="E22" s="38"/>
      <c r="F22" s="41">
        <v>269.26</v>
      </c>
      <c r="G22" s="93">
        <v>0</v>
      </c>
    </row>
    <row r="23" spans="1:7" ht="15.75" hidden="1" customHeight="1">
      <c r="A23" s="38"/>
      <c r="B23" s="42" t="s">
        <v>115</v>
      </c>
      <c r="C23" s="56" t="s">
        <v>55</v>
      </c>
      <c r="D23" s="42" t="s">
        <v>111</v>
      </c>
      <c r="E23" s="38"/>
      <c r="F23" s="41">
        <v>44.29</v>
      </c>
      <c r="G23" s="93">
        <v>0</v>
      </c>
    </row>
    <row r="24" spans="1:7" ht="15.75" customHeight="1">
      <c r="A24" s="38"/>
      <c r="B24" s="42" t="s">
        <v>116</v>
      </c>
      <c r="C24" s="56" t="s">
        <v>55</v>
      </c>
      <c r="D24" s="42" t="s">
        <v>30</v>
      </c>
      <c r="E24" s="38"/>
      <c r="F24" s="41">
        <v>389.72</v>
      </c>
      <c r="G24" s="93">
        <v>42.09</v>
      </c>
    </row>
    <row r="25" spans="1:7" ht="15.75" customHeight="1">
      <c r="A25" s="38"/>
      <c r="B25" s="42" t="s">
        <v>117</v>
      </c>
      <c r="C25" s="56" t="s">
        <v>55</v>
      </c>
      <c r="D25" s="42" t="s">
        <v>139</v>
      </c>
      <c r="E25" s="38"/>
      <c r="F25" s="41">
        <v>520.79999999999995</v>
      </c>
      <c r="G25" s="93">
        <v>112.49</v>
      </c>
    </row>
    <row r="26" spans="1:7" ht="15.75" customHeight="1">
      <c r="A26" s="57">
        <v>6</v>
      </c>
      <c r="B26" s="42" t="s">
        <v>69</v>
      </c>
      <c r="C26" s="56" t="s">
        <v>33</v>
      </c>
      <c r="D26" s="42" t="s">
        <v>140</v>
      </c>
      <c r="E26" s="22">
        <v>506.1</v>
      </c>
      <c r="F26" s="41">
        <v>147.03</v>
      </c>
      <c r="G26" s="93">
        <v>447.22</v>
      </c>
    </row>
    <row r="27" spans="1:7" ht="15.75" customHeight="1">
      <c r="A27" s="57">
        <v>7</v>
      </c>
      <c r="B27" s="13" t="s">
        <v>23</v>
      </c>
      <c r="C27" s="14" t="s">
        <v>24</v>
      </c>
      <c r="D27" s="38"/>
      <c r="E27" s="22">
        <v>506.1</v>
      </c>
      <c r="F27" s="41">
        <v>4.4000000000000004</v>
      </c>
      <c r="G27" s="93">
        <v>30713.32</v>
      </c>
    </row>
    <row r="28" spans="1:7" ht="15.75" customHeight="1">
      <c r="A28" s="173" t="s">
        <v>95</v>
      </c>
      <c r="B28" s="173"/>
      <c r="C28" s="173"/>
      <c r="D28" s="173"/>
      <c r="E28" s="173"/>
      <c r="F28" s="173"/>
      <c r="G28" s="173"/>
    </row>
    <row r="29" spans="1:7" ht="15.75" hidden="1" customHeight="1">
      <c r="A29" s="57"/>
      <c r="B29" s="67" t="s">
        <v>28</v>
      </c>
      <c r="C29" s="67"/>
      <c r="D29" s="67"/>
      <c r="E29" s="67"/>
      <c r="F29" s="67"/>
      <c r="G29" s="23"/>
    </row>
    <row r="30" spans="1:7" ht="31.5" hidden="1" customHeight="1">
      <c r="A30" s="57">
        <v>2</v>
      </c>
      <c r="B30" s="42" t="s">
        <v>121</v>
      </c>
      <c r="C30" s="56" t="s">
        <v>104</v>
      </c>
      <c r="D30" s="42" t="s">
        <v>118</v>
      </c>
      <c r="E30" s="17">
        <v>2.31</v>
      </c>
      <c r="F30" s="41">
        <v>155.88999999999999</v>
      </c>
      <c r="G30" s="16">
        <v>187.63</v>
      </c>
    </row>
    <row r="31" spans="1:7" ht="31.5" hidden="1" customHeight="1">
      <c r="A31" s="57">
        <v>3</v>
      </c>
      <c r="B31" s="42" t="s">
        <v>142</v>
      </c>
      <c r="C31" s="56" t="s">
        <v>104</v>
      </c>
      <c r="D31" s="42" t="s">
        <v>119</v>
      </c>
      <c r="E31" s="16">
        <f>0.0024*3*4.5</f>
        <v>3.2399999999999998E-2</v>
      </c>
      <c r="F31" s="41">
        <v>258.63</v>
      </c>
      <c r="G31" s="23">
        <v>836.01</v>
      </c>
    </row>
    <row r="32" spans="1:7" ht="15.75" hidden="1" customHeight="1">
      <c r="A32" s="57">
        <v>4</v>
      </c>
      <c r="B32" s="42" t="s">
        <v>27</v>
      </c>
      <c r="C32" s="56" t="s">
        <v>104</v>
      </c>
      <c r="D32" s="42" t="s">
        <v>56</v>
      </c>
      <c r="E32" s="21">
        <v>0</v>
      </c>
      <c r="F32" s="41">
        <v>3020.33</v>
      </c>
      <c r="G32" s="23">
        <v>0</v>
      </c>
    </row>
    <row r="33" spans="1:7" ht="15.75" hidden="1" customHeight="1">
      <c r="A33" s="57">
        <v>5</v>
      </c>
      <c r="B33" s="42" t="s">
        <v>141</v>
      </c>
      <c r="C33" s="56" t="s">
        <v>39</v>
      </c>
      <c r="D33" s="42" t="s">
        <v>68</v>
      </c>
      <c r="E33" s="21">
        <v>0</v>
      </c>
      <c r="F33" s="41">
        <v>1302.02</v>
      </c>
      <c r="G33" s="23">
        <v>0</v>
      </c>
    </row>
    <row r="34" spans="1:7" ht="15.75" hidden="1" customHeight="1">
      <c r="A34" s="57">
        <v>4</v>
      </c>
      <c r="B34" s="42" t="s">
        <v>120</v>
      </c>
      <c r="C34" s="56" t="s">
        <v>31</v>
      </c>
      <c r="D34" s="42" t="s">
        <v>68</v>
      </c>
      <c r="E34" s="16">
        <v>3.75</v>
      </c>
      <c r="F34" s="41">
        <v>56.69</v>
      </c>
      <c r="G34" s="16">
        <v>488.16</v>
      </c>
    </row>
    <row r="35" spans="1:7" ht="15.75" hidden="1" customHeight="1">
      <c r="A35" s="57"/>
      <c r="B35" s="42" t="s">
        <v>70</v>
      </c>
      <c r="C35" s="56" t="s">
        <v>33</v>
      </c>
      <c r="D35" s="42" t="s">
        <v>72</v>
      </c>
      <c r="E35" s="16"/>
      <c r="F35" s="41">
        <v>180.15</v>
      </c>
      <c r="G35" s="16"/>
    </row>
    <row r="36" spans="1:7" ht="15.75" hidden="1" customHeight="1">
      <c r="A36" s="38">
        <v>8</v>
      </c>
      <c r="B36" s="42" t="s">
        <v>71</v>
      </c>
      <c r="C36" s="56" t="s">
        <v>32</v>
      </c>
      <c r="D36" s="42" t="s">
        <v>72</v>
      </c>
      <c r="E36" s="16"/>
      <c r="F36" s="41">
        <v>1136.33</v>
      </c>
      <c r="G36" s="16">
        <v>0</v>
      </c>
    </row>
    <row r="37" spans="1:7" ht="15.75" customHeight="1">
      <c r="A37" s="57"/>
      <c r="B37" s="65" t="s">
        <v>5</v>
      </c>
      <c r="C37" s="65"/>
      <c r="D37" s="65"/>
      <c r="E37" s="16"/>
      <c r="F37" s="17"/>
      <c r="G37" s="23"/>
    </row>
    <row r="38" spans="1:7" ht="15.75" customHeight="1">
      <c r="A38" s="43">
        <v>8</v>
      </c>
      <c r="B38" s="44" t="s">
        <v>26</v>
      </c>
      <c r="C38" s="56" t="s">
        <v>32</v>
      </c>
      <c r="D38" s="42"/>
      <c r="E38" s="16">
        <v>0</v>
      </c>
      <c r="F38" s="41">
        <v>1527.22</v>
      </c>
      <c r="G38" s="16">
        <v>2545.37</v>
      </c>
    </row>
    <row r="39" spans="1:7" ht="15.75" customHeight="1">
      <c r="A39" s="43">
        <v>9</v>
      </c>
      <c r="B39" s="42" t="s">
        <v>143</v>
      </c>
      <c r="C39" s="56" t="s">
        <v>33</v>
      </c>
      <c r="D39" s="42"/>
      <c r="E39" s="16">
        <v>0</v>
      </c>
      <c r="F39" s="41">
        <v>77.94</v>
      </c>
      <c r="G39" s="16">
        <v>129.9</v>
      </c>
    </row>
    <row r="40" spans="1:7" ht="15.75" customHeight="1">
      <c r="A40" s="43">
        <v>10</v>
      </c>
      <c r="B40" s="44" t="s">
        <v>122</v>
      </c>
      <c r="C40" s="87" t="s">
        <v>29</v>
      </c>
      <c r="D40" s="42" t="s">
        <v>144</v>
      </c>
      <c r="E40" s="16">
        <v>0</v>
      </c>
      <c r="F40" s="41">
        <v>2102.71</v>
      </c>
      <c r="G40" s="16">
        <v>9104.73</v>
      </c>
    </row>
    <row r="41" spans="1:7" ht="15.75" hidden="1" customHeight="1">
      <c r="A41" s="43">
        <v>11</v>
      </c>
      <c r="B41" s="42" t="s">
        <v>145</v>
      </c>
      <c r="C41" s="56" t="s">
        <v>146</v>
      </c>
      <c r="D41" s="42" t="s">
        <v>72</v>
      </c>
      <c r="E41" s="16">
        <v>0</v>
      </c>
      <c r="F41" s="41">
        <v>213.2</v>
      </c>
      <c r="G41" s="16">
        <v>0</v>
      </c>
    </row>
    <row r="42" spans="1:7" ht="15.75" customHeight="1">
      <c r="A42" s="43">
        <v>12</v>
      </c>
      <c r="B42" s="42" t="s">
        <v>73</v>
      </c>
      <c r="C42" s="56" t="s">
        <v>29</v>
      </c>
      <c r="D42" s="42" t="s">
        <v>103</v>
      </c>
      <c r="E42" s="16">
        <v>0</v>
      </c>
      <c r="F42" s="41">
        <v>350.75</v>
      </c>
      <c r="G42" s="16">
        <v>1386.34</v>
      </c>
    </row>
    <row r="43" spans="1:7" ht="47.25" customHeight="1">
      <c r="A43" s="43"/>
      <c r="B43" s="42" t="s">
        <v>91</v>
      </c>
      <c r="C43" s="56" t="s">
        <v>104</v>
      </c>
      <c r="D43" s="42" t="s">
        <v>147</v>
      </c>
      <c r="E43" s="16"/>
      <c r="F43" s="41">
        <v>5803.28</v>
      </c>
      <c r="G43" s="16">
        <v>1160.6600000000001</v>
      </c>
    </row>
    <row r="44" spans="1:7" ht="15.75" customHeight="1">
      <c r="A44" s="43"/>
      <c r="B44" s="42" t="s">
        <v>105</v>
      </c>
      <c r="C44" s="56" t="s">
        <v>104</v>
      </c>
      <c r="D44" s="42" t="s">
        <v>74</v>
      </c>
      <c r="E44" s="16"/>
      <c r="F44" s="41">
        <v>428.7</v>
      </c>
      <c r="G44" s="16">
        <v>491.93</v>
      </c>
    </row>
    <row r="45" spans="1:7" ht="15.75" customHeight="1">
      <c r="A45" s="43">
        <v>13</v>
      </c>
      <c r="B45" s="44" t="s">
        <v>75</v>
      </c>
      <c r="C45" s="87" t="s">
        <v>33</v>
      </c>
      <c r="D45" s="44"/>
      <c r="E45" s="16"/>
      <c r="F45" s="45">
        <v>798</v>
      </c>
      <c r="G45" s="16">
        <v>119.7</v>
      </c>
    </row>
    <row r="46" spans="1:7" ht="15.75" hidden="1" customHeight="1">
      <c r="A46" s="183" t="s">
        <v>66</v>
      </c>
      <c r="B46" s="184"/>
      <c r="C46" s="184"/>
      <c r="D46" s="184"/>
      <c r="E46" s="184"/>
      <c r="F46" s="184"/>
      <c r="G46" s="185"/>
    </row>
    <row r="47" spans="1:7" ht="15.75" hidden="1" customHeight="1">
      <c r="A47" s="57">
        <v>15</v>
      </c>
      <c r="B47" s="42" t="s">
        <v>148</v>
      </c>
      <c r="C47" s="56" t="s">
        <v>104</v>
      </c>
      <c r="D47" s="42" t="s">
        <v>42</v>
      </c>
      <c r="E47" s="23">
        <v>0.42</v>
      </c>
      <c r="F47" s="48">
        <v>849.49</v>
      </c>
      <c r="G47" s="24">
        <v>0</v>
      </c>
    </row>
    <row r="48" spans="1:7" ht="15.75" hidden="1" customHeight="1">
      <c r="A48" s="57">
        <v>16</v>
      </c>
      <c r="B48" s="42" t="s">
        <v>34</v>
      </c>
      <c r="C48" s="56" t="s">
        <v>104</v>
      </c>
      <c r="D48" s="42" t="s">
        <v>42</v>
      </c>
      <c r="E48" s="23">
        <v>1.35</v>
      </c>
      <c r="F48" s="48">
        <v>579.48</v>
      </c>
      <c r="G48" s="24">
        <v>0</v>
      </c>
    </row>
    <row r="49" spans="1:7" ht="15.75" hidden="1" customHeight="1">
      <c r="A49" s="57">
        <v>17</v>
      </c>
      <c r="B49" s="42" t="s">
        <v>35</v>
      </c>
      <c r="C49" s="56" t="s">
        <v>104</v>
      </c>
      <c r="D49" s="42" t="s">
        <v>42</v>
      </c>
      <c r="E49" s="23">
        <v>0.03</v>
      </c>
      <c r="F49" s="48">
        <v>579.48</v>
      </c>
      <c r="G49" s="24">
        <v>0</v>
      </c>
    </row>
    <row r="50" spans="1:7" ht="15.75" hidden="1" customHeight="1">
      <c r="A50" s="57">
        <v>18</v>
      </c>
      <c r="B50" s="42" t="s">
        <v>36</v>
      </c>
      <c r="C50" s="56" t="s">
        <v>104</v>
      </c>
      <c r="D50" s="42" t="s">
        <v>42</v>
      </c>
      <c r="E50" s="23">
        <v>0.33</v>
      </c>
      <c r="F50" s="48">
        <v>606.77</v>
      </c>
      <c r="G50" s="24">
        <v>0</v>
      </c>
    </row>
    <row r="51" spans="1:7" ht="31.5" hidden="1" customHeight="1">
      <c r="A51" s="57">
        <v>19</v>
      </c>
      <c r="B51" s="42" t="s">
        <v>60</v>
      </c>
      <c r="C51" s="56" t="s">
        <v>104</v>
      </c>
      <c r="D51" s="42" t="s">
        <v>123</v>
      </c>
      <c r="E51" s="23">
        <v>0.22</v>
      </c>
      <c r="F51" s="48">
        <v>1142.7</v>
      </c>
      <c r="G51" s="16">
        <v>0</v>
      </c>
    </row>
    <row r="52" spans="1:7" ht="31.5" hidden="1" customHeight="1">
      <c r="A52" s="57">
        <v>12</v>
      </c>
      <c r="B52" s="42" t="s">
        <v>106</v>
      </c>
      <c r="C52" s="56" t="s">
        <v>104</v>
      </c>
      <c r="D52" s="42" t="s">
        <v>42</v>
      </c>
      <c r="E52" s="23">
        <v>0.22</v>
      </c>
      <c r="F52" s="48">
        <v>1213.55</v>
      </c>
      <c r="G52" s="24">
        <v>3114.5</v>
      </c>
    </row>
    <row r="53" spans="1:7" ht="31.5" hidden="1" customHeight="1">
      <c r="A53" s="57">
        <v>14</v>
      </c>
      <c r="B53" s="42" t="s">
        <v>107</v>
      </c>
      <c r="C53" s="56" t="s">
        <v>37</v>
      </c>
      <c r="D53" s="42" t="s">
        <v>42</v>
      </c>
      <c r="E53" s="23">
        <v>0.02</v>
      </c>
      <c r="F53" s="48">
        <v>2730.49</v>
      </c>
      <c r="G53" s="24">
        <v>1302.68</v>
      </c>
    </row>
    <row r="54" spans="1:7" ht="15.75" hidden="1" customHeight="1">
      <c r="A54" s="57">
        <v>15</v>
      </c>
      <c r="B54" s="42" t="s">
        <v>38</v>
      </c>
      <c r="C54" s="56" t="s">
        <v>39</v>
      </c>
      <c r="D54" s="42" t="s">
        <v>42</v>
      </c>
      <c r="E54" s="23">
        <v>0.01</v>
      </c>
      <c r="F54" s="48">
        <v>5652.13</v>
      </c>
      <c r="G54" s="24">
        <v>231.4</v>
      </c>
    </row>
    <row r="55" spans="1:7" ht="15.75" hidden="1" customHeight="1">
      <c r="A55" s="57">
        <v>23</v>
      </c>
      <c r="B55" s="42" t="s">
        <v>41</v>
      </c>
      <c r="C55" s="56" t="s">
        <v>124</v>
      </c>
      <c r="D55" s="42" t="s">
        <v>76</v>
      </c>
      <c r="E55" s="23">
        <v>8</v>
      </c>
      <c r="F55" s="49">
        <v>65.67</v>
      </c>
      <c r="G55" s="16">
        <v>0</v>
      </c>
    </row>
    <row r="56" spans="1:7" ht="15.75" hidden="1" customHeight="1">
      <c r="A56" s="57">
        <v>24</v>
      </c>
      <c r="B56" s="44" t="s">
        <v>43</v>
      </c>
      <c r="C56" s="87"/>
      <c r="D56" s="42" t="s">
        <v>44</v>
      </c>
      <c r="E56" s="23">
        <v>16</v>
      </c>
      <c r="F56" s="45">
        <v>5750</v>
      </c>
      <c r="G56" s="16">
        <v>0</v>
      </c>
    </row>
    <row r="57" spans="1:7" ht="15.75" customHeight="1">
      <c r="A57" s="174" t="s">
        <v>172</v>
      </c>
      <c r="B57" s="175"/>
      <c r="C57" s="175"/>
      <c r="D57" s="175"/>
      <c r="E57" s="175"/>
      <c r="F57" s="175"/>
      <c r="G57" s="176"/>
    </row>
    <row r="58" spans="1:7" ht="15.75" customHeight="1">
      <c r="A58" s="70"/>
      <c r="B58" s="64" t="s">
        <v>45</v>
      </c>
      <c r="C58" s="20"/>
      <c r="D58" s="19"/>
      <c r="E58" s="19"/>
      <c r="F58" s="38"/>
      <c r="G58" s="23"/>
    </row>
    <row r="59" spans="1:7" ht="31.5" customHeight="1">
      <c r="A59" s="57">
        <v>16</v>
      </c>
      <c r="B59" s="42" t="s">
        <v>149</v>
      </c>
      <c r="C59" s="56" t="s">
        <v>100</v>
      </c>
      <c r="D59" s="42" t="s">
        <v>125</v>
      </c>
      <c r="E59" s="23">
        <v>0</v>
      </c>
      <c r="F59" s="48">
        <v>1547.28</v>
      </c>
      <c r="G59" s="24">
        <v>464.18</v>
      </c>
    </row>
    <row r="60" spans="1:7" ht="15.75" hidden="1" customHeight="1">
      <c r="A60" s="57"/>
      <c r="B60" s="97" t="s">
        <v>150</v>
      </c>
      <c r="C60" s="69" t="s">
        <v>151</v>
      </c>
      <c r="D60" s="97" t="s">
        <v>42</v>
      </c>
      <c r="E60" s="96"/>
      <c r="F60" s="48">
        <v>180.78</v>
      </c>
      <c r="G60" s="24"/>
    </row>
    <row r="61" spans="1:7" ht="15.75" hidden="1" customHeight="1">
      <c r="A61" s="57"/>
      <c r="B61" s="97" t="s">
        <v>152</v>
      </c>
      <c r="C61" s="69" t="s">
        <v>55</v>
      </c>
      <c r="D61" s="97" t="s">
        <v>40</v>
      </c>
      <c r="E61" s="96"/>
      <c r="F61" s="48">
        <v>1547.28</v>
      </c>
      <c r="G61" s="24"/>
    </row>
    <row r="62" spans="1:7" ht="15.75" customHeight="1">
      <c r="A62" s="57"/>
      <c r="B62" s="106" t="s">
        <v>46</v>
      </c>
      <c r="C62" s="125"/>
      <c r="D62" s="125"/>
      <c r="E62" s="125"/>
      <c r="F62" s="125"/>
      <c r="G62" s="47"/>
    </row>
    <row r="63" spans="1:7" ht="15.75" hidden="1" customHeight="1">
      <c r="A63" s="57">
        <v>27</v>
      </c>
      <c r="B63" s="121" t="s">
        <v>153</v>
      </c>
      <c r="C63" s="122" t="s">
        <v>55</v>
      </c>
      <c r="D63" s="121" t="s">
        <v>56</v>
      </c>
      <c r="E63" s="123">
        <v>0</v>
      </c>
      <c r="F63" s="124">
        <v>793.61</v>
      </c>
      <c r="G63" s="24">
        <f>E63/2</f>
        <v>0</v>
      </c>
    </row>
    <row r="64" spans="1:7" ht="15.75" customHeight="1">
      <c r="A64" s="57"/>
      <c r="B64" s="97" t="s">
        <v>154</v>
      </c>
      <c r="C64" s="69" t="s">
        <v>25</v>
      </c>
      <c r="D64" s="97" t="s">
        <v>30</v>
      </c>
      <c r="E64" s="23"/>
      <c r="F64" s="98">
        <v>2.6</v>
      </c>
      <c r="G64" s="24">
        <v>1024.4000000000001</v>
      </c>
    </row>
    <row r="65" spans="1:7" ht="15.75" customHeight="1">
      <c r="A65" s="57"/>
      <c r="B65" s="80" t="s">
        <v>47</v>
      </c>
      <c r="C65" s="20"/>
      <c r="D65" s="19"/>
      <c r="E65" s="19"/>
      <c r="F65" s="38"/>
      <c r="G65" s="23"/>
    </row>
    <row r="66" spans="1:7" ht="15.75" customHeight="1">
      <c r="A66" s="57">
        <v>17</v>
      </c>
      <c r="B66" s="90" t="s">
        <v>48</v>
      </c>
      <c r="C66" s="52" t="s">
        <v>124</v>
      </c>
      <c r="D66" s="51" t="s">
        <v>72</v>
      </c>
      <c r="E66" s="23">
        <v>0</v>
      </c>
      <c r="F66" s="48">
        <v>237.74</v>
      </c>
      <c r="G66" s="24">
        <v>444.8</v>
      </c>
    </row>
    <row r="67" spans="1:7" ht="15.75" hidden="1" customHeight="1">
      <c r="A67" s="38">
        <v>29</v>
      </c>
      <c r="B67" s="90" t="s">
        <v>49</v>
      </c>
      <c r="C67" s="52" t="s">
        <v>124</v>
      </c>
      <c r="D67" s="51" t="s">
        <v>72</v>
      </c>
      <c r="E67" s="23">
        <v>0</v>
      </c>
      <c r="F67" s="48">
        <v>81.510000000000005</v>
      </c>
      <c r="G67" s="24">
        <v>0</v>
      </c>
    </row>
    <row r="68" spans="1:7" ht="15.75" hidden="1" customHeight="1">
      <c r="A68" s="38">
        <v>8</v>
      </c>
      <c r="B68" s="90" t="s">
        <v>50</v>
      </c>
      <c r="C68" s="54" t="s">
        <v>126</v>
      </c>
      <c r="D68" s="51" t="s">
        <v>56</v>
      </c>
      <c r="E68" s="23">
        <v>13.47</v>
      </c>
      <c r="F68" s="48">
        <v>226.79</v>
      </c>
      <c r="G68" s="23">
        <v>0</v>
      </c>
    </row>
    <row r="69" spans="1:7" ht="15.75" hidden="1" customHeight="1">
      <c r="A69" s="38">
        <v>9</v>
      </c>
      <c r="B69" s="90" t="s">
        <v>51</v>
      </c>
      <c r="C69" s="52" t="s">
        <v>127</v>
      </c>
      <c r="D69" s="51"/>
      <c r="E69" s="23">
        <v>1.35</v>
      </c>
      <c r="F69" s="48">
        <v>176.61</v>
      </c>
      <c r="G69" s="23">
        <v>0</v>
      </c>
    </row>
    <row r="70" spans="1:7" ht="15.75" hidden="1" customHeight="1">
      <c r="A70" s="38">
        <v>10</v>
      </c>
      <c r="B70" s="90" t="s">
        <v>52</v>
      </c>
      <c r="C70" s="52" t="s">
        <v>83</v>
      </c>
      <c r="D70" s="51" t="s">
        <v>56</v>
      </c>
      <c r="E70" s="23">
        <v>0</v>
      </c>
      <c r="F70" s="48">
        <v>2217.7800000000002</v>
      </c>
      <c r="G70" s="23">
        <v>0</v>
      </c>
    </row>
    <row r="71" spans="1:7" ht="15.75" hidden="1" customHeight="1">
      <c r="A71" s="38">
        <v>11</v>
      </c>
      <c r="B71" s="71" t="s">
        <v>128</v>
      </c>
      <c r="C71" s="52" t="s">
        <v>33</v>
      </c>
      <c r="D71" s="51"/>
      <c r="E71" s="15">
        <v>0</v>
      </c>
      <c r="F71" s="48">
        <v>42.67</v>
      </c>
      <c r="G71" s="23">
        <v>0</v>
      </c>
    </row>
    <row r="72" spans="1:7" ht="15.75" hidden="1" customHeight="1">
      <c r="A72" s="38">
        <v>12</v>
      </c>
      <c r="B72" s="71" t="s">
        <v>129</v>
      </c>
      <c r="C72" s="52" t="s">
        <v>33</v>
      </c>
      <c r="D72" s="51"/>
      <c r="E72" s="15"/>
      <c r="F72" s="48">
        <v>39.81</v>
      </c>
      <c r="G72" s="23">
        <v>0</v>
      </c>
    </row>
    <row r="73" spans="1:7" ht="15.75" hidden="1" customHeight="1">
      <c r="A73" s="38">
        <v>13</v>
      </c>
      <c r="B73" s="51" t="s">
        <v>61</v>
      </c>
      <c r="C73" s="52" t="s">
        <v>62</v>
      </c>
      <c r="D73" s="51" t="s">
        <v>56</v>
      </c>
      <c r="E73" s="15"/>
      <c r="F73" s="48">
        <v>53.32</v>
      </c>
      <c r="G73" s="23">
        <v>0</v>
      </c>
    </row>
    <row r="74" spans="1:7" ht="15.75" hidden="1" customHeight="1">
      <c r="A74" s="70"/>
      <c r="B74" s="183" t="s">
        <v>108</v>
      </c>
      <c r="C74" s="184"/>
      <c r="D74" s="184"/>
      <c r="E74" s="184"/>
      <c r="F74" s="185"/>
      <c r="G74" s="23"/>
    </row>
    <row r="75" spans="1:7" ht="15.75" hidden="1" customHeight="1">
      <c r="A75" s="38">
        <v>36</v>
      </c>
      <c r="B75" s="42" t="s">
        <v>130</v>
      </c>
      <c r="C75" s="91"/>
      <c r="D75" s="51" t="s">
        <v>56</v>
      </c>
      <c r="E75" s="23">
        <v>0</v>
      </c>
      <c r="F75" s="50">
        <v>23072.1</v>
      </c>
      <c r="G75" s="23">
        <v>0</v>
      </c>
    </row>
    <row r="76" spans="1:7" ht="15.75" hidden="1" customHeight="1">
      <c r="A76" s="38"/>
      <c r="B76" s="65" t="s">
        <v>77</v>
      </c>
      <c r="C76" s="65"/>
      <c r="D76" s="65"/>
      <c r="E76" s="23"/>
      <c r="F76" s="38"/>
      <c r="G76" s="23"/>
    </row>
    <row r="77" spans="1:7" ht="15.75" hidden="1" customHeight="1">
      <c r="A77" s="38">
        <v>17</v>
      </c>
      <c r="B77" s="51" t="s">
        <v>78</v>
      </c>
      <c r="C77" s="52" t="s">
        <v>80</v>
      </c>
      <c r="D77" s="51" t="s">
        <v>72</v>
      </c>
      <c r="E77" s="23"/>
      <c r="F77" s="48">
        <v>501.62</v>
      </c>
      <c r="G77" s="23">
        <v>0</v>
      </c>
    </row>
    <row r="78" spans="1:7" ht="15.75" hidden="1" customHeight="1">
      <c r="A78" s="38"/>
      <c r="B78" s="51" t="s">
        <v>79</v>
      </c>
      <c r="C78" s="52" t="s">
        <v>31</v>
      </c>
      <c r="D78" s="51" t="s">
        <v>72</v>
      </c>
      <c r="E78" s="23"/>
      <c r="F78" s="48">
        <v>852.99</v>
      </c>
      <c r="G78" s="23">
        <v>0</v>
      </c>
    </row>
    <row r="79" spans="1:7" ht="15.75" hidden="1" customHeight="1">
      <c r="A79" s="38">
        <v>38</v>
      </c>
      <c r="B79" s="51" t="s">
        <v>131</v>
      </c>
      <c r="C79" s="52" t="s">
        <v>31</v>
      </c>
      <c r="D79" s="51" t="s">
        <v>72</v>
      </c>
      <c r="E79" s="23"/>
      <c r="F79" s="48">
        <v>358.51</v>
      </c>
      <c r="G79" s="23">
        <v>0</v>
      </c>
    </row>
    <row r="80" spans="1:7" ht="15.75" hidden="1" customHeight="1">
      <c r="A80" s="38"/>
      <c r="B80" s="66" t="s">
        <v>81</v>
      </c>
      <c r="C80" s="52"/>
      <c r="D80" s="38"/>
      <c r="E80" s="23"/>
      <c r="F80" s="48"/>
      <c r="G80" s="23"/>
    </row>
    <row r="81" spans="1:7" ht="15.75" hidden="1" customHeight="1">
      <c r="A81" s="38">
        <v>39</v>
      </c>
      <c r="B81" s="53" t="s">
        <v>82</v>
      </c>
      <c r="C81" s="54" t="s">
        <v>83</v>
      </c>
      <c r="D81" s="90"/>
      <c r="E81" s="23"/>
      <c r="F81" s="49">
        <v>2759.44</v>
      </c>
      <c r="G81" s="23">
        <v>0</v>
      </c>
    </row>
    <row r="82" spans="1:7" ht="15.75" customHeight="1">
      <c r="A82" s="167" t="s">
        <v>171</v>
      </c>
      <c r="B82" s="168"/>
      <c r="C82" s="168"/>
      <c r="D82" s="168"/>
      <c r="E82" s="168"/>
      <c r="F82" s="168"/>
      <c r="G82" s="169"/>
    </row>
    <row r="83" spans="1:7" ht="15.75" customHeight="1">
      <c r="A83" s="38">
        <v>18</v>
      </c>
      <c r="B83" s="42" t="s">
        <v>132</v>
      </c>
      <c r="C83" s="52" t="s">
        <v>58</v>
      </c>
      <c r="D83" s="92" t="s">
        <v>59</v>
      </c>
      <c r="E83" s="19">
        <v>327.9</v>
      </c>
      <c r="F83" s="48">
        <v>2.1</v>
      </c>
      <c r="G83" s="16">
        <v>14658.63</v>
      </c>
    </row>
    <row r="84" spans="1:7" ht="31.5" customHeight="1">
      <c r="A84" s="38">
        <v>19</v>
      </c>
      <c r="B84" s="51" t="s">
        <v>84</v>
      </c>
      <c r="C84" s="52"/>
      <c r="D84" s="92" t="s">
        <v>59</v>
      </c>
      <c r="E84" s="19"/>
      <c r="F84" s="48">
        <v>1.63</v>
      </c>
      <c r="G84" s="16">
        <v>11377.89</v>
      </c>
    </row>
    <row r="85" spans="1:7" ht="15.75" customHeight="1">
      <c r="A85" s="70"/>
      <c r="B85" s="55" t="s">
        <v>88</v>
      </c>
      <c r="C85" s="57"/>
      <c r="D85" s="19"/>
      <c r="E85" s="19"/>
      <c r="F85" s="23"/>
      <c r="G85" s="40">
        <f>SUM(G16+G17+G18+G20+G21+G24+G25+G26+G27+G38+G39+G40+G42+G43+G44+G45+G59+G64+G66+G83+G84)</f>
        <v>102204.72999999998</v>
      </c>
    </row>
    <row r="86" spans="1:7" ht="15.75" customHeight="1">
      <c r="A86" s="70"/>
      <c r="B86" s="88" t="s">
        <v>64</v>
      </c>
      <c r="C86" s="88"/>
      <c r="D86" s="88"/>
      <c r="E86" s="88"/>
      <c r="F86" s="88"/>
      <c r="G86" s="88"/>
    </row>
    <row r="87" spans="1:7" ht="15.75" customHeight="1">
      <c r="A87" s="38">
        <v>20</v>
      </c>
      <c r="B87" s="99" t="s">
        <v>165</v>
      </c>
      <c r="C87" s="100" t="s">
        <v>161</v>
      </c>
      <c r="D87" s="88"/>
      <c r="E87" s="88"/>
      <c r="F87" s="38">
        <v>1063.47</v>
      </c>
      <c r="G87" s="38">
        <v>1063.47</v>
      </c>
    </row>
    <row r="88" spans="1:7" ht="31.5" customHeight="1">
      <c r="A88" s="38">
        <v>21</v>
      </c>
      <c r="B88" s="109" t="s">
        <v>166</v>
      </c>
      <c r="C88" s="38" t="s">
        <v>167</v>
      </c>
      <c r="D88" s="88"/>
      <c r="E88" s="88"/>
      <c r="F88" s="93">
        <v>1835.8</v>
      </c>
      <c r="G88" s="93">
        <v>1835.8</v>
      </c>
    </row>
    <row r="89" spans="1:7" ht="15.75" customHeight="1">
      <c r="A89" s="38">
        <v>22</v>
      </c>
      <c r="B89" s="89" t="s">
        <v>155</v>
      </c>
      <c r="C89" s="95" t="s">
        <v>124</v>
      </c>
      <c r="D89" s="88"/>
      <c r="E89" s="19"/>
      <c r="F89" s="48">
        <v>50.68</v>
      </c>
      <c r="G89" s="16">
        <v>6081.6</v>
      </c>
    </row>
    <row r="90" spans="1:7" ht="15.75" customHeight="1">
      <c r="A90" s="38">
        <v>23</v>
      </c>
      <c r="B90" s="89" t="s">
        <v>90</v>
      </c>
      <c r="C90" s="101" t="s">
        <v>124</v>
      </c>
      <c r="D90" s="88"/>
      <c r="E90" s="19"/>
      <c r="F90" s="48">
        <v>180.15</v>
      </c>
      <c r="G90" s="16">
        <v>360.3</v>
      </c>
    </row>
    <row r="91" spans="1:7" ht="31.5" customHeight="1">
      <c r="A91" s="38">
        <v>24</v>
      </c>
      <c r="B91" s="89" t="s">
        <v>87</v>
      </c>
      <c r="C91" s="101" t="s">
        <v>124</v>
      </c>
      <c r="D91" s="88"/>
      <c r="E91" s="19"/>
      <c r="F91" s="16">
        <v>79.09</v>
      </c>
      <c r="G91" s="16">
        <v>79.09</v>
      </c>
    </row>
    <row r="92" spans="1:7" ht="31.5" customHeight="1">
      <c r="A92" s="38">
        <v>25</v>
      </c>
      <c r="B92" s="89" t="s">
        <v>156</v>
      </c>
      <c r="C92" s="110" t="s">
        <v>37</v>
      </c>
      <c r="D92" s="88"/>
      <c r="E92" s="19"/>
      <c r="F92" s="49">
        <v>3397.65</v>
      </c>
      <c r="G92" s="16">
        <v>33.979999999999997</v>
      </c>
    </row>
    <row r="93" spans="1:7" ht="15.75" customHeight="1">
      <c r="A93" s="38">
        <v>26</v>
      </c>
      <c r="B93" s="111" t="s">
        <v>94</v>
      </c>
      <c r="C93" s="101" t="s">
        <v>124</v>
      </c>
      <c r="D93" s="88"/>
      <c r="E93" s="19"/>
      <c r="F93" s="48">
        <v>179.96</v>
      </c>
      <c r="G93" s="16">
        <v>179.96</v>
      </c>
    </row>
    <row r="94" spans="1:7" ht="15.75" customHeight="1">
      <c r="A94" s="114">
        <v>27</v>
      </c>
      <c r="B94" s="112" t="s">
        <v>157</v>
      </c>
      <c r="C94" s="113" t="s">
        <v>80</v>
      </c>
      <c r="D94" s="88"/>
      <c r="E94" s="19"/>
      <c r="F94" s="16">
        <v>3800</v>
      </c>
      <c r="G94" s="16">
        <v>760</v>
      </c>
    </row>
    <row r="95" spans="1:7" ht="15.75" customHeight="1">
      <c r="A95" s="38"/>
      <c r="B95" s="62" t="s">
        <v>53</v>
      </c>
      <c r="C95" s="58"/>
      <c r="D95" s="72"/>
      <c r="E95" s="58">
        <v>1</v>
      </c>
      <c r="F95" s="58"/>
      <c r="G95" s="40">
        <f>SUM(G87:G94)</f>
        <v>10394.199999999999</v>
      </c>
    </row>
    <row r="96" spans="1:7" ht="15.75" customHeight="1">
      <c r="A96" s="38"/>
      <c r="B96" s="68" t="s">
        <v>85</v>
      </c>
      <c r="C96" s="19"/>
      <c r="D96" s="19"/>
      <c r="E96" s="59"/>
      <c r="F96" s="60"/>
      <c r="G96" s="22">
        <v>0</v>
      </c>
    </row>
    <row r="97" spans="1:7" ht="15.75" customHeight="1">
      <c r="A97" s="73"/>
      <c r="B97" s="63" t="s">
        <v>54</v>
      </c>
      <c r="C97" s="46"/>
      <c r="D97" s="46"/>
      <c r="E97" s="46"/>
      <c r="F97" s="46"/>
      <c r="G97" s="61">
        <f>G85+G95</f>
        <v>112598.92999999998</v>
      </c>
    </row>
    <row r="98" spans="1:7" ht="15.75">
      <c r="A98" s="170" t="s">
        <v>168</v>
      </c>
      <c r="B98" s="170"/>
      <c r="C98" s="170"/>
      <c r="D98" s="170"/>
      <c r="E98" s="170"/>
      <c r="F98" s="170"/>
      <c r="G98" s="170"/>
    </row>
    <row r="99" spans="1:7" ht="15.75">
      <c r="A99" s="79"/>
      <c r="B99" s="171" t="s">
        <v>169</v>
      </c>
      <c r="C99" s="171"/>
      <c r="D99" s="171"/>
      <c r="E99" s="171"/>
      <c r="F99" s="171"/>
      <c r="G99" s="3"/>
    </row>
    <row r="100" spans="1:7">
      <c r="A100" s="76"/>
      <c r="B100" s="164" t="s">
        <v>6</v>
      </c>
      <c r="C100" s="164"/>
      <c r="D100" s="164"/>
      <c r="E100" s="164"/>
      <c r="F100" s="164"/>
      <c r="G100" s="5"/>
    </row>
    <row r="101" spans="1:7">
      <c r="A101" s="10"/>
      <c r="B101" s="10"/>
      <c r="C101" s="10"/>
      <c r="D101" s="10"/>
      <c r="E101" s="10"/>
      <c r="F101" s="10"/>
      <c r="G101" s="10"/>
    </row>
    <row r="102" spans="1:7" ht="15.75">
      <c r="A102" s="172" t="s">
        <v>7</v>
      </c>
      <c r="B102" s="172"/>
      <c r="C102" s="172"/>
      <c r="D102" s="172"/>
      <c r="E102" s="172"/>
      <c r="F102" s="172"/>
      <c r="G102" s="172"/>
    </row>
    <row r="103" spans="1:7" ht="15.75">
      <c r="A103" s="172" t="s">
        <v>8</v>
      </c>
      <c r="B103" s="172"/>
      <c r="C103" s="172"/>
      <c r="D103" s="172"/>
      <c r="E103" s="172"/>
      <c r="F103" s="172"/>
      <c r="G103" s="172"/>
    </row>
    <row r="104" spans="1:7" ht="15.75">
      <c r="A104" s="161" t="s">
        <v>65</v>
      </c>
      <c r="B104" s="161"/>
      <c r="C104" s="161"/>
      <c r="D104" s="161"/>
      <c r="E104" s="161"/>
      <c r="F104" s="161"/>
      <c r="G104" s="161"/>
    </row>
    <row r="105" spans="1:7" ht="15.75">
      <c r="A105" s="11"/>
    </row>
    <row r="106" spans="1:7" ht="15.75">
      <c r="A106" s="162" t="s">
        <v>9</v>
      </c>
      <c r="B106" s="162"/>
      <c r="C106" s="162"/>
      <c r="D106" s="162"/>
      <c r="E106" s="162"/>
      <c r="F106" s="162"/>
      <c r="G106" s="162"/>
    </row>
    <row r="107" spans="1:7" ht="15.75">
      <c r="A107" s="4"/>
    </row>
    <row r="108" spans="1:7" ht="15.75">
      <c r="B108" s="74" t="s">
        <v>10</v>
      </c>
      <c r="C108" s="163" t="s">
        <v>170</v>
      </c>
      <c r="D108" s="163"/>
      <c r="E108" s="163"/>
      <c r="G108" s="77"/>
    </row>
    <row r="109" spans="1:7">
      <c r="A109" s="76"/>
      <c r="C109" s="164" t="s">
        <v>11</v>
      </c>
      <c r="D109" s="164"/>
      <c r="E109" s="164"/>
      <c r="G109" s="75" t="s">
        <v>12</v>
      </c>
    </row>
    <row r="110" spans="1:7" ht="15.75">
      <c r="A110" s="34"/>
      <c r="C110" s="12"/>
      <c r="D110" s="12"/>
      <c r="F110" s="12"/>
    </row>
    <row r="111" spans="1:7" ht="15.75">
      <c r="B111" s="74" t="s">
        <v>13</v>
      </c>
      <c r="C111" s="165"/>
      <c r="D111" s="165"/>
      <c r="E111" s="165"/>
      <c r="G111" s="77"/>
    </row>
    <row r="112" spans="1:7">
      <c r="A112" s="76"/>
      <c r="C112" s="166" t="s">
        <v>11</v>
      </c>
      <c r="D112" s="166"/>
      <c r="E112" s="166"/>
      <c r="G112" s="75" t="s">
        <v>12</v>
      </c>
    </row>
    <row r="113" spans="1:7" ht="15.75">
      <c r="A113" s="4" t="s">
        <v>14</v>
      </c>
    </row>
    <row r="114" spans="1:7">
      <c r="A114" s="159" t="s">
        <v>15</v>
      </c>
      <c r="B114" s="159"/>
      <c r="C114" s="159"/>
      <c r="D114" s="159"/>
      <c r="E114" s="159"/>
      <c r="F114" s="159"/>
      <c r="G114" s="159"/>
    </row>
    <row r="115" spans="1:7" ht="45" customHeight="1">
      <c r="A115" s="160" t="s">
        <v>16</v>
      </c>
      <c r="B115" s="160"/>
      <c r="C115" s="160"/>
      <c r="D115" s="160"/>
      <c r="E115" s="160"/>
      <c r="F115" s="160"/>
      <c r="G115" s="160"/>
    </row>
    <row r="116" spans="1:7" ht="30" customHeight="1">
      <c r="A116" s="160" t="s">
        <v>17</v>
      </c>
      <c r="B116" s="160"/>
      <c r="C116" s="160"/>
      <c r="D116" s="160"/>
      <c r="E116" s="160"/>
      <c r="F116" s="160"/>
      <c r="G116" s="160"/>
    </row>
    <row r="117" spans="1:7" ht="30" customHeight="1">
      <c r="A117" s="160" t="s">
        <v>21</v>
      </c>
      <c r="B117" s="160"/>
      <c r="C117" s="160"/>
      <c r="D117" s="160"/>
      <c r="E117" s="160"/>
      <c r="F117" s="160"/>
      <c r="G117" s="160"/>
    </row>
    <row r="118" spans="1:7" ht="15" customHeight="1">
      <c r="A118" s="160" t="s">
        <v>20</v>
      </c>
      <c r="B118" s="160"/>
      <c r="C118" s="160"/>
      <c r="D118" s="160"/>
      <c r="E118" s="160"/>
      <c r="F118" s="160"/>
      <c r="G118" s="160"/>
    </row>
  </sheetData>
  <mergeCells count="28">
    <mergeCell ref="A14:G14"/>
    <mergeCell ref="A3:G3"/>
    <mergeCell ref="A4:G4"/>
    <mergeCell ref="A5:G5"/>
    <mergeCell ref="A8:G8"/>
    <mergeCell ref="A10:G10"/>
    <mergeCell ref="A104:G104"/>
    <mergeCell ref="A15:G15"/>
    <mergeCell ref="A28:G28"/>
    <mergeCell ref="A46:G46"/>
    <mergeCell ref="A57:G57"/>
    <mergeCell ref="B74:F74"/>
    <mergeCell ref="A98:G98"/>
    <mergeCell ref="B99:F99"/>
    <mergeCell ref="B100:F100"/>
    <mergeCell ref="A102:G102"/>
    <mergeCell ref="A103:G103"/>
    <mergeCell ref="A82:G82"/>
    <mergeCell ref="A115:G115"/>
    <mergeCell ref="A116:G116"/>
    <mergeCell ref="A117:G117"/>
    <mergeCell ref="A118:G118"/>
    <mergeCell ref="A106:G106"/>
    <mergeCell ref="C108:E108"/>
    <mergeCell ref="C109:E109"/>
    <mergeCell ref="C111:E111"/>
    <mergeCell ref="C112:E112"/>
    <mergeCell ref="A114:G114"/>
  </mergeCells>
  <pageMargins left="0.70866141732283472" right="0.70866141732283472" top="0.27559055118110237" bottom="0.27559055118110237" header="0.31496062992125984" footer="0.31496062992125984"/>
  <pageSetup paperSize="9" scale="60" orientation="portrait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T114"/>
  <sheetViews>
    <sheetView workbookViewId="0">
      <selection activeCell="A3" sqref="A3:G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85546875" hidden="1" customWidth="1"/>
    <col min="6" max="7" width="22.5703125" customWidth="1"/>
    <col min="8" max="8" width="11.140625" customWidth="1"/>
  </cols>
  <sheetData>
    <row r="1" spans="1:11" ht="15.75" customHeight="1">
      <c r="A1" s="36" t="s">
        <v>96</v>
      </c>
      <c r="G1" s="35"/>
      <c r="H1" s="1"/>
      <c r="I1" s="1"/>
      <c r="J1" s="1"/>
      <c r="K1" s="1"/>
    </row>
    <row r="2" spans="1:11" ht="15.75">
      <c r="A2" s="37" t="s">
        <v>67</v>
      </c>
      <c r="H2" s="2"/>
      <c r="I2" s="2"/>
      <c r="J2" s="2"/>
      <c r="K2" s="2"/>
    </row>
    <row r="3" spans="1:11" ht="15.75" customHeight="1">
      <c r="A3" s="177" t="s">
        <v>133</v>
      </c>
      <c r="B3" s="177"/>
      <c r="C3" s="177"/>
      <c r="D3" s="177"/>
      <c r="E3" s="177"/>
      <c r="F3" s="177"/>
      <c r="G3" s="177"/>
      <c r="H3" s="3"/>
      <c r="I3" s="3"/>
      <c r="J3" s="3"/>
    </row>
    <row r="4" spans="1:11" ht="31.5" customHeight="1">
      <c r="A4" s="178" t="s">
        <v>159</v>
      </c>
      <c r="B4" s="178"/>
      <c r="C4" s="178"/>
      <c r="D4" s="178"/>
      <c r="E4" s="178"/>
      <c r="F4" s="178"/>
      <c r="G4" s="178"/>
    </row>
    <row r="5" spans="1:11" ht="15.75">
      <c r="A5" s="177" t="s">
        <v>134</v>
      </c>
      <c r="B5" s="179"/>
      <c r="C5" s="179"/>
      <c r="D5" s="179"/>
      <c r="E5" s="179"/>
      <c r="F5" s="179"/>
      <c r="G5" s="179"/>
      <c r="H5" s="2"/>
      <c r="I5" s="2"/>
      <c r="J5" s="2"/>
      <c r="K5" s="2"/>
    </row>
    <row r="6" spans="1:11" ht="15.75">
      <c r="A6" s="2"/>
      <c r="B6" s="78"/>
      <c r="C6" s="78"/>
      <c r="D6" s="78"/>
      <c r="E6" s="78"/>
      <c r="F6" s="78"/>
      <c r="G6" s="39">
        <v>42735</v>
      </c>
      <c r="H6" s="2"/>
      <c r="I6" s="2"/>
      <c r="J6" s="2"/>
      <c r="K6" s="2"/>
    </row>
    <row r="7" spans="1:11" ht="15.75">
      <c r="B7" s="74"/>
      <c r="C7" s="74"/>
      <c r="D7" s="74"/>
      <c r="E7" s="3"/>
      <c r="F7" s="3"/>
      <c r="H7" s="3"/>
      <c r="I7" s="3"/>
      <c r="J7" s="3"/>
      <c r="K7" s="3"/>
    </row>
    <row r="8" spans="1:11" ht="87" customHeight="1">
      <c r="A8" s="180" t="s">
        <v>174</v>
      </c>
      <c r="B8" s="180"/>
      <c r="C8" s="180"/>
      <c r="D8" s="180"/>
      <c r="E8" s="180"/>
      <c r="F8" s="180"/>
      <c r="G8" s="180"/>
      <c r="H8" s="5"/>
      <c r="I8" s="5"/>
      <c r="J8" s="5"/>
      <c r="K8" s="5"/>
    </row>
    <row r="9" spans="1:11" ht="15.75">
      <c r="A9" s="4"/>
      <c r="H9" s="2"/>
      <c r="I9" s="2"/>
      <c r="J9" s="2"/>
      <c r="K9" s="2"/>
    </row>
    <row r="10" spans="1:11" ht="55.5" customHeight="1">
      <c r="A10" s="181" t="s">
        <v>173</v>
      </c>
      <c r="B10" s="181"/>
      <c r="C10" s="181"/>
      <c r="D10" s="181"/>
      <c r="E10" s="181"/>
      <c r="F10" s="181"/>
      <c r="G10" s="181"/>
      <c r="H10" s="2"/>
      <c r="I10" s="2"/>
      <c r="J10" s="2"/>
      <c r="K10" s="2"/>
    </row>
    <row r="11" spans="1:11" ht="15.75">
      <c r="A11" s="4"/>
    </row>
    <row r="12" spans="1:11" ht="4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 t="s">
        <v>22</v>
      </c>
      <c r="G12" s="6" t="s">
        <v>3</v>
      </c>
    </row>
    <row r="13" spans="1:11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>
        <v>5</v>
      </c>
      <c r="G13" s="7">
        <v>6</v>
      </c>
      <c r="H13" s="8"/>
      <c r="I13" s="8"/>
      <c r="J13" s="8"/>
      <c r="K13" s="8"/>
    </row>
    <row r="14" spans="1:11" ht="15" customHeight="1">
      <c r="A14" s="182" t="s">
        <v>63</v>
      </c>
      <c r="B14" s="182"/>
      <c r="C14" s="182"/>
      <c r="D14" s="182"/>
      <c r="E14" s="182"/>
      <c r="F14" s="182"/>
      <c r="G14" s="182"/>
      <c r="H14" s="8"/>
      <c r="I14" s="8"/>
      <c r="J14" s="8"/>
      <c r="K14" s="8"/>
    </row>
    <row r="15" spans="1:11" ht="15" customHeight="1">
      <c r="A15" s="173" t="s">
        <v>4</v>
      </c>
      <c r="B15" s="173"/>
      <c r="C15" s="173"/>
      <c r="D15" s="173"/>
      <c r="E15" s="173"/>
      <c r="F15" s="173"/>
      <c r="G15" s="173"/>
      <c r="H15" s="8"/>
      <c r="I15" s="8"/>
      <c r="J15" s="8"/>
      <c r="K15" s="8"/>
    </row>
    <row r="16" spans="1:11" ht="30">
      <c r="A16" s="38">
        <v>1</v>
      </c>
      <c r="B16" s="42" t="s">
        <v>99</v>
      </c>
      <c r="C16" s="56" t="s">
        <v>100</v>
      </c>
      <c r="D16" s="42" t="s">
        <v>101</v>
      </c>
      <c r="E16" s="38"/>
      <c r="F16" s="41">
        <v>175.38</v>
      </c>
      <c r="G16" s="93">
        <v>4744.1000000000004</v>
      </c>
      <c r="H16" s="30"/>
      <c r="I16" s="8"/>
      <c r="J16" s="8"/>
      <c r="K16" s="8"/>
    </row>
    <row r="17" spans="1:11" ht="31.5" customHeight="1">
      <c r="A17" s="38">
        <v>2</v>
      </c>
      <c r="B17" s="42" t="s">
        <v>135</v>
      </c>
      <c r="C17" s="56" t="s">
        <v>100</v>
      </c>
      <c r="D17" s="42" t="s">
        <v>102</v>
      </c>
      <c r="E17" s="38"/>
      <c r="F17" s="41">
        <v>175.38</v>
      </c>
      <c r="G17" s="93">
        <v>12650.93</v>
      </c>
      <c r="H17" s="31"/>
      <c r="I17" s="8"/>
      <c r="J17" s="8"/>
      <c r="K17" s="8"/>
    </row>
    <row r="18" spans="1:11" ht="31.5" customHeight="1">
      <c r="A18" s="38">
        <v>3</v>
      </c>
      <c r="B18" s="42" t="s">
        <v>136</v>
      </c>
      <c r="C18" s="56" t="s">
        <v>100</v>
      </c>
      <c r="D18" s="42" t="s">
        <v>137</v>
      </c>
      <c r="E18" s="38"/>
      <c r="F18" s="41">
        <v>504.5</v>
      </c>
      <c r="G18" s="93">
        <v>10497.64</v>
      </c>
      <c r="H18" s="31"/>
      <c r="I18" s="8"/>
      <c r="J18" s="8"/>
      <c r="K18" s="8"/>
    </row>
    <row r="19" spans="1:11" ht="15.75" hidden="1" customHeight="1">
      <c r="A19" s="38"/>
      <c r="B19" s="42" t="s">
        <v>109</v>
      </c>
      <c r="C19" s="56" t="s">
        <v>110</v>
      </c>
      <c r="D19" s="42" t="s">
        <v>111</v>
      </c>
      <c r="E19" s="38"/>
      <c r="F19" s="41">
        <v>170.16</v>
      </c>
      <c r="G19" s="93">
        <v>0</v>
      </c>
      <c r="H19" s="31"/>
      <c r="I19" s="8"/>
      <c r="J19" s="8"/>
      <c r="K19" s="8"/>
    </row>
    <row r="20" spans="1:11" ht="15.75" customHeight="1">
      <c r="A20" s="38">
        <v>4</v>
      </c>
      <c r="B20" s="42" t="s">
        <v>112</v>
      </c>
      <c r="C20" s="56" t="s">
        <v>100</v>
      </c>
      <c r="D20" s="42" t="s">
        <v>138</v>
      </c>
      <c r="E20" s="38"/>
      <c r="F20" s="41">
        <v>217.88</v>
      </c>
      <c r="G20" s="93">
        <v>66.67</v>
      </c>
      <c r="H20" s="31"/>
      <c r="I20" s="8"/>
      <c r="J20" s="8"/>
      <c r="K20" s="8"/>
    </row>
    <row r="21" spans="1:11" ht="15.75" customHeight="1">
      <c r="A21" s="38">
        <v>5</v>
      </c>
      <c r="B21" s="42" t="s">
        <v>113</v>
      </c>
      <c r="C21" s="56" t="s">
        <v>100</v>
      </c>
      <c r="D21" s="42" t="s">
        <v>30</v>
      </c>
      <c r="E21" s="38"/>
      <c r="F21" s="41">
        <v>216.12</v>
      </c>
      <c r="G21" s="93">
        <v>21.74</v>
      </c>
      <c r="H21" s="31"/>
      <c r="I21" s="8"/>
      <c r="J21" s="8"/>
      <c r="K21" s="8"/>
    </row>
    <row r="22" spans="1:11" ht="15.75" hidden="1" customHeight="1">
      <c r="A22" s="38"/>
      <c r="B22" s="42" t="s">
        <v>114</v>
      </c>
      <c r="C22" s="56" t="s">
        <v>55</v>
      </c>
      <c r="D22" s="42" t="s">
        <v>111</v>
      </c>
      <c r="E22" s="38"/>
      <c r="F22" s="41">
        <v>269.26</v>
      </c>
      <c r="G22" s="93">
        <v>0</v>
      </c>
      <c r="H22" s="31"/>
      <c r="I22" s="8"/>
      <c r="J22" s="8"/>
      <c r="K22" s="8"/>
    </row>
    <row r="23" spans="1:11" ht="15.75" hidden="1" customHeight="1">
      <c r="A23" s="38"/>
      <c r="B23" s="42" t="s">
        <v>115</v>
      </c>
      <c r="C23" s="56" t="s">
        <v>55</v>
      </c>
      <c r="D23" s="42" t="s">
        <v>111</v>
      </c>
      <c r="E23" s="38"/>
      <c r="F23" s="41">
        <v>44.29</v>
      </c>
      <c r="G23" s="93">
        <v>0</v>
      </c>
      <c r="H23" s="31"/>
      <c r="I23" s="8"/>
      <c r="J23" s="8"/>
      <c r="K23" s="8"/>
    </row>
    <row r="24" spans="1:11" ht="15.75" customHeight="1">
      <c r="A24" s="38">
        <v>6</v>
      </c>
      <c r="B24" s="42" t="s">
        <v>116</v>
      </c>
      <c r="C24" s="56" t="s">
        <v>55</v>
      </c>
      <c r="D24" s="42" t="s">
        <v>30</v>
      </c>
      <c r="E24" s="38"/>
      <c r="F24" s="41">
        <v>389.72</v>
      </c>
      <c r="G24" s="93">
        <v>42.09</v>
      </c>
      <c r="H24" s="31"/>
      <c r="I24" s="8"/>
      <c r="J24" s="8"/>
      <c r="K24" s="8"/>
    </row>
    <row r="25" spans="1:11" ht="15.75" customHeight="1">
      <c r="A25" s="38">
        <v>7</v>
      </c>
      <c r="B25" s="42" t="s">
        <v>117</v>
      </c>
      <c r="C25" s="56" t="s">
        <v>55</v>
      </c>
      <c r="D25" s="42" t="s">
        <v>139</v>
      </c>
      <c r="E25" s="38"/>
      <c r="F25" s="41">
        <v>520.79999999999995</v>
      </c>
      <c r="G25" s="93">
        <v>112.49</v>
      </c>
      <c r="H25" s="31"/>
      <c r="I25" s="8"/>
      <c r="J25" s="8"/>
      <c r="K25" s="8"/>
    </row>
    <row r="26" spans="1:11" ht="15.75" customHeight="1">
      <c r="A26" s="57">
        <v>8</v>
      </c>
      <c r="B26" s="42" t="s">
        <v>69</v>
      </c>
      <c r="C26" s="56" t="s">
        <v>33</v>
      </c>
      <c r="D26" s="42" t="s">
        <v>140</v>
      </c>
      <c r="E26" s="22">
        <v>506.1</v>
      </c>
      <c r="F26" s="41">
        <v>147.03</v>
      </c>
      <c r="G26" s="93">
        <v>447.22</v>
      </c>
      <c r="H26" s="31"/>
      <c r="I26" s="8"/>
      <c r="J26" s="8"/>
      <c r="K26" s="8"/>
    </row>
    <row r="27" spans="1:11" ht="16.5" customHeight="1">
      <c r="A27" s="57">
        <v>9</v>
      </c>
      <c r="B27" s="13" t="s">
        <v>23</v>
      </c>
      <c r="C27" s="14" t="s">
        <v>24</v>
      </c>
      <c r="D27" s="38"/>
      <c r="E27" s="22">
        <v>506.1</v>
      </c>
      <c r="F27" s="41">
        <v>4.4000000000000004</v>
      </c>
      <c r="G27" s="93">
        <v>30713.32</v>
      </c>
      <c r="H27" s="31"/>
      <c r="I27" s="8"/>
      <c r="J27" s="8"/>
      <c r="K27" s="8"/>
    </row>
    <row r="28" spans="1:11" ht="15" customHeight="1">
      <c r="A28" s="173" t="s">
        <v>95</v>
      </c>
      <c r="B28" s="173"/>
      <c r="C28" s="173"/>
      <c r="D28" s="173"/>
      <c r="E28" s="173"/>
      <c r="F28" s="173"/>
      <c r="G28" s="173"/>
      <c r="H28" s="31"/>
      <c r="I28" s="8"/>
      <c r="J28" s="8"/>
      <c r="K28" s="8"/>
    </row>
    <row r="29" spans="1:11" ht="15" hidden="1" customHeight="1">
      <c r="A29" s="57"/>
      <c r="B29" s="67" t="s">
        <v>28</v>
      </c>
      <c r="C29" s="67"/>
      <c r="D29" s="67"/>
      <c r="E29" s="67"/>
      <c r="F29" s="67"/>
      <c r="G29" s="23"/>
      <c r="H29" s="31"/>
      <c r="I29" s="8"/>
      <c r="J29" s="8"/>
      <c r="K29" s="8"/>
    </row>
    <row r="30" spans="1:11" ht="13.5" hidden="1" customHeight="1">
      <c r="A30" s="57">
        <v>2</v>
      </c>
      <c r="B30" s="42" t="s">
        <v>121</v>
      </c>
      <c r="C30" s="56" t="s">
        <v>104</v>
      </c>
      <c r="D30" s="42" t="s">
        <v>118</v>
      </c>
      <c r="E30" s="17">
        <v>2.31</v>
      </c>
      <c r="F30" s="41">
        <v>155.88999999999999</v>
      </c>
      <c r="G30" s="16">
        <v>0</v>
      </c>
      <c r="H30" s="31"/>
      <c r="I30" s="8"/>
      <c r="J30" s="8"/>
      <c r="K30" s="8"/>
    </row>
    <row r="31" spans="1:11" ht="31.5" hidden="1" customHeight="1">
      <c r="A31" s="57">
        <v>3</v>
      </c>
      <c r="B31" s="42" t="s">
        <v>142</v>
      </c>
      <c r="C31" s="56" t="s">
        <v>104</v>
      </c>
      <c r="D31" s="42" t="s">
        <v>119</v>
      </c>
      <c r="E31" s="16">
        <f>0.0024*3*4.5</f>
        <v>3.2399999999999998E-2</v>
      </c>
      <c r="F31" s="41">
        <v>258.63</v>
      </c>
      <c r="G31" s="23">
        <v>0</v>
      </c>
      <c r="H31" s="31"/>
      <c r="I31" s="8"/>
      <c r="J31" s="8"/>
      <c r="K31" s="8"/>
    </row>
    <row r="32" spans="1:11" ht="15" hidden="1" customHeight="1">
      <c r="A32" s="57">
        <v>4</v>
      </c>
      <c r="B32" s="42" t="s">
        <v>27</v>
      </c>
      <c r="C32" s="56" t="s">
        <v>104</v>
      </c>
      <c r="D32" s="42" t="s">
        <v>56</v>
      </c>
      <c r="E32" s="21">
        <v>0</v>
      </c>
      <c r="F32" s="41">
        <v>3020.33</v>
      </c>
      <c r="G32" s="23">
        <v>0</v>
      </c>
      <c r="H32" s="31"/>
      <c r="I32" s="8"/>
      <c r="J32" s="8"/>
      <c r="K32" s="8"/>
    </row>
    <row r="33" spans="1:12" ht="15" hidden="1" customHeight="1">
      <c r="A33" s="57">
        <v>5</v>
      </c>
      <c r="B33" s="42" t="s">
        <v>141</v>
      </c>
      <c r="C33" s="56" t="s">
        <v>39</v>
      </c>
      <c r="D33" s="42" t="s">
        <v>68</v>
      </c>
      <c r="E33" s="21">
        <v>0</v>
      </c>
      <c r="F33" s="41">
        <v>1302.02</v>
      </c>
      <c r="G33" s="23">
        <v>0</v>
      </c>
      <c r="H33" s="31"/>
      <c r="I33" s="8"/>
    </row>
    <row r="34" spans="1:12" ht="15.75" hidden="1" customHeight="1">
      <c r="A34" s="57">
        <v>4</v>
      </c>
      <c r="B34" s="42" t="s">
        <v>120</v>
      </c>
      <c r="C34" s="56" t="s">
        <v>31</v>
      </c>
      <c r="D34" s="42" t="s">
        <v>68</v>
      </c>
      <c r="E34" s="16">
        <v>3.75</v>
      </c>
      <c r="F34" s="41">
        <v>56.69</v>
      </c>
      <c r="G34" s="16">
        <v>0</v>
      </c>
      <c r="H34" s="32"/>
    </row>
    <row r="35" spans="1:12" ht="15.75" hidden="1" customHeight="1">
      <c r="A35" s="57"/>
      <c r="B35" s="42" t="s">
        <v>70</v>
      </c>
      <c r="C35" s="56" t="s">
        <v>33</v>
      </c>
      <c r="D35" s="42" t="s">
        <v>72</v>
      </c>
      <c r="E35" s="16"/>
      <c r="F35" s="41">
        <v>180.15</v>
      </c>
      <c r="G35" s="16">
        <v>0</v>
      </c>
      <c r="H35" s="32"/>
    </row>
    <row r="36" spans="1:12" ht="15.75" hidden="1" customHeight="1">
      <c r="A36" s="38">
        <v>8</v>
      </c>
      <c r="B36" s="42" t="s">
        <v>71</v>
      </c>
      <c r="C36" s="56" t="s">
        <v>32</v>
      </c>
      <c r="D36" s="42" t="s">
        <v>72</v>
      </c>
      <c r="E36" s="16"/>
      <c r="F36" s="41">
        <v>1136.33</v>
      </c>
      <c r="G36" s="16">
        <v>0</v>
      </c>
      <c r="H36" s="32"/>
    </row>
    <row r="37" spans="1:12" ht="15.75" customHeight="1">
      <c r="A37" s="57"/>
      <c r="B37" s="65" t="s">
        <v>5</v>
      </c>
      <c r="C37" s="65"/>
      <c r="D37" s="65"/>
      <c r="E37" s="16"/>
      <c r="F37" s="17"/>
      <c r="G37" s="23"/>
      <c r="H37" s="32"/>
    </row>
    <row r="38" spans="1:12" ht="15.75" customHeight="1">
      <c r="A38" s="43">
        <v>10</v>
      </c>
      <c r="B38" s="44" t="s">
        <v>26</v>
      </c>
      <c r="C38" s="56" t="s">
        <v>32</v>
      </c>
      <c r="D38" s="42"/>
      <c r="E38" s="16">
        <v>0</v>
      </c>
      <c r="F38" s="41">
        <v>1527.22</v>
      </c>
      <c r="G38" s="16">
        <v>2545.37</v>
      </c>
      <c r="H38" s="32"/>
    </row>
    <row r="39" spans="1:12" ht="15.75" customHeight="1">
      <c r="A39" s="43">
        <v>11</v>
      </c>
      <c r="B39" s="42" t="s">
        <v>143</v>
      </c>
      <c r="C39" s="56" t="s">
        <v>33</v>
      </c>
      <c r="D39" s="42"/>
      <c r="E39" s="16">
        <v>0</v>
      </c>
      <c r="F39" s="41">
        <v>77.94</v>
      </c>
      <c r="G39" s="16">
        <v>129.9</v>
      </c>
      <c r="H39" s="32"/>
    </row>
    <row r="40" spans="1:12" ht="15.75" customHeight="1">
      <c r="A40" s="43">
        <v>12</v>
      </c>
      <c r="B40" s="44" t="s">
        <v>122</v>
      </c>
      <c r="C40" s="87" t="s">
        <v>29</v>
      </c>
      <c r="D40" s="42" t="s">
        <v>144</v>
      </c>
      <c r="E40" s="16">
        <v>0</v>
      </c>
      <c r="F40" s="41">
        <v>2102.71</v>
      </c>
      <c r="G40" s="16">
        <v>9104.73</v>
      </c>
      <c r="H40" s="32"/>
    </row>
    <row r="41" spans="1:12" ht="15.75" hidden="1" customHeight="1">
      <c r="A41" s="43">
        <v>11</v>
      </c>
      <c r="B41" s="42" t="s">
        <v>145</v>
      </c>
      <c r="C41" s="56" t="s">
        <v>146</v>
      </c>
      <c r="D41" s="42" t="s">
        <v>72</v>
      </c>
      <c r="E41" s="16">
        <v>0</v>
      </c>
      <c r="F41" s="41">
        <v>213.2</v>
      </c>
      <c r="G41" s="16">
        <v>0</v>
      </c>
      <c r="H41" s="32"/>
      <c r="J41" s="25"/>
      <c r="K41" s="26"/>
      <c r="L41" s="27"/>
    </row>
    <row r="42" spans="1:12" ht="15.75" customHeight="1">
      <c r="A42" s="43">
        <v>13</v>
      </c>
      <c r="B42" s="42" t="s">
        <v>73</v>
      </c>
      <c r="C42" s="56" t="s">
        <v>29</v>
      </c>
      <c r="D42" s="42" t="s">
        <v>103</v>
      </c>
      <c r="E42" s="16">
        <v>0</v>
      </c>
      <c r="F42" s="41">
        <v>350.75</v>
      </c>
      <c r="G42" s="16">
        <v>1386.34</v>
      </c>
      <c r="H42" s="32"/>
      <c r="J42" s="25"/>
      <c r="K42" s="26"/>
      <c r="L42" s="27"/>
    </row>
    <row r="43" spans="1:12" ht="47.25" customHeight="1">
      <c r="A43" s="43">
        <v>14</v>
      </c>
      <c r="B43" s="42" t="s">
        <v>91</v>
      </c>
      <c r="C43" s="56" t="s">
        <v>104</v>
      </c>
      <c r="D43" s="42" t="s">
        <v>147</v>
      </c>
      <c r="E43" s="16"/>
      <c r="F43" s="41">
        <v>5803.28</v>
      </c>
      <c r="G43" s="16">
        <v>1160.6600000000001</v>
      </c>
      <c r="H43" s="32"/>
      <c r="J43" s="25"/>
      <c r="K43" s="26"/>
      <c r="L43" s="27"/>
    </row>
    <row r="44" spans="1:12" ht="15.75" customHeight="1">
      <c r="A44" s="43">
        <v>15</v>
      </c>
      <c r="B44" s="42" t="s">
        <v>105</v>
      </c>
      <c r="C44" s="56" t="s">
        <v>104</v>
      </c>
      <c r="D44" s="42" t="s">
        <v>74</v>
      </c>
      <c r="E44" s="16"/>
      <c r="F44" s="41">
        <v>428.7</v>
      </c>
      <c r="G44" s="16">
        <v>491.93</v>
      </c>
      <c r="H44" s="32"/>
      <c r="J44" s="25"/>
      <c r="K44" s="26"/>
      <c r="L44" s="27"/>
    </row>
    <row r="45" spans="1:12" ht="15.75" customHeight="1">
      <c r="A45" s="43">
        <v>16</v>
      </c>
      <c r="B45" s="44" t="s">
        <v>75</v>
      </c>
      <c r="C45" s="87" t="s">
        <v>33</v>
      </c>
      <c r="D45" s="44"/>
      <c r="E45" s="16"/>
      <c r="F45" s="45">
        <v>798</v>
      </c>
      <c r="G45" s="16">
        <v>119.7</v>
      </c>
      <c r="H45" s="32"/>
      <c r="J45" s="25"/>
      <c r="K45" s="26"/>
      <c r="L45" s="27"/>
    </row>
    <row r="46" spans="1:12" ht="15" customHeight="1">
      <c r="A46" s="174" t="s">
        <v>175</v>
      </c>
      <c r="B46" s="175"/>
      <c r="C46" s="175"/>
      <c r="D46" s="175"/>
      <c r="E46" s="175"/>
      <c r="F46" s="175"/>
      <c r="G46" s="176"/>
      <c r="H46" s="32"/>
      <c r="J46" s="25"/>
      <c r="K46" s="26"/>
      <c r="L46" s="27"/>
    </row>
    <row r="47" spans="1:12" ht="15.75" hidden="1" customHeight="1">
      <c r="A47" s="57">
        <v>15</v>
      </c>
      <c r="B47" s="42" t="s">
        <v>148</v>
      </c>
      <c r="C47" s="56" t="s">
        <v>104</v>
      </c>
      <c r="D47" s="42" t="s">
        <v>42</v>
      </c>
      <c r="E47" s="23">
        <v>0.42</v>
      </c>
      <c r="F47" s="48">
        <v>849.49</v>
      </c>
      <c r="G47" s="24">
        <v>0</v>
      </c>
      <c r="H47" s="32"/>
      <c r="J47" s="25"/>
      <c r="K47" s="26"/>
      <c r="L47" s="27"/>
    </row>
    <row r="48" spans="1:12" ht="15.75" hidden="1" customHeight="1">
      <c r="A48" s="57">
        <v>16</v>
      </c>
      <c r="B48" s="42" t="s">
        <v>34</v>
      </c>
      <c r="C48" s="56" t="s">
        <v>104</v>
      </c>
      <c r="D48" s="42" t="s">
        <v>42</v>
      </c>
      <c r="E48" s="23">
        <v>1.35</v>
      </c>
      <c r="F48" s="48">
        <v>579.48</v>
      </c>
      <c r="G48" s="24">
        <v>0</v>
      </c>
      <c r="H48" s="32"/>
      <c r="J48" s="25"/>
      <c r="K48" s="26"/>
      <c r="L48" s="27"/>
    </row>
    <row r="49" spans="1:12" ht="15.75" hidden="1" customHeight="1">
      <c r="A49" s="57">
        <v>17</v>
      </c>
      <c r="B49" s="42" t="s">
        <v>35</v>
      </c>
      <c r="C49" s="56" t="s">
        <v>104</v>
      </c>
      <c r="D49" s="42" t="s">
        <v>42</v>
      </c>
      <c r="E49" s="23">
        <v>0.03</v>
      </c>
      <c r="F49" s="48">
        <v>579.48</v>
      </c>
      <c r="G49" s="24">
        <v>0</v>
      </c>
      <c r="H49" s="32"/>
      <c r="J49" s="25"/>
      <c r="K49" s="26"/>
      <c r="L49" s="27"/>
    </row>
    <row r="50" spans="1:12" ht="15.75" hidden="1" customHeight="1">
      <c r="A50" s="57">
        <v>18</v>
      </c>
      <c r="B50" s="42" t="s">
        <v>36</v>
      </c>
      <c r="C50" s="56" t="s">
        <v>104</v>
      </c>
      <c r="D50" s="42" t="s">
        <v>42</v>
      </c>
      <c r="E50" s="23">
        <v>0.33</v>
      </c>
      <c r="F50" s="48">
        <v>606.77</v>
      </c>
      <c r="G50" s="24">
        <v>0</v>
      </c>
      <c r="H50" s="32"/>
      <c r="J50" s="25"/>
      <c r="K50" s="26"/>
      <c r="L50" s="27"/>
    </row>
    <row r="51" spans="1:12" ht="31.5" customHeight="1">
      <c r="A51" s="57">
        <v>17</v>
      </c>
      <c r="B51" s="42" t="s">
        <v>60</v>
      </c>
      <c r="C51" s="56" t="s">
        <v>104</v>
      </c>
      <c r="D51" s="42" t="s">
        <v>123</v>
      </c>
      <c r="E51" s="23">
        <v>0.22</v>
      </c>
      <c r="F51" s="48">
        <v>1142.7</v>
      </c>
      <c r="G51" s="16">
        <v>4557.09</v>
      </c>
      <c r="H51" s="32"/>
      <c r="J51" s="25"/>
      <c r="K51" s="26"/>
      <c r="L51" s="27"/>
    </row>
    <row r="52" spans="1:12" ht="31.5" hidden="1" customHeight="1">
      <c r="A52" s="57">
        <v>12</v>
      </c>
      <c r="B52" s="42" t="s">
        <v>106</v>
      </c>
      <c r="C52" s="56" t="s">
        <v>104</v>
      </c>
      <c r="D52" s="42" t="s">
        <v>42</v>
      </c>
      <c r="E52" s="23">
        <v>0.22</v>
      </c>
      <c r="F52" s="48">
        <v>1213.55</v>
      </c>
      <c r="G52" s="24">
        <v>3114.5</v>
      </c>
      <c r="H52" s="32"/>
      <c r="J52" s="25"/>
      <c r="K52" s="26"/>
      <c r="L52" s="27"/>
    </row>
    <row r="53" spans="1:12" ht="31.5" hidden="1" customHeight="1">
      <c r="A53" s="57">
        <v>14</v>
      </c>
      <c r="B53" s="42" t="s">
        <v>107</v>
      </c>
      <c r="C53" s="56" t="s">
        <v>37</v>
      </c>
      <c r="D53" s="42" t="s">
        <v>42</v>
      </c>
      <c r="E53" s="23">
        <v>0.02</v>
      </c>
      <c r="F53" s="48">
        <v>2730.49</v>
      </c>
      <c r="G53" s="24">
        <v>1302.68</v>
      </c>
      <c r="H53" s="32"/>
      <c r="J53" s="25"/>
      <c r="K53" s="26"/>
      <c r="L53" s="27"/>
    </row>
    <row r="54" spans="1:12" ht="15.75" hidden="1" customHeight="1">
      <c r="A54" s="57">
        <v>15</v>
      </c>
      <c r="B54" s="42" t="s">
        <v>38</v>
      </c>
      <c r="C54" s="56" t="s">
        <v>39</v>
      </c>
      <c r="D54" s="42" t="s">
        <v>42</v>
      </c>
      <c r="E54" s="23">
        <v>0.01</v>
      </c>
      <c r="F54" s="48">
        <v>5652.13</v>
      </c>
      <c r="G54" s="24">
        <v>231.4</v>
      </c>
      <c r="H54" s="32"/>
      <c r="J54" s="25"/>
      <c r="K54" s="26"/>
      <c r="L54" s="27"/>
    </row>
    <row r="55" spans="1:12" ht="15.75" hidden="1" customHeight="1">
      <c r="A55" s="57">
        <v>23</v>
      </c>
      <c r="B55" s="42" t="s">
        <v>41</v>
      </c>
      <c r="C55" s="56" t="s">
        <v>124</v>
      </c>
      <c r="D55" s="42" t="s">
        <v>76</v>
      </c>
      <c r="E55" s="23">
        <v>8</v>
      </c>
      <c r="F55" s="49">
        <v>65.67</v>
      </c>
      <c r="G55" s="16">
        <v>0</v>
      </c>
      <c r="H55" s="32"/>
      <c r="J55" s="25"/>
      <c r="K55" s="26"/>
      <c r="L55" s="27"/>
    </row>
    <row r="56" spans="1:12" ht="15.75" hidden="1" customHeight="1">
      <c r="A56" s="57">
        <v>24</v>
      </c>
      <c r="B56" s="44" t="s">
        <v>43</v>
      </c>
      <c r="C56" s="87"/>
      <c r="D56" s="42" t="s">
        <v>44</v>
      </c>
      <c r="E56" s="23">
        <v>16</v>
      </c>
      <c r="F56" s="45">
        <v>5750</v>
      </c>
      <c r="G56" s="16">
        <v>0</v>
      </c>
      <c r="H56" s="32"/>
      <c r="J56" s="25"/>
      <c r="K56" s="26"/>
      <c r="L56" s="27"/>
    </row>
    <row r="57" spans="1:12" ht="15.75" customHeight="1">
      <c r="A57" s="174" t="s">
        <v>176</v>
      </c>
      <c r="B57" s="175"/>
      <c r="C57" s="175"/>
      <c r="D57" s="175"/>
      <c r="E57" s="175"/>
      <c r="F57" s="175"/>
      <c r="G57" s="176"/>
      <c r="H57" s="32"/>
      <c r="J57" s="25"/>
      <c r="K57" s="26"/>
      <c r="L57" s="27"/>
    </row>
    <row r="58" spans="1:12" ht="15.75" customHeight="1">
      <c r="A58" s="70"/>
      <c r="B58" s="64" t="s">
        <v>45</v>
      </c>
      <c r="C58" s="20"/>
      <c r="D58" s="19"/>
      <c r="E58" s="19"/>
      <c r="F58" s="38"/>
      <c r="G58" s="23"/>
      <c r="H58" s="32"/>
      <c r="J58" s="25"/>
      <c r="K58" s="26"/>
      <c r="L58" s="27"/>
    </row>
    <row r="59" spans="1:12" ht="15.75" customHeight="1">
      <c r="A59" s="57">
        <v>18</v>
      </c>
      <c r="B59" s="42" t="s">
        <v>149</v>
      </c>
      <c r="C59" s="56" t="s">
        <v>100</v>
      </c>
      <c r="D59" s="42" t="s">
        <v>125</v>
      </c>
      <c r="E59" s="23">
        <v>0</v>
      </c>
      <c r="F59" s="48">
        <v>1547.28</v>
      </c>
      <c r="G59" s="24">
        <v>464.18</v>
      </c>
      <c r="H59" s="32"/>
      <c r="J59" s="25"/>
      <c r="K59" s="26"/>
      <c r="L59" s="27"/>
    </row>
    <row r="60" spans="1:12" ht="15.75" hidden="1" customHeight="1">
      <c r="A60" s="57"/>
      <c r="B60" s="97" t="s">
        <v>150</v>
      </c>
      <c r="C60" s="69" t="s">
        <v>151</v>
      </c>
      <c r="D60" s="97" t="s">
        <v>42</v>
      </c>
      <c r="E60" s="96"/>
      <c r="F60" s="48">
        <v>180.78</v>
      </c>
      <c r="G60" s="24">
        <v>0</v>
      </c>
      <c r="H60" s="32"/>
      <c r="J60" s="25"/>
      <c r="K60" s="26"/>
      <c r="L60" s="27"/>
    </row>
    <row r="61" spans="1:12" ht="15.75" hidden="1" customHeight="1">
      <c r="A61" s="57"/>
      <c r="B61" s="97" t="s">
        <v>152</v>
      </c>
      <c r="C61" s="69" t="s">
        <v>55</v>
      </c>
      <c r="D61" s="97" t="s">
        <v>40</v>
      </c>
      <c r="E61" s="96"/>
      <c r="F61" s="48">
        <v>1547.28</v>
      </c>
      <c r="G61" s="24">
        <v>0</v>
      </c>
      <c r="H61" s="32"/>
      <c r="J61" s="25"/>
      <c r="K61" s="26"/>
      <c r="L61" s="27"/>
    </row>
    <row r="62" spans="1:12" ht="16.5" customHeight="1">
      <c r="A62" s="57"/>
      <c r="B62" s="106" t="s">
        <v>46</v>
      </c>
      <c r="C62" s="125"/>
      <c r="D62" s="125"/>
      <c r="E62" s="125"/>
      <c r="F62" s="125"/>
      <c r="G62" s="47"/>
      <c r="H62" s="32"/>
      <c r="J62" s="25"/>
      <c r="K62" s="26"/>
      <c r="L62" s="27"/>
    </row>
    <row r="63" spans="1:12" ht="15" hidden="1" customHeight="1">
      <c r="A63" s="57">
        <v>27</v>
      </c>
      <c r="B63" s="121" t="s">
        <v>153</v>
      </c>
      <c r="C63" s="122" t="s">
        <v>55</v>
      </c>
      <c r="D63" s="121" t="s">
        <v>56</v>
      </c>
      <c r="E63" s="123">
        <v>0</v>
      </c>
      <c r="F63" s="124">
        <v>793.61</v>
      </c>
      <c r="G63" s="24">
        <f>E63/2</f>
        <v>0</v>
      </c>
      <c r="H63" s="32"/>
      <c r="J63" s="25"/>
      <c r="K63" s="26"/>
      <c r="L63" s="27"/>
    </row>
    <row r="64" spans="1:12" ht="15" customHeight="1">
      <c r="A64" s="57">
        <v>19</v>
      </c>
      <c r="B64" s="97" t="s">
        <v>154</v>
      </c>
      <c r="C64" s="69" t="s">
        <v>25</v>
      </c>
      <c r="D64" s="97" t="s">
        <v>30</v>
      </c>
      <c r="E64" s="23"/>
      <c r="F64" s="98">
        <v>2.6</v>
      </c>
      <c r="G64" s="24">
        <v>1024.4000000000001</v>
      </c>
      <c r="H64" s="32"/>
      <c r="J64" s="25"/>
    </row>
    <row r="65" spans="1:20" ht="15" customHeight="1">
      <c r="A65" s="57"/>
      <c r="B65" s="86" t="s">
        <v>47</v>
      </c>
      <c r="C65" s="20"/>
      <c r="D65" s="19"/>
      <c r="E65" s="19"/>
      <c r="F65" s="38"/>
      <c r="G65" s="23"/>
    </row>
    <row r="66" spans="1:20" ht="15" customHeight="1">
      <c r="A66" s="57">
        <v>20</v>
      </c>
      <c r="B66" s="90" t="s">
        <v>48</v>
      </c>
      <c r="C66" s="52" t="s">
        <v>124</v>
      </c>
      <c r="D66" s="51" t="s">
        <v>72</v>
      </c>
      <c r="E66" s="23">
        <v>0</v>
      </c>
      <c r="F66" s="48">
        <v>237.74</v>
      </c>
      <c r="G66" s="24">
        <v>444.8</v>
      </c>
    </row>
    <row r="67" spans="1:20" ht="15" hidden="1" customHeight="1">
      <c r="A67" s="38">
        <v>29</v>
      </c>
      <c r="B67" s="90" t="s">
        <v>49</v>
      </c>
      <c r="C67" s="52" t="s">
        <v>124</v>
      </c>
      <c r="D67" s="51" t="s">
        <v>72</v>
      </c>
      <c r="E67" s="23">
        <v>0</v>
      </c>
      <c r="F67" s="48">
        <v>81.510000000000005</v>
      </c>
      <c r="G67" s="24">
        <v>0</v>
      </c>
    </row>
    <row r="68" spans="1:20" ht="15.75" hidden="1" customHeight="1">
      <c r="A68" s="38">
        <v>8</v>
      </c>
      <c r="B68" s="90" t="s">
        <v>50</v>
      </c>
      <c r="C68" s="54" t="s">
        <v>126</v>
      </c>
      <c r="D68" s="51" t="s">
        <v>56</v>
      </c>
      <c r="E68" s="23">
        <v>13.47</v>
      </c>
      <c r="F68" s="48">
        <v>226.79</v>
      </c>
      <c r="G68" s="23">
        <v>0</v>
      </c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9"/>
    </row>
    <row r="69" spans="1:20" ht="15.75" hidden="1" customHeight="1">
      <c r="A69" s="38">
        <v>9</v>
      </c>
      <c r="B69" s="90" t="s">
        <v>51</v>
      </c>
      <c r="C69" s="52" t="s">
        <v>127</v>
      </c>
      <c r="D69" s="51"/>
      <c r="E69" s="23">
        <v>1.35</v>
      </c>
      <c r="F69" s="48">
        <v>176.61</v>
      </c>
      <c r="G69" s="23">
        <v>0</v>
      </c>
      <c r="H69" s="34"/>
      <c r="I69" s="34"/>
      <c r="J69" s="3"/>
      <c r="K69" s="3"/>
      <c r="L69" s="3"/>
      <c r="M69" s="3"/>
      <c r="N69" s="3"/>
      <c r="O69" s="3"/>
      <c r="P69" s="3"/>
      <c r="Q69" s="3"/>
      <c r="R69" s="3"/>
      <c r="S69" s="3"/>
    </row>
    <row r="70" spans="1:20" ht="15.75" hidden="1" customHeight="1">
      <c r="A70" s="38">
        <v>10</v>
      </c>
      <c r="B70" s="90" t="s">
        <v>52</v>
      </c>
      <c r="C70" s="52" t="s">
        <v>83</v>
      </c>
      <c r="D70" s="51" t="s">
        <v>56</v>
      </c>
      <c r="E70" s="23">
        <v>0</v>
      </c>
      <c r="F70" s="48">
        <v>2217.7800000000002</v>
      </c>
      <c r="G70" s="23">
        <v>0</v>
      </c>
      <c r="H70" s="3"/>
      <c r="I70" s="3"/>
      <c r="J70" s="3"/>
      <c r="K70" s="3"/>
      <c r="L70" s="3"/>
      <c r="M70" s="3"/>
      <c r="N70" s="3"/>
      <c r="O70" s="3"/>
      <c r="Q70" s="3"/>
      <c r="R70" s="3"/>
      <c r="S70" s="3"/>
    </row>
    <row r="71" spans="1:20" ht="15.75" hidden="1" customHeight="1">
      <c r="A71" s="38">
        <v>11</v>
      </c>
      <c r="B71" s="71" t="s">
        <v>128</v>
      </c>
      <c r="C71" s="52" t="s">
        <v>33</v>
      </c>
      <c r="D71" s="51"/>
      <c r="E71" s="15">
        <v>0</v>
      </c>
      <c r="F71" s="48">
        <v>42.67</v>
      </c>
      <c r="G71" s="23">
        <v>0</v>
      </c>
      <c r="H71" s="5"/>
      <c r="I71" s="5"/>
      <c r="J71" s="5"/>
      <c r="K71" s="5"/>
      <c r="L71" s="5"/>
      <c r="M71" s="5"/>
      <c r="N71" s="5"/>
      <c r="O71" s="5"/>
      <c r="P71" s="166"/>
      <c r="Q71" s="166"/>
      <c r="R71" s="166"/>
      <c r="S71" s="166"/>
    </row>
    <row r="72" spans="1:20" ht="15.75" hidden="1" customHeight="1">
      <c r="A72" s="38">
        <v>12</v>
      </c>
      <c r="B72" s="71" t="s">
        <v>129</v>
      </c>
      <c r="C72" s="52" t="s">
        <v>33</v>
      </c>
      <c r="D72" s="51"/>
      <c r="E72" s="15"/>
      <c r="F72" s="48">
        <v>39.81</v>
      </c>
      <c r="G72" s="23">
        <v>0</v>
      </c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</row>
    <row r="73" spans="1:20" ht="15.75" hidden="1" customHeight="1">
      <c r="A73" s="38">
        <v>13</v>
      </c>
      <c r="B73" s="51" t="s">
        <v>61</v>
      </c>
      <c r="C73" s="52" t="s">
        <v>62</v>
      </c>
      <c r="D73" s="51" t="s">
        <v>56</v>
      </c>
      <c r="E73" s="15"/>
      <c r="F73" s="48">
        <v>53.32</v>
      </c>
      <c r="G73" s="23">
        <v>0</v>
      </c>
    </row>
    <row r="74" spans="1:20" ht="15" hidden="1" customHeight="1">
      <c r="A74" s="70"/>
      <c r="B74" s="183" t="s">
        <v>108</v>
      </c>
      <c r="C74" s="184"/>
      <c r="D74" s="184"/>
      <c r="E74" s="184"/>
      <c r="F74" s="185"/>
      <c r="G74" s="23"/>
    </row>
    <row r="75" spans="1:20" ht="15.75" hidden="1" customHeight="1">
      <c r="A75" s="38">
        <v>36</v>
      </c>
      <c r="B75" s="42" t="s">
        <v>130</v>
      </c>
      <c r="C75" s="91"/>
      <c r="D75" s="51" t="s">
        <v>56</v>
      </c>
      <c r="E75" s="23">
        <v>0</v>
      </c>
      <c r="F75" s="50">
        <v>23072.1</v>
      </c>
      <c r="G75" s="23">
        <v>0</v>
      </c>
    </row>
    <row r="76" spans="1:20" hidden="1">
      <c r="A76" s="38"/>
      <c r="B76" s="65" t="s">
        <v>77</v>
      </c>
      <c r="C76" s="65"/>
      <c r="D76" s="65"/>
      <c r="E76" s="23"/>
      <c r="F76" s="38"/>
      <c r="G76" s="23"/>
    </row>
    <row r="77" spans="1:20" hidden="1">
      <c r="A77" s="38">
        <v>17</v>
      </c>
      <c r="B77" s="51" t="s">
        <v>78</v>
      </c>
      <c r="C77" s="52" t="s">
        <v>80</v>
      </c>
      <c r="D77" s="51" t="s">
        <v>72</v>
      </c>
      <c r="E77" s="23"/>
      <c r="F77" s="48">
        <v>501.62</v>
      </c>
      <c r="G77" s="23">
        <v>0</v>
      </c>
    </row>
    <row r="78" spans="1:20" hidden="1">
      <c r="A78" s="38"/>
      <c r="B78" s="51" t="s">
        <v>79</v>
      </c>
      <c r="C78" s="52" t="s">
        <v>31</v>
      </c>
      <c r="D78" s="51" t="s">
        <v>72</v>
      </c>
      <c r="E78" s="23"/>
      <c r="F78" s="48">
        <v>852.99</v>
      </c>
      <c r="G78" s="23">
        <v>0</v>
      </c>
    </row>
    <row r="79" spans="1:20" ht="15.75" hidden="1" customHeight="1">
      <c r="A79" s="38">
        <v>38</v>
      </c>
      <c r="B79" s="51" t="s">
        <v>131</v>
      </c>
      <c r="C79" s="52" t="s">
        <v>31</v>
      </c>
      <c r="D79" s="51" t="s">
        <v>72</v>
      </c>
      <c r="E79" s="23"/>
      <c r="F79" s="48">
        <v>358.51</v>
      </c>
      <c r="G79" s="23">
        <v>0</v>
      </c>
    </row>
    <row r="80" spans="1:20" hidden="1">
      <c r="A80" s="38"/>
      <c r="B80" s="66" t="s">
        <v>81</v>
      </c>
      <c r="C80" s="52"/>
      <c r="D80" s="38"/>
      <c r="E80" s="23"/>
      <c r="F80" s="48"/>
      <c r="G80" s="23"/>
    </row>
    <row r="81" spans="1:7" hidden="1">
      <c r="A81" s="38">
        <v>39</v>
      </c>
      <c r="B81" s="53" t="s">
        <v>82</v>
      </c>
      <c r="C81" s="54" t="s">
        <v>83</v>
      </c>
      <c r="D81" s="90"/>
      <c r="E81" s="23"/>
      <c r="F81" s="49">
        <v>2759.44</v>
      </c>
      <c r="G81" s="23">
        <v>0</v>
      </c>
    </row>
    <row r="82" spans="1:7" ht="15.75" customHeight="1">
      <c r="A82" s="167" t="s">
        <v>177</v>
      </c>
      <c r="B82" s="168"/>
      <c r="C82" s="168"/>
      <c r="D82" s="168"/>
      <c r="E82" s="168"/>
      <c r="F82" s="168"/>
      <c r="G82" s="169"/>
    </row>
    <row r="83" spans="1:7">
      <c r="A83" s="38">
        <v>21</v>
      </c>
      <c r="B83" s="42" t="s">
        <v>132</v>
      </c>
      <c r="C83" s="52" t="s">
        <v>58</v>
      </c>
      <c r="D83" s="92" t="s">
        <v>59</v>
      </c>
      <c r="E83" s="19">
        <v>327.9</v>
      </c>
      <c r="F83" s="48">
        <v>2.1</v>
      </c>
      <c r="G83" s="16">
        <v>14658.63</v>
      </c>
    </row>
    <row r="84" spans="1:7" ht="30">
      <c r="A84" s="38">
        <v>22</v>
      </c>
      <c r="B84" s="51" t="s">
        <v>84</v>
      </c>
      <c r="C84" s="52"/>
      <c r="D84" s="92" t="s">
        <v>59</v>
      </c>
      <c r="E84" s="19"/>
      <c r="F84" s="48">
        <v>1.63</v>
      </c>
      <c r="G84" s="16">
        <v>11377.89</v>
      </c>
    </row>
    <row r="85" spans="1:7" ht="16.5" customHeight="1">
      <c r="A85" s="70"/>
      <c r="B85" s="55" t="s">
        <v>88</v>
      </c>
      <c r="C85" s="57"/>
      <c r="D85" s="19"/>
      <c r="E85" s="19"/>
      <c r="F85" s="23"/>
      <c r="G85" s="40">
        <f>SUM(G16+G17+G18+G20+G21+G24+G25+G26+G27+G38+G39+G40+G42+G43+G44+G45+G51+G59+G64+G66+G83+G84)</f>
        <v>106761.81999999998</v>
      </c>
    </row>
    <row r="86" spans="1:7" ht="16.5" customHeight="1">
      <c r="A86" s="70"/>
      <c r="B86" s="88" t="s">
        <v>64</v>
      </c>
      <c r="C86" s="88"/>
      <c r="D86" s="88"/>
      <c r="E86" s="88"/>
      <c r="F86" s="88"/>
      <c r="G86" s="88"/>
    </row>
    <row r="87" spans="1:7" ht="16.5" customHeight="1">
      <c r="A87" s="38">
        <v>23</v>
      </c>
      <c r="B87" s="89" t="s">
        <v>162</v>
      </c>
      <c r="C87" s="101" t="s">
        <v>92</v>
      </c>
      <c r="D87" s="88"/>
      <c r="E87" s="88"/>
      <c r="F87" s="48">
        <v>185.81</v>
      </c>
      <c r="G87" s="48">
        <v>371.62</v>
      </c>
    </row>
    <row r="88" spans="1:7" ht="16.5" customHeight="1">
      <c r="A88" s="38">
        <v>24</v>
      </c>
      <c r="B88" s="99" t="s">
        <v>160</v>
      </c>
      <c r="C88" s="100" t="s">
        <v>161</v>
      </c>
      <c r="D88" s="88"/>
      <c r="E88" s="88"/>
      <c r="F88" s="38">
        <v>1063.47</v>
      </c>
      <c r="G88" s="38">
        <v>1063.47</v>
      </c>
    </row>
    <row r="89" spans="1:7" ht="15.75" customHeight="1">
      <c r="A89" s="38">
        <v>25</v>
      </c>
      <c r="B89" s="94" t="s">
        <v>158</v>
      </c>
      <c r="C89" s="95" t="s">
        <v>124</v>
      </c>
      <c r="D89" s="88"/>
      <c r="E89" s="19"/>
      <c r="F89" s="48">
        <v>1072.21</v>
      </c>
      <c r="G89" s="16">
        <v>1072.21</v>
      </c>
    </row>
    <row r="90" spans="1:7" ht="15.75" customHeight="1">
      <c r="A90" s="38">
        <v>26</v>
      </c>
      <c r="B90" s="89" t="s">
        <v>155</v>
      </c>
      <c r="C90" s="95" t="s">
        <v>124</v>
      </c>
      <c r="D90" s="88"/>
      <c r="E90" s="19"/>
      <c r="F90" s="48">
        <v>50.68</v>
      </c>
      <c r="G90" s="16">
        <v>6081.6</v>
      </c>
    </row>
    <row r="91" spans="1:7" ht="15.75" customHeight="1">
      <c r="A91" s="38"/>
      <c r="B91" s="62" t="s">
        <v>53</v>
      </c>
      <c r="C91" s="58"/>
      <c r="D91" s="72"/>
      <c r="E91" s="58">
        <v>1</v>
      </c>
      <c r="F91" s="58"/>
      <c r="G91" s="40">
        <f>SUM(G87:G90)</f>
        <v>8588.9000000000015</v>
      </c>
    </row>
    <row r="92" spans="1:7">
      <c r="A92" s="38"/>
      <c r="B92" s="68" t="s">
        <v>85</v>
      </c>
      <c r="C92" s="19"/>
      <c r="D92" s="19"/>
      <c r="E92" s="59"/>
      <c r="F92" s="60"/>
      <c r="G92" s="22">
        <v>0</v>
      </c>
    </row>
    <row r="93" spans="1:7">
      <c r="A93" s="73"/>
      <c r="B93" s="63" t="s">
        <v>54</v>
      </c>
      <c r="C93" s="46"/>
      <c r="D93" s="46"/>
      <c r="E93" s="46"/>
      <c r="F93" s="46"/>
      <c r="G93" s="61">
        <f>G85+G91</f>
        <v>115350.71999999997</v>
      </c>
    </row>
    <row r="94" spans="1:7" ht="15.75">
      <c r="A94" s="170" t="s">
        <v>163</v>
      </c>
      <c r="B94" s="170"/>
      <c r="C94" s="170"/>
      <c r="D94" s="170"/>
      <c r="E94" s="170"/>
      <c r="F94" s="170"/>
      <c r="G94" s="170"/>
    </row>
    <row r="95" spans="1:7" ht="15.75" customHeight="1">
      <c r="A95" s="85"/>
      <c r="B95" s="171" t="s">
        <v>164</v>
      </c>
      <c r="C95" s="171"/>
      <c r="D95" s="171"/>
      <c r="E95" s="171"/>
      <c r="F95" s="171"/>
      <c r="G95" s="3"/>
    </row>
    <row r="96" spans="1:7">
      <c r="A96" s="82"/>
      <c r="B96" s="164" t="s">
        <v>6</v>
      </c>
      <c r="C96" s="164"/>
      <c r="D96" s="164"/>
      <c r="E96" s="164"/>
      <c r="F96" s="164"/>
      <c r="G96" s="5"/>
    </row>
    <row r="97" spans="1:7">
      <c r="A97" s="10"/>
      <c r="B97" s="10"/>
      <c r="C97" s="10"/>
      <c r="D97" s="10"/>
      <c r="E97" s="10"/>
      <c r="F97" s="10"/>
      <c r="G97" s="10"/>
    </row>
    <row r="98" spans="1:7" ht="15.75">
      <c r="A98" s="172" t="s">
        <v>7</v>
      </c>
      <c r="B98" s="172"/>
      <c r="C98" s="172"/>
      <c r="D98" s="172"/>
      <c r="E98" s="172"/>
      <c r="F98" s="172"/>
      <c r="G98" s="172"/>
    </row>
    <row r="99" spans="1:7" ht="15.75">
      <c r="A99" s="172" t="s">
        <v>8</v>
      </c>
      <c r="B99" s="172"/>
      <c r="C99" s="172"/>
      <c r="D99" s="172"/>
      <c r="E99" s="172"/>
      <c r="F99" s="172"/>
      <c r="G99" s="172"/>
    </row>
    <row r="100" spans="1:7" ht="15.75">
      <c r="A100" s="161" t="s">
        <v>65</v>
      </c>
      <c r="B100" s="161"/>
      <c r="C100" s="161"/>
      <c r="D100" s="161"/>
      <c r="E100" s="161"/>
      <c r="F100" s="161"/>
      <c r="G100" s="161"/>
    </row>
    <row r="101" spans="1:7" ht="15.75">
      <c r="A101" s="11"/>
    </row>
    <row r="102" spans="1:7" ht="15.75">
      <c r="A102" s="162" t="s">
        <v>9</v>
      </c>
      <c r="B102" s="162"/>
      <c r="C102" s="162"/>
      <c r="D102" s="162"/>
      <c r="E102" s="162"/>
      <c r="F102" s="162"/>
      <c r="G102" s="162"/>
    </row>
    <row r="103" spans="1:7" ht="15.75" customHeight="1">
      <c r="A103" s="4"/>
    </row>
    <row r="104" spans="1:7" ht="15.75" customHeight="1">
      <c r="B104" s="81" t="s">
        <v>10</v>
      </c>
      <c r="C104" s="163" t="s">
        <v>170</v>
      </c>
      <c r="D104" s="163"/>
      <c r="E104" s="163"/>
      <c r="G104" s="83"/>
    </row>
    <row r="105" spans="1:7" ht="15.75" customHeight="1">
      <c r="A105" s="82"/>
      <c r="C105" s="164" t="s">
        <v>11</v>
      </c>
      <c r="D105" s="164"/>
      <c r="E105" s="164"/>
      <c r="G105" s="84" t="s">
        <v>12</v>
      </c>
    </row>
    <row r="106" spans="1:7" ht="15.75" customHeight="1">
      <c r="A106" s="34"/>
      <c r="C106" s="12"/>
      <c r="D106" s="12"/>
      <c r="F106" s="12"/>
    </row>
    <row r="107" spans="1:7" ht="15.75">
      <c r="B107" s="81" t="s">
        <v>13</v>
      </c>
      <c r="C107" s="165"/>
      <c r="D107" s="165"/>
      <c r="E107" s="165"/>
      <c r="G107" s="83"/>
    </row>
    <row r="108" spans="1:7">
      <c r="A108" s="82"/>
      <c r="C108" s="166" t="s">
        <v>11</v>
      </c>
      <c r="D108" s="166"/>
      <c r="E108" s="166"/>
      <c r="G108" s="84" t="s">
        <v>12</v>
      </c>
    </row>
    <row r="109" spans="1:7" ht="15.75">
      <c r="A109" s="4" t="s">
        <v>14</v>
      </c>
    </row>
    <row r="110" spans="1:7">
      <c r="A110" s="159" t="s">
        <v>15</v>
      </c>
      <c r="B110" s="159"/>
      <c r="C110" s="159"/>
      <c r="D110" s="159"/>
      <c r="E110" s="159"/>
      <c r="F110" s="159"/>
      <c r="G110" s="159"/>
    </row>
    <row r="111" spans="1:7" ht="45" customHeight="1">
      <c r="A111" s="160" t="s">
        <v>16</v>
      </c>
      <c r="B111" s="160"/>
      <c r="C111" s="160"/>
      <c r="D111" s="160"/>
      <c r="E111" s="160"/>
      <c r="F111" s="160"/>
      <c r="G111" s="160"/>
    </row>
    <row r="112" spans="1:7" ht="30" customHeight="1">
      <c r="A112" s="160" t="s">
        <v>17</v>
      </c>
      <c r="B112" s="160"/>
      <c r="C112" s="160"/>
      <c r="D112" s="160"/>
      <c r="E112" s="160"/>
      <c r="F112" s="160"/>
      <c r="G112" s="160"/>
    </row>
    <row r="113" spans="1:7" ht="30" customHeight="1">
      <c r="A113" s="160" t="s">
        <v>21</v>
      </c>
      <c r="B113" s="160"/>
      <c r="C113" s="160"/>
      <c r="D113" s="160"/>
      <c r="E113" s="160"/>
      <c r="F113" s="160"/>
      <c r="G113" s="160"/>
    </row>
    <row r="114" spans="1:7" ht="15" customHeight="1">
      <c r="A114" s="160" t="s">
        <v>20</v>
      </c>
      <c r="B114" s="160"/>
      <c r="C114" s="160"/>
      <c r="D114" s="160"/>
      <c r="E114" s="160"/>
      <c r="F114" s="160"/>
      <c r="G114" s="160"/>
    </row>
  </sheetData>
  <autoFilter ref="G12:G66"/>
  <mergeCells count="29">
    <mergeCell ref="A113:G113"/>
    <mergeCell ref="A114:G114"/>
    <mergeCell ref="C107:E107"/>
    <mergeCell ref="C108:E108"/>
    <mergeCell ref="A110:G110"/>
    <mergeCell ref="A111:G111"/>
    <mergeCell ref="A112:G112"/>
    <mergeCell ref="A14:G14"/>
    <mergeCell ref="A15:G15"/>
    <mergeCell ref="A28:G28"/>
    <mergeCell ref="P71:S71"/>
    <mergeCell ref="A46:G46"/>
    <mergeCell ref="A57:G57"/>
    <mergeCell ref="A3:G3"/>
    <mergeCell ref="A4:G4"/>
    <mergeCell ref="A8:G8"/>
    <mergeCell ref="A10:G10"/>
    <mergeCell ref="A5:G5"/>
    <mergeCell ref="C104:E104"/>
    <mergeCell ref="C105:E105"/>
    <mergeCell ref="B74:F74"/>
    <mergeCell ref="A94:G94"/>
    <mergeCell ref="B95:F95"/>
    <mergeCell ref="A102:G102"/>
    <mergeCell ref="B96:F96"/>
    <mergeCell ref="A98:G98"/>
    <mergeCell ref="A99:G99"/>
    <mergeCell ref="A100:G100"/>
    <mergeCell ref="A82:G82"/>
  </mergeCells>
  <pageMargins left="0.70866141732283472" right="0.23622047244094491" top="0.27559055118110237" bottom="0.27559055118110237" header="0.31496062992125984" footer="0.31496062992125984"/>
  <pageSetup paperSize="9" scale="60" orientation="portrait" r:id="rId1"/>
  <colBreaks count="1" manualBreakCount="1">
    <brk id="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V116"/>
  <sheetViews>
    <sheetView workbookViewId="0">
      <selection activeCell="A3" sqref="A3:I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36" t="s">
        <v>96</v>
      </c>
      <c r="I1" s="35"/>
      <c r="J1" s="1"/>
      <c r="K1" s="1"/>
      <c r="L1" s="1"/>
      <c r="M1" s="1"/>
    </row>
    <row r="2" spans="1:13" ht="15.75">
      <c r="A2" s="37" t="s">
        <v>67</v>
      </c>
      <c r="J2" s="2"/>
      <c r="K2" s="2"/>
      <c r="L2" s="2"/>
      <c r="M2" s="2"/>
    </row>
    <row r="3" spans="1:13" ht="15.75" customHeight="1">
      <c r="A3" s="177" t="s">
        <v>245</v>
      </c>
      <c r="B3" s="177"/>
      <c r="C3" s="177"/>
      <c r="D3" s="177"/>
      <c r="E3" s="177"/>
      <c r="F3" s="177"/>
      <c r="G3" s="177"/>
      <c r="H3" s="177"/>
      <c r="I3" s="177"/>
      <c r="J3" s="3"/>
      <c r="K3" s="3"/>
      <c r="L3" s="3"/>
    </row>
    <row r="4" spans="1:13" ht="31.5" customHeight="1">
      <c r="A4" s="178" t="s">
        <v>159</v>
      </c>
      <c r="B4" s="178"/>
      <c r="C4" s="178"/>
      <c r="D4" s="178"/>
      <c r="E4" s="178"/>
      <c r="F4" s="178"/>
      <c r="G4" s="178"/>
      <c r="H4" s="178"/>
      <c r="I4" s="178"/>
    </row>
    <row r="5" spans="1:13" ht="15.75">
      <c r="A5" s="177" t="s">
        <v>248</v>
      </c>
      <c r="B5" s="179"/>
      <c r="C5" s="179"/>
      <c r="D5" s="179"/>
      <c r="E5" s="179"/>
      <c r="F5" s="179"/>
      <c r="G5" s="179"/>
      <c r="H5" s="179"/>
      <c r="I5" s="179"/>
      <c r="J5" s="2"/>
      <c r="K5" s="2"/>
      <c r="L5" s="2"/>
      <c r="M5" s="2"/>
    </row>
    <row r="6" spans="1:13" ht="15.75">
      <c r="A6" s="2"/>
      <c r="B6" s="107"/>
      <c r="C6" s="107"/>
      <c r="D6" s="107"/>
      <c r="E6" s="107"/>
      <c r="F6" s="107"/>
      <c r="G6" s="107"/>
      <c r="H6" s="107"/>
      <c r="I6" s="39">
        <v>42429</v>
      </c>
      <c r="J6" s="2"/>
      <c r="K6" s="2"/>
      <c r="L6" s="2"/>
      <c r="M6" s="2"/>
    </row>
    <row r="7" spans="1:13" ht="15.75">
      <c r="B7" s="105"/>
      <c r="C7" s="105"/>
      <c r="D7" s="105"/>
      <c r="E7" s="3"/>
      <c r="F7" s="3"/>
      <c r="G7" s="3"/>
      <c r="H7" s="3"/>
      <c r="J7" s="3"/>
      <c r="K7" s="3"/>
      <c r="L7" s="3"/>
      <c r="M7" s="3"/>
    </row>
    <row r="8" spans="1:13" ht="87" customHeight="1">
      <c r="A8" s="180" t="s">
        <v>174</v>
      </c>
      <c r="B8" s="180"/>
      <c r="C8" s="180"/>
      <c r="D8" s="180"/>
      <c r="E8" s="180"/>
      <c r="F8" s="180"/>
      <c r="G8" s="180"/>
      <c r="H8" s="180"/>
      <c r="I8" s="180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55.5" customHeight="1">
      <c r="A10" s="181" t="s">
        <v>173</v>
      </c>
      <c r="B10" s="181"/>
      <c r="C10" s="181"/>
      <c r="D10" s="181"/>
      <c r="E10" s="181"/>
      <c r="F10" s="181"/>
      <c r="G10" s="181"/>
      <c r="H10" s="181"/>
      <c r="I10" s="181"/>
      <c r="J10" s="2"/>
      <c r="K10" s="2"/>
      <c r="L10" s="2"/>
      <c r="M10" s="2"/>
    </row>
    <row r="11" spans="1:13" ht="15.75">
      <c r="A11" s="4"/>
    </row>
    <row r="12" spans="1:13" ht="4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182" t="s">
        <v>63</v>
      </c>
      <c r="B14" s="182"/>
      <c r="C14" s="182"/>
      <c r="D14" s="182"/>
      <c r="E14" s="182"/>
      <c r="F14" s="182"/>
      <c r="G14" s="182"/>
      <c r="H14" s="182"/>
      <c r="I14" s="182"/>
      <c r="J14" s="8"/>
      <c r="K14" s="8"/>
      <c r="L14" s="8"/>
      <c r="M14" s="8"/>
    </row>
    <row r="15" spans="1:13" ht="15" customHeight="1">
      <c r="A15" s="173" t="s">
        <v>4</v>
      </c>
      <c r="B15" s="173"/>
      <c r="C15" s="173"/>
      <c r="D15" s="173"/>
      <c r="E15" s="173"/>
      <c r="F15" s="173"/>
      <c r="G15" s="173"/>
      <c r="H15" s="173"/>
      <c r="I15" s="173"/>
      <c r="J15" s="8"/>
      <c r="K15" s="8"/>
      <c r="L15" s="8"/>
      <c r="M15" s="8"/>
    </row>
    <row r="16" spans="1:13" ht="31.5" customHeight="1">
      <c r="A16" s="38">
        <v>1</v>
      </c>
      <c r="B16" s="131" t="s">
        <v>99</v>
      </c>
      <c r="C16" s="132" t="s">
        <v>100</v>
      </c>
      <c r="D16" s="131" t="s">
        <v>101</v>
      </c>
      <c r="E16" s="133">
        <v>208.08</v>
      </c>
      <c r="F16" s="134">
        <f>SUM(E16*156/100)</f>
        <v>324.60480000000001</v>
      </c>
      <c r="G16" s="134">
        <v>175.38</v>
      </c>
      <c r="H16" s="135">
        <f t="shared" ref="H16:H25" si="0">SUM(F16*G16/1000)</f>
        <v>56.929189823999998</v>
      </c>
      <c r="I16" s="16">
        <f>F16/12*G16</f>
        <v>4744.0991519999998</v>
      </c>
      <c r="J16" s="30"/>
      <c r="K16" s="8"/>
      <c r="L16" s="8"/>
      <c r="M16" s="8"/>
    </row>
    <row r="17" spans="1:13" ht="31.5" customHeight="1">
      <c r="A17" s="38">
        <v>2</v>
      </c>
      <c r="B17" s="131" t="s">
        <v>135</v>
      </c>
      <c r="C17" s="132" t="s">
        <v>100</v>
      </c>
      <c r="D17" s="131" t="s">
        <v>102</v>
      </c>
      <c r="E17" s="133">
        <v>832.32</v>
      </c>
      <c r="F17" s="134">
        <f>SUM(E17*104/100)</f>
        <v>865.61279999999999</v>
      </c>
      <c r="G17" s="134">
        <v>175.38</v>
      </c>
      <c r="H17" s="135">
        <f t="shared" si="0"/>
        <v>151.81117286399999</v>
      </c>
      <c r="I17" s="16">
        <f>F17/12*G17</f>
        <v>12650.931071999999</v>
      </c>
      <c r="J17" s="31"/>
      <c r="K17" s="8"/>
      <c r="L17" s="8"/>
      <c r="M17" s="8"/>
    </row>
    <row r="18" spans="1:13" ht="31.5" customHeight="1">
      <c r="A18" s="38">
        <v>3</v>
      </c>
      <c r="B18" s="131" t="s">
        <v>136</v>
      </c>
      <c r="C18" s="132" t="s">
        <v>100</v>
      </c>
      <c r="D18" s="131" t="s">
        <v>240</v>
      </c>
      <c r="E18" s="133">
        <v>1040.4000000000001</v>
      </c>
      <c r="F18" s="134">
        <f>SUM(E18*24/100)</f>
        <v>249.69600000000003</v>
      </c>
      <c r="G18" s="134">
        <v>504.5</v>
      </c>
      <c r="H18" s="135">
        <f t="shared" si="0"/>
        <v>125.97163200000001</v>
      </c>
      <c r="I18" s="16">
        <f>F18/12*G18</f>
        <v>10497.636000000002</v>
      </c>
      <c r="J18" s="31"/>
      <c r="K18" s="8"/>
      <c r="L18" s="8"/>
      <c r="M18" s="8"/>
    </row>
    <row r="19" spans="1:13" ht="15.75" hidden="1" customHeight="1">
      <c r="A19" s="38"/>
      <c r="B19" s="131" t="s">
        <v>109</v>
      </c>
      <c r="C19" s="132" t="s">
        <v>110</v>
      </c>
      <c r="D19" s="131" t="s">
        <v>111</v>
      </c>
      <c r="E19" s="133">
        <v>48</v>
      </c>
      <c r="F19" s="134">
        <f>SUM(E19/10)</f>
        <v>4.8</v>
      </c>
      <c r="G19" s="134">
        <v>170.16</v>
      </c>
      <c r="H19" s="135">
        <f t="shared" si="0"/>
        <v>0.81676799999999994</v>
      </c>
      <c r="I19" s="16">
        <v>0</v>
      </c>
      <c r="J19" s="31"/>
      <c r="K19" s="8"/>
      <c r="L19" s="8"/>
      <c r="M19" s="8"/>
    </row>
    <row r="20" spans="1:13" ht="15.75" customHeight="1">
      <c r="A20" s="38">
        <v>4</v>
      </c>
      <c r="B20" s="131" t="s">
        <v>112</v>
      </c>
      <c r="C20" s="132" t="s">
        <v>100</v>
      </c>
      <c r="D20" s="131" t="s">
        <v>138</v>
      </c>
      <c r="E20" s="133">
        <v>30.6</v>
      </c>
      <c r="F20" s="134">
        <f>SUM(E20*12/100)</f>
        <v>3.6720000000000006</v>
      </c>
      <c r="G20" s="134">
        <v>217.88</v>
      </c>
      <c r="H20" s="135">
        <f t="shared" si="0"/>
        <v>0.8000553600000001</v>
      </c>
      <c r="I20" s="16">
        <f>F20/12*G20</f>
        <v>66.67128000000001</v>
      </c>
      <c r="J20" s="31"/>
      <c r="K20" s="8"/>
      <c r="L20" s="8"/>
      <c r="M20" s="8"/>
    </row>
    <row r="21" spans="1:13" ht="15.75" customHeight="1">
      <c r="A21" s="38">
        <v>5</v>
      </c>
      <c r="B21" s="131" t="s">
        <v>113</v>
      </c>
      <c r="C21" s="132" t="s">
        <v>100</v>
      </c>
      <c r="D21" s="131" t="s">
        <v>30</v>
      </c>
      <c r="E21" s="133">
        <v>10.06</v>
      </c>
      <c r="F21" s="134">
        <f>SUM(E21*12/100)</f>
        <v>1.2072000000000001</v>
      </c>
      <c r="G21" s="134">
        <v>216.12</v>
      </c>
      <c r="H21" s="135">
        <f t="shared" si="0"/>
        <v>0.26090006400000004</v>
      </c>
      <c r="I21" s="16">
        <f>F21/12*G21</f>
        <v>21.741672000000001</v>
      </c>
      <c r="J21" s="31"/>
      <c r="K21" s="8"/>
      <c r="L21" s="8"/>
      <c r="M21" s="8"/>
    </row>
    <row r="22" spans="1:13" ht="15.75" hidden="1" customHeight="1">
      <c r="A22" s="38"/>
      <c r="B22" s="131" t="s">
        <v>114</v>
      </c>
      <c r="C22" s="132" t="s">
        <v>55</v>
      </c>
      <c r="D22" s="131" t="s">
        <v>111</v>
      </c>
      <c r="E22" s="133">
        <v>769.2</v>
      </c>
      <c r="F22" s="134">
        <f>SUM(E22/100)</f>
        <v>7.6920000000000002</v>
      </c>
      <c r="G22" s="134">
        <v>269.26</v>
      </c>
      <c r="H22" s="135">
        <f t="shared" si="0"/>
        <v>2.07114792</v>
      </c>
      <c r="I22" s="16">
        <v>0</v>
      </c>
      <c r="J22" s="31"/>
      <c r="K22" s="8"/>
      <c r="L22" s="8"/>
      <c r="M22" s="8"/>
    </row>
    <row r="23" spans="1:13" ht="15.75" hidden="1" customHeight="1">
      <c r="A23" s="38"/>
      <c r="B23" s="131" t="s">
        <v>115</v>
      </c>
      <c r="C23" s="132" t="s">
        <v>55</v>
      </c>
      <c r="D23" s="131" t="s">
        <v>111</v>
      </c>
      <c r="E23" s="136">
        <v>35.28</v>
      </c>
      <c r="F23" s="134">
        <f>SUM(E23/100)</f>
        <v>0.3528</v>
      </c>
      <c r="G23" s="134">
        <v>44.29</v>
      </c>
      <c r="H23" s="135">
        <f t="shared" si="0"/>
        <v>1.5625512000000001E-2</v>
      </c>
      <c r="I23" s="16">
        <v>0</v>
      </c>
      <c r="J23" s="31"/>
      <c r="K23" s="8"/>
      <c r="L23" s="8"/>
      <c r="M23" s="8"/>
    </row>
    <row r="24" spans="1:13" ht="15.75" customHeight="1">
      <c r="A24" s="38">
        <v>6</v>
      </c>
      <c r="B24" s="131" t="s">
        <v>116</v>
      </c>
      <c r="C24" s="132" t="s">
        <v>55</v>
      </c>
      <c r="D24" s="131" t="s">
        <v>30</v>
      </c>
      <c r="E24" s="133">
        <v>10.8</v>
      </c>
      <c r="F24" s="134">
        <f>E24*12/100</f>
        <v>1.2960000000000003</v>
      </c>
      <c r="G24" s="134">
        <v>389.72</v>
      </c>
      <c r="H24" s="135">
        <f t="shared" si="0"/>
        <v>0.50507712000000016</v>
      </c>
      <c r="I24" s="16">
        <f>F24/12*G24</f>
        <v>42.089760000000012</v>
      </c>
      <c r="J24" s="31"/>
      <c r="K24" s="8"/>
      <c r="L24" s="8"/>
      <c r="M24" s="8"/>
    </row>
    <row r="25" spans="1:13" ht="15.75" customHeight="1">
      <c r="A25" s="38">
        <v>7</v>
      </c>
      <c r="B25" s="131" t="s">
        <v>117</v>
      </c>
      <c r="C25" s="132" t="s">
        <v>55</v>
      </c>
      <c r="D25" s="131" t="s">
        <v>139</v>
      </c>
      <c r="E25" s="133">
        <v>21.6</v>
      </c>
      <c r="F25" s="134">
        <f>SUM(E25*12/100)</f>
        <v>2.5920000000000005</v>
      </c>
      <c r="G25" s="134">
        <v>520.79999999999995</v>
      </c>
      <c r="H25" s="135">
        <f t="shared" si="0"/>
        <v>1.3499136</v>
      </c>
      <c r="I25" s="16">
        <f>F25/12*G25</f>
        <v>112.49280000000002</v>
      </c>
      <c r="J25" s="31"/>
      <c r="K25" s="8"/>
      <c r="L25" s="8"/>
      <c r="M25" s="8"/>
    </row>
    <row r="26" spans="1:13" ht="15.75" customHeight="1">
      <c r="A26" s="38">
        <v>8</v>
      </c>
      <c r="B26" s="131" t="s">
        <v>69</v>
      </c>
      <c r="C26" s="132" t="s">
        <v>33</v>
      </c>
      <c r="D26" s="131" t="s">
        <v>140</v>
      </c>
      <c r="E26" s="133">
        <v>0.1</v>
      </c>
      <c r="F26" s="134">
        <f>SUM(E26*365)</f>
        <v>36.5</v>
      </c>
      <c r="G26" s="134">
        <v>147.03</v>
      </c>
      <c r="H26" s="135">
        <f>SUM(F26*G26/1000)</f>
        <v>5.3665950000000002</v>
      </c>
      <c r="I26" s="16">
        <f>F26/12*G26</f>
        <v>447.21625</v>
      </c>
      <c r="J26" s="32"/>
    </row>
    <row r="27" spans="1:13" ht="15.75" customHeight="1">
      <c r="A27" s="38">
        <v>9</v>
      </c>
      <c r="B27" s="139" t="s">
        <v>23</v>
      </c>
      <c r="C27" s="132" t="s">
        <v>24</v>
      </c>
      <c r="D27" s="139" t="s">
        <v>179</v>
      </c>
      <c r="E27" s="133">
        <v>6980.3</v>
      </c>
      <c r="F27" s="134">
        <f>SUM(E27*12)</f>
        <v>83763.600000000006</v>
      </c>
      <c r="G27" s="134">
        <v>4.4000000000000004</v>
      </c>
      <c r="H27" s="135">
        <f>SUM(F27*G27/1000)</f>
        <v>368.55984000000007</v>
      </c>
      <c r="I27" s="16">
        <f>F27/12*G27</f>
        <v>30713.320000000003</v>
      </c>
      <c r="J27" s="32"/>
    </row>
    <row r="28" spans="1:13" ht="15" customHeight="1">
      <c r="A28" s="173" t="s">
        <v>95</v>
      </c>
      <c r="B28" s="173"/>
      <c r="C28" s="173"/>
      <c r="D28" s="173"/>
      <c r="E28" s="173"/>
      <c r="F28" s="173"/>
      <c r="G28" s="173"/>
      <c r="H28" s="173"/>
      <c r="I28" s="173"/>
      <c r="J28" s="31"/>
      <c r="K28" s="8"/>
      <c r="L28" s="8"/>
      <c r="M28" s="8"/>
    </row>
    <row r="29" spans="1:13" ht="15.75" hidden="1" customHeight="1">
      <c r="A29" s="38"/>
      <c r="B29" s="155" t="s">
        <v>28</v>
      </c>
      <c r="C29" s="132"/>
      <c r="D29" s="131"/>
      <c r="E29" s="133"/>
      <c r="F29" s="134"/>
      <c r="G29" s="134"/>
      <c r="H29" s="135"/>
      <c r="I29" s="16"/>
      <c r="J29" s="31"/>
      <c r="K29" s="8"/>
      <c r="L29" s="8"/>
      <c r="M29" s="8"/>
    </row>
    <row r="30" spans="1:13" ht="31.5" hidden="1" customHeight="1">
      <c r="A30" s="38">
        <v>10</v>
      </c>
      <c r="B30" s="131" t="s">
        <v>121</v>
      </c>
      <c r="C30" s="132" t="s">
        <v>104</v>
      </c>
      <c r="D30" s="131" t="s">
        <v>118</v>
      </c>
      <c r="E30" s="134">
        <v>1168.05</v>
      </c>
      <c r="F30" s="134">
        <f>SUM(E30*52/1000)</f>
        <v>60.738599999999998</v>
      </c>
      <c r="G30" s="134">
        <v>155.88999999999999</v>
      </c>
      <c r="H30" s="135">
        <f t="shared" ref="H30:H36" si="1">SUM(F30*G30/1000)</f>
        <v>9.4685403539999982</v>
      </c>
      <c r="I30" s="16">
        <f>F30/6*G30</f>
        <v>1578.0900589999997</v>
      </c>
      <c r="J30" s="31"/>
      <c r="K30" s="8"/>
      <c r="L30" s="8"/>
      <c r="M30" s="8"/>
    </row>
    <row r="31" spans="1:13" ht="31.5" hidden="1" customHeight="1">
      <c r="A31" s="38">
        <v>11</v>
      </c>
      <c r="B31" s="131" t="s">
        <v>142</v>
      </c>
      <c r="C31" s="132" t="s">
        <v>104</v>
      </c>
      <c r="D31" s="131" t="s">
        <v>119</v>
      </c>
      <c r="E31" s="134">
        <v>1039.2</v>
      </c>
      <c r="F31" s="134">
        <f>SUM(E31*78/1000)</f>
        <v>81.057600000000008</v>
      </c>
      <c r="G31" s="134">
        <v>258.63</v>
      </c>
      <c r="H31" s="135">
        <f t="shared" si="1"/>
        <v>20.963927088000002</v>
      </c>
      <c r="I31" s="16">
        <f t="shared" ref="I31:I34" si="2">F31/6*G31</f>
        <v>3493.9878480000002</v>
      </c>
      <c r="J31" s="31"/>
      <c r="K31" s="8"/>
      <c r="L31" s="8"/>
      <c r="M31" s="8"/>
    </row>
    <row r="32" spans="1:13" ht="15.75" hidden="1" customHeight="1">
      <c r="A32" s="38">
        <v>16</v>
      </c>
      <c r="B32" s="131" t="s">
        <v>27</v>
      </c>
      <c r="C32" s="132" t="s">
        <v>104</v>
      </c>
      <c r="D32" s="131" t="s">
        <v>56</v>
      </c>
      <c r="E32" s="134">
        <v>584.03</v>
      </c>
      <c r="F32" s="134">
        <f>SUM(E32/1000)</f>
        <v>0.58402999999999994</v>
      </c>
      <c r="G32" s="134">
        <v>3020.33</v>
      </c>
      <c r="H32" s="135">
        <f t="shared" si="1"/>
        <v>1.7639633298999997</v>
      </c>
      <c r="I32" s="16">
        <f>F32*G32</f>
        <v>1763.9633298999997</v>
      </c>
      <c r="J32" s="31"/>
      <c r="K32" s="8"/>
      <c r="L32" s="8"/>
      <c r="M32" s="8"/>
    </row>
    <row r="33" spans="1:14" ht="15.75" hidden="1" customHeight="1">
      <c r="A33" s="38">
        <v>12</v>
      </c>
      <c r="B33" s="131" t="s">
        <v>141</v>
      </c>
      <c r="C33" s="132" t="s">
        <v>39</v>
      </c>
      <c r="D33" s="131" t="s">
        <v>68</v>
      </c>
      <c r="E33" s="134">
        <v>6</v>
      </c>
      <c r="F33" s="134">
        <f>E33*155/100</f>
        <v>9.3000000000000007</v>
      </c>
      <c r="G33" s="134">
        <v>1302.02</v>
      </c>
      <c r="H33" s="135">
        <f>G33*F33/1000</f>
        <v>12.108786</v>
      </c>
      <c r="I33" s="16">
        <f t="shared" si="2"/>
        <v>2018.1310000000001</v>
      </c>
      <c r="J33" s="31"/>
      <c r="K33" s="8"/>
      <c r="L33" s="8"/>
      <c r="M33" s="8"/>
    </row>
    <row r="34" spans="1:14" ht="15.75" hidden="1" customHeight="1">
      <c r="A34" s="38">
        <v>13</v>
      </c>
      <c r="B34" s="131" t="s">
        <v>120</v>
      </c>
      <c r="C34" s="132" t="s">
        <v>31</v>
      </c>
      <c r="D34" s="131" t="s">
        <v>68</v>
      </c>
      <c r="E34" s="138">
        <v>0.33333333333333331</v>
      </c>
      <c r="F34" s="134">
        <f>155/3</f>
        <v>51.666666666666664</v>
      </c>
      <c r="G34" s="134">
        <v>56.69</v>
      </c>
      <c r="H34" s="135">
        <f>SUM(G34*155/3/1000)</f>
        <v>2.9289833333333331</v>
      </c>
      <c r="I34" s="16">
        <f t="shared" si="2"/>
        <v>488.16388888888883</v>
      </c>
      <c r="J34" s="31"/>
      <c r="K34" s="8"/>
    </row>
    <row r="35" spans="1:14" ht="15.75" hidden="1" customHeight="1">
      <c r="A35" s="38"/>
      <c r="B35" s="131" t="s">
        <v>70</v>
      </c>
      <c r="C35" s="132" t="s">
        <v>33</v>
      </c>
      <c r="D35" s="131" t="s">
        <v>72</v>
      </c>
      <c r="E35" s="133"/>
      <c r="F35" s="134">
        <v>4</v>
      </c>
      <c r="G35" s="134">
        <v>180.15</v>
      </c>
      <c r="H35" s="135">
        <f t="shared" si="1"/>
        <v>0.72060000000000002</v>
      </c>
      <c r="I35" s="16">
        <v>0</v>
      </c>
      <c r="J35" s="32"/>
    </row>
    <row r="36" spans="1:14" ht="15.75" hidden="1" customHeight="1">
      <c r="A36" s="38"/>
      <c r="B36" s="131" t="s">
        <v>71</v>
      </c>
      <c r="C36" s="132" t="s">
        <v>32</v>
      </c>
      <c r="D36" s="131" t="s">
        <v>72</v>
      </c>
      <c r="E36" s="133"/>
      <c r="F36" s="134">
        <v>3</v>
      </c>
      <c r="G36" s="134">
        <v>1136.33</v>
      </c>
      <c r="H36" s="135">
        <f t="shared" si="1"/>
        <v>3.4089899999999997</v>
      </c>
      <c r="I36" s="16">
        <v>0</v>
      </c>
      <c r="J36" s="32"/>
    </row>
    <row r="37" spans="1:14" ht="15.75" customHeight="1">
      <c r="A37" s="38"/>
      <c r="B37" s="155" t="s">
        <v>5</v>
      </c>
      <c r="C37" s="132"/>
      <c r="D37" s="131"/>
      <c r="E37" s="133"/>
      <c r="F37" s="134"/>
      <c r="G37" s="134"/>
      <c r="H37" s="135" t="s">
        <v>179</v>
      </c>
      <c r="I37" s="16"/>
      <c r="J37" s="32"/>
    </row>
    <row r="38" spans="1:14" ht="15.75" customHeight="1">
      <c r="A38" s="38">
        <v>10</v>
      </c>
      <c r="B38" s="131" t="s">
        <v>26</v>
      </c>
      <c r="C38" s="132" t="s">
        <v>32</v>
      </c>
      <c r="D38" s="131"/>
      <c r="E38" s="133"/>
      <c r="F38" s="134">
        <v>10</v>
      </c>
      <c r="G38" s="134">
        <v>1527.22</v>
      </c>
      <c r="H38" s="135">
        <f t="shared" ref="H38:H45" si="3">SUM(F38*G38/1000)</f>
        <v>15.272200000000002</v>
      </c>
      <c r="I38" s="16">
        <f>F38/6*G38</f>
        <v>2545.3666666666668</v>
      </c>
      <c r="J38" s="32"/>
    </row>
    <row r="39" spans="1:14" ht="15.75" customHeight="1">
      <c r="A39" s="38">
        <v>11</v>
      </c>
      <c r="B39" s="131" t="s">
        <v>143</v>
      </c>
      <c r="C39" s="132" t="s">
        <v>33</v>
      </c>
      <c r="D39" s="131"/>
      <c r="E39" s="133"/>
      <c r="F39" s="134">
        <v>10</v>
      </c>
      <c r="G39" s="134">
        <v>77.94</v>
      </c>
      <c r="H39" s="135">
        <f>G39*F39/1000</f>
        <v>0.77939999999999998</v>
      </c>
      <c r="I39" s="16">
        <f>F39/6*G39</f>
        <v>129.9</v>
      </c>
      <c r="J39" s="32"/>
      <c r="L39" s="25"/>
      <c r="M39" s="26"/>
      <c r="N39" s="27"/>
    </row>
    <row r="40" spans="1:14" ht="15.75" customHeight="1">
      <c r="A40" s="38">
        <v>12</v>
      </c>
      <c r="B40" s="131" t="s">
        <v>122</v>
      </c>
      <c r="C40" s="132" t="s">
        <v>29</v>
      </c>
      <c r="D40" s="131" t="s">
        <v>144</v>
      </c>
      <c r="E40" s="133">
        <v>1039.2</v>
      </c>
      <c r="F40" s="134">
        <f>E40*25/1000</f>
        <v>25.98</v>
      </c>
      <c r="G40" s="134">
        <v>2102.71</v>
      </c>
      <c r="H40" s="135">
        <f>G40*F40/1000</f>
        <v>54.628405800000003</v>
      </c>
      <c r="I40" s="16">
        <f>F40/6*G40</f>
        <v>9104.7343000000001</v>
      </c>
      <c r="J40" s="32"/>
      <c r="L40" s="25"/>
      <c r="M40" s="26"/>
      <c r="N40" s="27"/>
    </row>
    <row r="41" spans="1:14" ht="15.75" hidden="1" customHeight="1">
      <c r="A41" s="38"/>
      <c r="B41" s="131" t="s">
        <v>145</v>
      </c>
      <c r="C41" s="132" t="s">
        <v>146</v>
      </c>
      <c r="D41" s="131" t="s">
        <v>72</v>
      </c>
      <c r="E41" s="133"/>
      <c r="F41" s="134">
        <v>50</v>
      </c>
      <c r="G41" s="134">
        <v>213.2</v>
      </c>
      <c r="H41" s="135">
        <f>G41*F41/1000</f>
        <v>10.66</v>
      </c>
      <c r="I41" s="16">
        <v>0</v>
      </c>
      <c r="J41" s="32"/>
      <c r="L41" s="25"/>
      <c r="M41" s="26"/>
      <c r="N41" s="27"/>
    </row>
    <row r="42" spans="1:14" ht="15.75" customHeight="1">
      <c r="A42" s="38">
        <v>13</v>
      </c>
      <c r="B42" s="131" t="s">
        <v>73</v>
      </c>
      <c r="C42" s="132" t="s">
        <v>29</v>
      </c>
      <c r="D42" s="131" t="s">
        <v>103</v>
      </c>
      <c r="E42" s="134">
        <v>153</v>
      </c>
      <c r="F42" s="134">
        <f>SUM(E42*155/1000)</f>
        <v>23.715</v>
      </c>
      <c r="G42" s="134">
        <v>350.75</v>
      </c>
      <c r="H42" s="135">
        <f t="shared" si="3"/>
        <v>8.3180362499999987</v>
      </c>
      <c r="I42" s="16">
        <f>F42/6*G42</f>
        <v>1386.339375</v>
      </c>
      <c r="J42" s="32"/>
      <c r="L42" s="25"/>
      <c r="M42" s="26"/>
      <c r="N42" s="27"/>
    </row>
    <row r="43" spans="1:14" ht="47.25" customHeight="1">
      <c r="A43" s="38">
        <v>14</v>
      </c>
      <c r="B43" s="131" t="s">
        <v>91</v>
      </c>
      <c r="C43" s="132" t="s">
        <v>104</v>
      </c>
      <c r="D43" s="131" t="s">
        <v>147</v>
      </c>
      <c r="E43" s="134">
        <v>24</v>
      </c>
      <c r="F43" s="134">
        <f>SUM(E43*50/1000)</f>
        <v>1.2</v>
      </c>
      <c r="G43" s="134">
        <v>5803.28</v>
      </c>
      <c r="H43" s="135">
        <f t="shared" si="3"/>
        <v>6.9639359999999995</v>
      </c>
      <c r="I43" s="16">
        <f>F43/6*G43</f>
        <v>1160.6559999999999</v>
      </c>
      <c r="J43" s="32"/>
      <c r="L43" s="25"/>
      <c r="M43" s="26"/>
      <c r="N43" s="27"/>
    </row>
    <row r="44" spans="1:14" ht="15.75" customHeight="1">
      <c r="A44" s="38">
        <v>15</v>
      </c>
      <c r="B44" s="131" t="s">
        <v>105</v>
      </c>
      <c r="C44" s="132" t="s">
        <v>104</v>
      </c>
      <c r="D44" s="131" t="s">
        <v>74</v>
      </c>
      <c r="E44" s="134">
        <v>153</v>
      </c>
      <c r="F44" s="134">
        <f>SUM(E44*45/1000)</f>
        <v>6.8849999999999998</v>
      </c>
      <c r="G44" s="134">
        <v>428.7</v>
      </c>
      <c r="H44" s="135">
        <f t="shared" si="3"/>
        <v>2.9515994999999999</v>
      </c>
      <c r="I44" s="16">
        <f>F44/6*G44</f>
        <v>491.93324999999999</v>
      </c>
      <c r="J44" s="32"/>
      <c r="L44" s="25"/>
      <c r="M44" s="26"/>
      <c r="N44" s="27"/>
    </row>
    <row r="45" spans="1:14" ht="15.75" customHeight="1">
      <c r="A45" s="38">
        <v>16</v>
      </c>
      <c r="B45" s="131" t="s">
        <v>75</v>
      </c>
      <c r="C45" s="132" t="s">
        <v>33</v>
      </c>
      <c r="D45" s="131"/>
      <c r="E45" s="133"/>
      <c r="F45" s="134">
        <v>0.9</v>
      </c>
      <c r="G45" s="134">
        <v>798</v>
      </c>
      <c r="H45" s="135">
        <f t="shared" si="3"/>
        <v>0.71820000000000006</v>
      </c>
      <c r="I45" s="16">
        <f>F45/6*G45</f>
        <v>119.69999999999999</v>
      </c>
      <c r="J45" s="32"/>
      <c r="L45" s="25"/>
      <c r="M45" s="26"/>
      <c r="N45" s="27"/>
    </row>
    <row r="46" spans="1:14" ht="15" customHeight="1">
      <c r="A46" s="174" t="s">
        <v>175</v>
      </c>
      <c r="B46" s="175"/>
      <c r="C46" s="175"/>
      <c r="D46" s="175"/>
      <c r="E46" s="175"/>
      <c r="F46" s="175"/>
      <c r="G46" s="175"/>
      <c r="H46" s="175"/>
      <c r="I46" s="176"/>
      <c r="J46" s="32"/>
      <c r="L46" s="25"/>
      <c r="M46" s="26"/>
      <c r="N46" s="27"/>
    </row>
    <row r="47" spans="1:14" ht="15.75" hidden="1" customHeight="1">
      <c r="A47" s="38"/>
      <c r="B47" s="131" t="s">
        <v>148</v>
      </c>
      <c r="C47" s="132" t="s">
        <v>104</v>
      </c>
      <c r="D47" s="131" t="s">
        <v>42</v>
      </c>
      <c r="E47" s="133">
        <v>1895</v>
      </c>
      <c r="F47" s="134">
        <f>SUM(E47*2/1000)</f>
        <v>3.79</v>
      </c>
      <c r="G47" s="16">
        <v>849.49</v>
      </c>
      <c r="H47" s="135">
        <f t="shared" ref="H47:H55" si="4">SUM(F47*G47/1000)</f>
        <v>3.2195671000000003</v>
      </c>
      <c r="I47" s="16">
        <v>0</v>
      </c>
      <c r="J47" s="32"/>
      <c r="L47" s="25"/>
      <c r="M47" s="26"/>
      <c r="N47" s="27"/>
    </row>
    <row r="48" spans="1:14" ht="15.75" hidden="1" customHeight="1">
      <c r="A48" s="38"/>
      <c r="B48" s="131" t="s">
        <v>34</v>
      </c>
      <c r="C48" s="132" t="s">
        <v>104</v>
      </c>
      <c r="D48" s="131" t="s">
        <v>42</v>
      </c>
      <c r="E48" s="133">
        <v>118.2</v>
      </c>
      <c r="F48" s="134">
        <f>E48*2/1000</f>
        <v>0.2364</v>
      </c>
      <c r="G48" s="16">
        <v>579.48</v>
      </c>
      <c r="H48" s="135">
        <f t="shared" si="4"/>
        <v>0.13698907199999999</v>
      </c>
      <c r="I48" s="16">
        <v>0</v>
      </c>
      <c r="J48" s="32"/>
      <c r="L48" s="25"/>
      <c r="M48" s="26"/>
      <c r="N48" s="27"/>
    </row>
    <row r="49" spans="1:22" ht="15.75" hidden="1" customHeight="1">
      <c r="A49" s="38"/>
      <c r="B49" s="131" t="s">
        <v>35</v>
      </c>
      <c r="C49" s="132" t="s">
        <v>104</v>
      </c>
      <c r="D49" s="131" t="s">
        <v>42</v>
      </c>
      <c r="E49" s="133">
        <v>4675</v>
      </c>
      <c r="F49" s="134">
        <f>SUM(E49*2/1000)</f>
        <v>9.35</v>
      </c>
      <c r="G49" s="16">
        <v>579.48</v>
      </c>
      <c r="H49" s="135">
        <f t="shared" si="4"/>
        <v>5.4181379999999999</v>
      </c>
      <c r="I49" s="16">
        <v>0</v>
      </c>
      <c r="J49" s="32"/>
      <c r="L49" s="25"/>
      <c r="M49" s="26"/>
      <c r="N49" s="27"/>
    </row>
    <row r="50" spans="1:22" ht="15.75" hidden="1" customHeight="1">
      <c r="A50" s="38"/>
      <c r="B50" s="131" t="s">
        <v>36</v>
      </c>
      <c r="C50" s="132" t="s">
        <v>104</v>
      </c>
      <c r="D50" s="131" t="s">
        <v>42</v>
      </c>
      <c r="E50" s="133">
        <v>4675</v>
      </c>
      <c r="F50" s="134">
        <f>SUM(E50*2/1000)</f>
        <v>9.35</v>
      </c>
      <c r="G50" s="16">
        <v>606.77</v>
      </c>
      <c r="H50" s="135">
        <f t="shared" si="4"/>
        <v>5.6732994999999988</v>
      </c>
      <c r="I50" s="16">
        <v>0</v>
      </c>
      <c r="J50" s="32"/>
      <c r="L50" s="25"/>
      <c r="M50" s="26"/>
      <c r="N50" s="27"/>
    </row>
    <row r="51" spans="1:22" ht="15.75" customHeight="1">
      <c r="A51" s="38">
        <v>17</v>
      </c>
      <c r="B51" s="131" t="s">
        <v>60</v>
      </c>
      <c r="C51" s="132" t="s">
        <v>104</v>
      </c>
      <c r="D51" s="131" t="s">
        <v>241</v>
      </c>
      <c r="E51" s="133">
        <v>3988</v>
      </c>
      <c r="F51" s="134">
        <f>SUM(E51*5/1000)</f>
        <v>19.940000000000001</v>
      </c>
      <c r="G51" s="16">
        <v>1142.7</v>
      </c>
      <c r="H51" s="135">
        <f t="shared" si="4"/>
        <v>22.785438000000003</v>
      </c>
      <c r="I51" s="16">
        <f>F51/5*G51</f>
        <v>4557.0876000000007</v>
      </c>
      <c r="J51" s="32"/>
      <c r="L51" s="25"/>
      <c r="M51" s="26"/>
      <c r="N51" s="27"/>
    </row>
    <row r="52" spans="1:22" ht="31.5" hidden="1" customHeight="1">
      <c r="A52" s="38"/>
      <c r="B52" s="131" t="s">
        <v>106</v>
      </c>
      <c r="C52" s="132" t="s">
        <v>104</v>
      </c>
      <c r="D52" s="131" t="s">
        <v>42</v>
      </c>
      <c r="E52" s="133">
        <v>3988</v>
      </c>
      <c r="F52" s="134">
        <f>SUM(E52*2/1000)</f>
        <v>7.976</v>
      </c>
      <c r="G52" s="16">
        <v>1213.55</v>
      </c>
      <c r="H52" s="135">
        <f t="shared" si="4"/>
        <v>9.6792748</v>
      </c>
      <c r="I52" s="16">
        <f t="shared" ref="I52:I53" si="5">F52/5*G52</f>
        <v>1935.8549599999999</v>
      </c>
      <c r="J52" s="32"/>
      <c r="L52" s="25"/>
      <c r="M52" s="26"/>
      <c r="N52" s="27"/>
    </row>
    <row r="53" spans="1:22" ht="31.5" hidden="1" customHeight="1">
      <c r="A53" s="38"/>
      <c r="B53" s="131" t="s">
        <v>107</v>
      </c>
      <c r="C53" s="132" t="s">
        <v>37</v>
      </c>
      <c r="D53" s="131" t="s">
        <v>42</v>
      </c>
      <c r="E53" s="133">
        <v>30</v>
      </c>
      <c r="F53" s="134">
        <f>SUM(E53*2/100)</f>
        <v>0.6</v>
      </c>
      <c r="G53" s="16">
        <v>2730.49</v>
      </c>
      <c r="H53" s="135">
        <f>SUM(F53*G53/1000)</f>
        <v>1.6382939999999999</v>
      </c>
      <c r="I53" s="16">
        <f t="shared" si="5"/>
        <v>327.65879999999999</v>
      </c>
      <c r="J53" s="32"/>
      <c r="L53" s="25"/>
      <c r="M53" s="26"/>
      <c r="N53" s="27"/>
    </row>
    <row r="54" spans="1:22" ht="15.75" customHeight="1">
      <c r="A54" s="38">
        <v>18</v>
      </c>
      <c r="B54" s="131" t="s">
        <v>38</v>
      </c>
      <c r="C54" s="132" t="s">
        <v>39</v>
      </c>
      <c r="D54" s="131" t="s">
        <v>42</v>
      </c>
      <c r="E54" s="133">
        <v>1</v>
      </c>
      <c r="F54" s="134">
        <v>0.02</v>
      </c>
      <c r="G54" s="16">
        <v>5652.13</v>
      </c>
      <c r="H54" s="135">
        <f t="shared" si="4"/>
        <v>0.11304260000000001</v>
      </c>
      <c r="I54" s="16">
        <f>F54/2*G54</f>
        <v>56.521300000000004</v>
      </c>
      <c r="J54" s="32"/>
      <c r="L54" s="25"/>
      <c r="M54" s="26"/>
      <c r="N54" s="27"/>
    </row>
    <row r="55" spans="1:22" ht="15.75" hidden="1" customHeight="1">
      <c r="A55" s="38">
        <v>18</v>
      </c>
      <c r="B55" s="131" t="s">
        <v>41</v>
      </c>
      <c r="C55" s="132" t="s">
        <v>124</v>
      </c>
      <c r="D55" s="131" t="s">
        <v>76</v>
      </c>
      <c r="E55" s="133">
        <v>236</v>
      </c>
      <c r="F55" s="134">
        <f>SUM(E55)*3</f>
        <v>708</v>
      </c>
      <c r="G55" s="16">
        <v>65.67</v>
      </c>
      <c r="H55" s="135">
        <f t="shared" si="4"/>
        <v>46.49436</v>
      </c>
      <c r="I55" s="16">
        <f>E55*G55</f>
        <v>15498.12</v>
      </c>
      <c r="J55" s="32"/>
      <c r="L55" s="25"/>
      <c r="M55" s="26"/>
      <c r="N55" s="27"/>
    </row>
    <row r="56" spans="1:22" ht="15.75" customHeight="1">
      <c r="A56" s="174" t="s">
        <v>176</v>
      </c>
      <c r="B56" s="175"/>
      <c r="C56" s="175"/>
      <c r="D56" s="175"/>
      <c r="E56" s="175"/>
      <c r="F56" s="175"/>
      <c r="G56" s="175"/>
      <c r="H56" s="175"/>
      <c r="I56" s="176"/>
      <c r="J56" s="32"/>
      <c r="L56" s="25"/>
      <c r="M56" s="26"/>
      <c r="N56" s="27"/>
    </row>
    <row r="57" spans="1:22" ht="15.75" customHeight="1">
      <c r="A57" s="38"/>
      <c r="B57" s="155" t="s">
        <v>45</v>
      </c>
      <c r="C57" s="132"/>
      <c r="D57" s="131"/>
      <c r="E57" s="133"/>
      <c r="F57" s="134"/>
      <c r="G57" s="134"/>
      <c r="H57" s="135"/>
      <c r="I57" s="16"/>
      <c r="J57" s="32"/>
      <c r="L57" s="25"/>
      <c r="M57" s="26"/>
      <c r="N57" s="27"/>
    </row>
    <row r="58" spans="1:22" ht="31.5" customHeight="1">
      <c r="A58" s="38">
        <v>19</v>
      </c>
      <c r="B58" s="131" t="s">
        <v>149</v>
      </c>
      <c r="C58" s="132" t="s">
        <v>100</v>
      </c>
      <c r="D58" s="131" t="s">
        <v>125</v>
      </c>
      <c r="E58" s="133">
        <v>30</v>
      </c>
      <c r="F58" s="134">
        <f>SUM(E58*6/100)</f>
        <v>1.8</v>
      </c>
      <c r="G58" s="16">
        <v>1547.28</v>
      </c>
      <c r="H58" s="135">
        <f>SUM(F58*G58/1000)</f>
        <v>2.785104</v>
      </c>
      <c r="I58" s="16">
        <f>F58/6*G58</f>
        <v>464.18399999999997</v>
      </c>
      <c r="J58" s="32"/>
      <c r="L58" s="25"/>
    </row>
    <row r="59" spans="1:22" ht="15.75" hidden="1" customHeight="1">
      <c r="A59" s="38">
        <v>20</v>
      </c>
      <c r="B59" s="140" t="s">
        <v>150</v>
      </c>
      <c r="C59" s="141" t="s">
        <v>151</v>
      </c>
      <c r="D59" s="140" t="s">
        <v>42</v>
      </c>
      <c r="E59" s="142">
        <v>6</v>
      </c>
      <c r="F59" s="143">
        <v>12</v>
      </c>
      <c r="G59" s="16">
        <v>180.78</v>
      </c>
      <c r="H59" s="144">
        <f>G59*F59/1000</f>
        <v>2.1693600000000002</v>
      </c>
      <c r="I59" s="16">
        <f>F59/2*G59</f>
        <v>1084.68</v>
      </c>
    </row>
    <row r="60" spans="1:22" ht="15.75" customHeight="1">
      <c r="A60" s="38">
        <v>20</v>
      </c>
      <c r="B60" s="140" t="s">
        <v>152</v>
      </c>
      <c r="C60" s="141" t="s">
        <v>55</v>
      </c>
      <c r="D60" s="140" t="s">
        <v>40</v>
      </c>
      <c r="E60" s="142">
        <v>6</v>
      </c>
      <c r="F60" s="143">
        <f>E60*4/100</f>
        <v>0.24</v>
      </c>
      <c r="G60" s="16">
        <v>1547.28</v>
      </c>
      <c r="H60" s="144">
        <f>G60*F60/1000</f>
        <v>0.37134719999999999</v>
      </c>
      <c r="I60" s="16">
        <f>F60/4*G60</f>
        <v>92.836799999999997</v>
      </c>
    </row>
    <row r="61" spans="1:22" ht="15.75" customHeight="1">
      <c r="A61" s="38"/>
      <c r="B61" s="156" t="s">
        <v>46</v>
      </c>
      <c r="C61" s="141"/>
      <c r="D61" s="140"/>
      <c r="E61" s="142"/>
      <c r="F61" s="143"/>
      <c r="G61" s="16"/>
      <c r="H61" s="144"/>
      <c r="I61" s="16"/>
    </row>
    <row r="62" spans="1:22" ht="15.75" hidden="1" customHeight="1">
      <c r="A62" s="38">
        <v>22</v>
      </c>
      <c r="B62" s="140" t="s">
        <v>153</v>
      </c>
      <c r="C62" s="141" t="s">
        <v>55</v>
      </c>
      <c r="D62" s="140" t="s">
        <v>56</v>
      </c>
      <c r="E62" s="142">
        <v>997</v>
      </c>
      <c r="F62" s="143">
        <v>9.9700000000000006</v>
      </c>
      <c r="G62" s="16">
        <v>793.61</v>
      </c>
      <c r="H62" s="144">
        <f>F62*G62/1000</f>
        <v>7.9122917000000008</v>
      </c>
      <c r="I62" s="16">
        <f>G62*F62</f>
        <v>7912.2917000000007</v>
      </c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9"/>
    </row>
    <row r="63" spans="1:22" ht="15.75" customHeight="1">
      <c r="A63" s="38">
        <v>21</v>
      </c>
      <c r="B63" s="140" t="s">
        <v>154</v>
      </c>
      <c r="C63" s="141" t="s">
        <v>25</v>
      </c>
      <c r="D63" s="140" t="s">
        <v>30</v>
      </c>
      <c r="E63" s="142">
        <v>394</v>
      </c>
      <c r="F63" s="145">
        <f>E63*12</f>
        <v>4728</v>
      </c>
      <c r="G63" s="126">
        <v>2.6</v>
      </c>
      <c r="H63" s="143">
        <f>F63*G63/1000</f>
        <v>12.292800000000002</v>
      </c>
      <c r="I63" s="16">
        <f>F63/12*G63</f>
        <v>1024.4000000000001</v>
      </c>
      <c r="J63" s="34"/>
      <c r="K63" s="34"/>
      <c r="L63" s="3"/>
      <c r="M63" s="3"/>
      <c r="N63" s="3"/>
      <c r="O63" s="3"/>
      <c r="P63" s="3"/>
      <c r="Q63" s="3"/>
      <c r="R63" s="3"/>
      <c r="S63" s="3"/>
      <c r="T63" s="3"/>
      <c r="U63" s="3"/>
    </row>
    <row r="64" spans="1:22" ht="15.75" hidden="1" customHeight="1">
      <c r="A64" s="38"/>
      <c r="B64" s="156" t="s">
        <v>47</v>
      </c>
      <c r="C64" s="141"/>
      <c r="D64" s="140"/>
      <c r="E64" s="142"/>
      <c r="F64" s="145"/>
      <c r="G64" s="145"/>
      <c r="H64" s="143" t="s">
        <v>179</v>
      </c>
      <c r="I64" s="16"/>
      <c r="J64" s="3"/>
      <c r="K64" s="3"/>
      <c r="L64" s="3"/>
      <c r="M64" s="3"/>
      <c r="N64" s="3"/>
      <c r="O64" s="3"/>
      <c r="P64" s="3"/>
      <c r="Q64" s="3"/>
      <c r="S64" s="3"/>
      <c r="T64" s="3"/>
      <c r="U64" s="3"/>
    </row>
    <row r="65" spans="1:21" ht="15.75" hidden="1" customHeight="1">
      <c r="A65" s="38">
        <v>24</v>
      </c>
      <c r="B65" s="18" t="s">
        <v>48</v>
      </c>
      <c r="C65" s="20" t="s">
        <v>124</v>
      </c>
      <c r="D65" s="131" t="s">
        <v>72</v>
      </c>
      <c r="E65" s="23">
        <v>15</v>
      </c>
      <c r="F65" s="134">
        <v>15</v>
      </c>
      <c r="G65" s="16">
        <v>222.4</v>
      </c>
      <c r="H65" s="146">
        <f t="shared" ref="H65:H78" si="6">SUM(F65*G65/1000)</f>
        <v>3.3359999999999999</v>
      </c>
      <c r="I65" s="16">
        <f>G65*3</f>
        <v>667.2</v>
      </c>
      <c r="J65" s="5"/>
      <c r="K65" s="5"/>
      <c r="L65" s="5"/>
      <c r="M65" s="5"/>
      <c r="N65" s="5"/>
      <c r="O65" s="5"/>
      <c r="P65" s="5"/>
      <c r="Q65" s="5"/>
      <c r="R65" s="166"/>
      <c r="S65" s="166"/>
      <c r="T65" s="166"/>
      <c r="U65" s="166"/>
    </row>
    <row r="66" spans="1:21" ht="15.75" hidden="1" customHeight="1">
      <c r="A66" s="38">
        <v>25</v>
      </c>
      <c r="B66" s="18" t="s">
        <v>49</v>
      </c>
      <c r="C66" s="20" t="s">
        <v>124</v>
      </c>
      <c r="D66" s="131" t="s">
        <v>72</v>
      </c>
      <c r="E66" s="23">
        <v>10</v>
      </c>
      <c r="F66" s="134">
        <v>10</v>
      </c>
      <c r="G66" s="16">
        <v>76.25</v>
      </c>
      <c r="H66" s="146">
        <f t="shared" si="6"/>
        <v>0.76249999999999996</v>
      </c>
      <c r="I66" s="16">
        <f>G66</f>
        <v>76.25</v>
      </c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</row>
    <row r="67" spans="1:21" ht="15.75" hidden="1" customHeight="1">
      <c r="A67" s="38"/>
      <c r="B67" s="18" t="s">
        <v>50</v>
      </c>
      <c r="C67" s="20" t="s">
        <v>126</v>
      </c>
      <c r="D67" s="18" t="s">
        <v>56</v>
      </c>
      <c r="E67" s="133">
        <v>28608</v>
      </c>
      <c r="F67" s="16">
        <f>SUM(E67/100)</f>
        <v>286.08</v>
      </c>
      <c r="G67" s="16">
        <v>199.77</v>
      </c>
      <c r="H67" s="146">
        <f t="shared" si="6"/>
        <v>57.150201600000003</v>
      </c>
      <c r="I67" s="16">
        <f>F67*G67</f>
        <v>57150.2016</v>
      </c>
    </row>
    <row r="68" spans="1:21" ht="15.75" hidden="1" customHeight="1">
      <c r="A68" s="38"/>
      <c r="B68" s="18" t="s">
        <v>51</v>
      </c>
      <c r="C68" s="20" t="s">
        <v>127</v>
      </c>
      <c r="D68" s="18"/>
      <c r="E68" s="133">
        <v>28608</v>
      </c>
      <c r="F68" s="16">
        <f>SUM(E68/1000)</f>
        <v>28.608000000000001</v>
      </c>
      <c r="G68" s="16">
        <v>155.57</v>
      </c>
      <c r="H68" s="146">
        <f t="shared" si="6"/>
        <v>4.4505465599999994</v>
      </c>
      <c r="I68" s="16">
        <f t="shared" ref="I68:I72" si="7">F68*G68</f>
        <v>4450.5465599999998</v>
      </c>
    </row>
    <row r="69" spans="1:21" ht="15.75" hidden="1" customHeight="1">
      <c r="A69" s="38"/>
      <c r="B69" s="18" t="s">
        <v>52</v>
      </c>
      <c r="C69" s="20" t="s">
        <v>83</v>
      </c>
      <c r="D69" s="18" t="s">
        <v>56</v>
      </c>
      <c r="E69" s="133">
        <v>4550</v>
      </c>
      <c r="F69" s="16">
        <f>SUM(E69/100)</f>
        <v>45.5</v>
      </c>
      <c r="G69" s="16">
        <v>2074.63</v>
      </c>
      <c r="H69" s="146">
        <f t="shared" si="6"/>
        <v>94.395665000000008</v>
      </c>
      <c r="I69" s="16">
        <f t="shared" si="7"/>
        <v>94395.665000000008</v>
      </c>
    </row>
    <row r="70" spans="1:21" ht="15.75" hidden="1" customHeight="1">
      <c r="A70" s="38"/>
      <c r="B70" s="147" t="s">
        <v>128</v>
      </c>
      <c r="C70" s="20" t="s">
        <v>33</v>
      </c>
      <c r="D70" s="18"/>
      <c r="E70" s="133">
        <v>58.5</v>
      </c>
      <c r="F70" s="16">
        <f>SUM(E70)</f>
        <v>58.5</v>
      </c>
      <c r="G70" s="16">
        <v>45.32</v>
      </c>
      <c r="H70" s="146">
        <f t="shared" si="6"/>
        <v>2.6512199999999999</v>
      </c>
      <c r="I70" s="16">
        <f t="shared" si="7"/>
        <v>2651.22</v>
      </c>
    </row>
    <row r="71" spans="1:21" ht="15.75" hidden="1" customHeight="1">
      <c r="A71" s="38"/>
      <c r="B71" s="147" t="s">
        <v>129</v>
      </c>
      <c r="C71" s="20" t="s">
        <v>33</v>
      </c>
      <c r="D71" s="18"/>
      <c r="E71" s="133">
        <v>58.5</v>
      </c>
      <c r="F71" s="16">
        <f>SUM(E71)</f>
        <v>58.5</v>
      </c>
      <c r="G71" s="16">
        <v>42.28</v>
      </c>
      <c r="H71" s="146">
        <f t="shared" si="6"/>
        <v>2.4733800000000001</v>
      </c>
      <c r="I71" s="16">
        <f t="shared" si="7"/>
        <v>2473.38</v>
      </c>
    </row>
    <row r="72" spans="1:21" ht="15.75" hidden="1" customHeight="1">
      <c r="A72" s="38"/>
      <c r="B72" s="18" t="s">
        <v>61</v>
      </c>
      <c r="C72" s="20" t="s">
        <v>62</v>
      </c>
      <c r="D72" s="18" t="s">
        <v>56</v>
      </c>
      <c r="E72" s="23">
        <v>5</v>
      </c>
      <c r="F72" s="134">
        <v>5</v>
      </c>
      <c r="G72" s="16">
        <v>49.88</v>
      </c>
      <c r="H72" s="146">
        <f t="shared" si="6"/>
        <v>0.24940000000000001</v>
      </c>
      <c r="I72" s="16">
        <f t="shared" si="7"/>
        <v>249.4</v>
      </c>
    </row>
    <row r="73" spans="1:21" ht="15.75" hidden="1" customHeight="1">
      <c r="A73" s="38"/>
      <c r="B73" s="106" t="s">
        <v>77</v>
      </c>
      <c r="C73" s="20"/>
      <c r="D73" s="18"/>
      <c r="E73" s="23"/>
      <c r="F73" s="16"/>
      <c r="G73" s="16"/>
      <c r="H73" s="146" t="s">
        <v>179</v>
      </c>
      <c r="I73" s="16"/>
    </row>
    <row r="74" spans="1:21" ht="15.75" hidden="1" customHeight="1">
      <c r="A74" s="38"/>
      <c r="B74" s="18" t="s">
        <v>78</v>
      </c>
      <c r="C74" s="20" t="s">
        <v>80</v>
      </c>
      <c r="D74" s="18"/>
      <c r="E74" s="23">
        <v>10</v>
      </c>
      <c r="F74" s="16">
        <v>1</v>
      </c>
      <c r="G74" s="16">
        <v>501.62</v>
      </c>
      <c r="H74" s="146">
        <f t="shared" si="6"/>
        <v>0.50161999999999995</v>
      </c>
      <c r="I74" s="16">
        <v>0</v>
      </c>
    </row>
    <row r="75" spans="1:21" ht="15.75" hidden="1" customHeight="1">
      <c r="A75" s="38"/>
      <c r="B75" s="18" t="s">
        <v>79</v>
      </c>
      <c r="C75" s="20" t="s">
        <v>31</v>
      </c>
      <c r="D75" s="18"/>
      <c r="E75" s="23">
        <v>3</v>
      </c>
      <c r="F75" s="126">
        <v>3</v>
      </c>
      <c r="G75" s="16">
        <v>852.99</v>
      </c>
      <c r="H75" s="146">
        <f>F75*G75/1000</f>
        <v>2.5589700000000004</v>
      </c>
      <c r="I75" s="16">
        <v>0</v>
      </c>
    </row>
    <row r="76" spans="1:21" ht="15.75" hidden="1" customHeight="1">
      <c r="A76" s="38"/>
      <c r="B76" s="18" t="s">
        <v>131</v>
      </c>
      <c r="C76" s="20" t="s">
        <v>31</v>
      </c>
      <c r="D76" s="18"/>
      <c r="E76" s="23">
        <v>1</v>
      </c>
      <c r="F76" s="16">
        <v>1</v>
      </c>
      <c r="G76" s="16">
        <v>358.51</v>
      </c>
      <c r="H76" s="146">
        <f>G76*F76/1000</f>
        <v>0.35851</v>
      </c>
      <c r="I76" s="16">
        <v>0</v>
      </c>
    </row>
    <row r="77" spans="1:21" ht="15.75" hidden="1" customHeight="1">
      <c r="A77" s="38"/>
      <c r="B77" s="149" t="s">
        <v>81</v>
      </c>
      <c r="C77" s="20"/>
      <c r="D77" s="18"/>
      <c r="E77" s="23"/>
      <c r="F77" s="16"/>
      <c r="G77" s="16" t="s">
        <v>179</v>
      </c>
      <c r="H77" s="146" t="s">
        <v>179</v>
      </c>
      <c r="I77" s="16"/>
    </row>
    <row r="78" spans="1:21" ht="15.75" hidden="1" customHeight="1">
      <c r="A78" s="38"/>
      <c r="B78" s="68" t="s">
        <v>242</v>
      </c>
      <c r="C78" s="20" t="s">
        <v>83</v>
      </c>
      <c r="D78" s="18"/>
      <c r="E78" s="23"/>
      <c r="F78" s="16">
        <v>1.2</v>
      </c>
      <c r="G78" s="16">
        <v>2759.44</v>
      </c>
      <c r="H78" s="146">
        <f t="shared" si="6"/>
        <v>3.311328</v>
      </c>
      <c r="I78" s="16">
        <v>0</v>
      </c>
    </row>
    <row r="79" spans="1:21" ht="15.75" hidden="1" customHeight="1">
      <c r="A79" s="38"/>
      <c r="B79" s="125" t="s">
        <v>108</v>
      </c>
      <c r="C79" s="125"/>
      <c r="D79" s="125"/>
      <c r="E79" s="125"/>
      <c r="F79" s="125"/>
      <c r="G79" s="137"/>
      <c r="H79" s="150">
        <f>SUM(H58:H78)</f>
        <v>197.73024405999999</v>
      </c>
      <c r="I79" s="137"/>
    </row>
    <row r="80" spans="1:21" ht="15.75" hidden="1" customHeight="1">
      <c r="A80" s="38"/>
      <c r="B80" s="157" t="s">
        <v>130</v>
      </c>
      <c r="C80" s="29"/>
      <c r="D80" s="28"/>
      <c r="E80" s="127"/>
      <c r="F80" s="158">
        <v>1</v>
      </c>
      <c r="G80" s="16">
        <v>23072.1</v>
      </c>
      <c r="H80" s="146">
        <f>G80*F80/1000</f>
        <v>23.072099999999999</v>
      </c>
      <c r="I80" s="16">
        <v>0</v>
      </c>
    </row>
    <row r="81" spans="1:9" ht="15.75" customHeight="1">
      <c r="A81" s="167" t="s">
        <v>177</v>
      </c>
      <c r="B81" s="168"/>
      <c r="C81" s="168"/>
      <c r="D81" s="168"/>
      <c r="E81" s="168"/>
      <c r="F81" s="168"/>
      <c r="G81" s="168"/>
      <c r="H81" s="168"/>
      <c r="I81" s="169"/>
    </row>
    <row r="82" spans="1:9" ht="15.75" customHeight="1">
      <c r="A82" s="38">
        <v>22</v>
      </c>
      <c r="B82" s="131" t="s">
        <v>132</v>
      </c>
      <c r="C82" s="20" t="s">
        <v>58</v>
      </c>
      <c r="D82" s="92" t="s">
        <v>59</v>
      </c>
      <c r="E82" s="16">
        <v>6980.3</v>
      </c>
      <c r="F82" s="16">
        <f>SUM(E82*12)</f>
        <v>83763.600000000006</v>
      </c>
      <c r="G82" s="16">
        <v>2.1</v>
      </c>
      <c r="H82" s="146">
        <f>SUM(F82*G82/1000)</f>
        <v>175.90356000000003</v>
      </c>
      <c r="I82" s="16">
        <f>F82/12*G82</f>
        <v>14658.630000000001</v>
      </c>
    </row>
    <row r="83" spans="1:9" ht="31.5" customHeight="1">
      <c r="A83" s="38">
        <v>23</v>
      </c>
      <c r="B83" s="18" t="s">
        <v>84</v>
      </c>
      <c r="C83" s="20"/>
      <c r="D83" s="92" t="s">
        <v>59</v>
      </c>
      <c r="E83" s="133">
        <f>E82</f>
        <v>6980.3</v>
      </c>
      <c r="F83" s="16">
        <f>E83*12</f>
        <v>83763.600000000006</v>
      </c>
      <c r="G83" s="16">
        <v>1.63</v>
      </c>
      <c r="H83" s="146">
        <f>F83*G83/1000</f>
        <v>136.53466800000001</v>
      </c>
      <c r="I83" s="16">
        <f>F83/12*G83</f>
        <v>11377.888999999999</v>
      </c>
    </row>
    <row r="84" spans="1:9" ht="15.75" customHeight="1">
      <c r="A84" s="38"/>
      <c r="B84" s="55" t="s">
        <v>88</v>
      </c>
      <c r="C84" s="149"/>
      <c r="D84" s="148"/>
      <c r="E84" s="137"/>
      <c r="F84" s="137"/>
      <c r="G84" s="137"/>
      <c r="H84" s="150">
        <f>H83</f>
        <v>136.53466800000001</v>
      </c>
      <c r="I84" s="137">
        <f>I16+I17+I18+I20+I21+I24+I25+I26+I27+I38+I39+I40+I42+I43+I44+I45+I51+I54+I58+I60+I63+I82+I83</f>
        <v>106466.37627766666</v>
      </c>
    </row>
    <row r="85" spans="1:9" ht="15.75" customHeight="1">
      <c r="A85" s="38"/>
      <c r="B85" s="88" t="s">
        <v>64</v>
      </c>
      <c r="C85" s="20"/>
      <c r="D85" s="68"/>
      <c r="E85" s="16"/>
      <c r="F85" s="16"/>
      <c r="G85" s="16"/>
      <c r="H85" s="16"/>
      <c r="I85" s="16"/>
    </row>
    <row r="86" spans="1:9" ht="15.75" customHeight="1">
      <c r="A86" s="38">
        <v>24</v>
      </c>
      <c r="B86" s="89" t="s">
        <v>155</v>
      </c>
      <c r="C86" s="110" t="s">
        <v>124</v>
      </c>
      <c r="D86" s="18"/>
      <c r="E86" s="23"/>
      <c r="F86" s="16">
        <v>1440</v>
      </c>
      <c r="G86" s="16">
        <v>50.68</v>
      </c>
      <c r="H86" s="146">
        <f t="shared" ref="H86:H91" si="8">G86*F86/1000</f>
        <v>72.979199999999992</v>
      </c>
      <c r="I86" s="16">
        <f>G86*120</f>
        <v>6081.6</v>
      </c>
    </row>
    <row r="87" spans="1:9" ht="31.5" customHeight="1">
      <c r="A87" s="38">
        <v>25</v>
      </c>
      <c r="B87" s="89" t="s">
        <v>180</v>
      </c>
      <c r="C87" s="110" t="s">
        <v>181</v>
      </c>
      <c r="D87" s="18"/>
      <c r="E87" s="23"/>
      <c r="F87" s="16">
        <v>3</v>
      </c>
      <c r="G87" s="16">
        <v>51.39</v>
      </c>
      <c r="H87" s="146">
        <f t="shared" si="8"/>
        <v>0.15417000000000003</v>
      </c>
      <c r="I87" s="16">
        <f>G87</f>
        <v>51.39</v>
      </c>
    </row>
    <row r="88" spans="1:9" ht="31.5" customHeight="1">
      <c r="A88" s="38">
        <v>26</v>
      </c>
      <c r="B88" s="109" t="s">
        <v>166</v>
      </c>
      <c r="C88" s="38" t="s">
        <v>167</v>
      </c>
      <c r="D88" s="18"/>
      <c r="E88" s="23"/>
      <c r="F88" s="16">
        <v>2</v>
      </c>
      <c r="G88" s="16">
        <v>1835.8</v>
      </c>
      <c r="H88" s="146">
        <f t="shared" si="8"/>
        <v>3.6715999999999998</v>
      </c>
      <c r="I88" s="16">
        <f t="shared" ref="I88:I92" si="9">G88</f>
        <v>1835.8</v>
      </c>
    </row>
    <row r="89" spans="1:9" ht="15.75" customHeight="1">
      <c r="A89" s="38">
        <v>27</v>
      </c>
      <c r="B89" s="89" t="s">
        <v>90</v>
      </c>
      <c r="C89" s="110" t="s">
        <v>124</v>
      </c>
      <c r="D89" s="18"/>
      <c r="E89" s="23"/>
      <c r="F89" s="16">
        <v>19</v>
      </c>
      <c r="G89" s="16">
        <v>180.15</v>
      </c>
      <c r="H89" s="146">
        <f t="shared" si="8"/>
        <v>3.4228499999999999</v>
      </c>
      <c r="I89" s="16">
        <f t="shared" si="9"/>
        <v>180.15</v>
      </c>
    </row>
    <row r="90" spans="1:9" ht="31.5" customHeight="1">
      <c r="A90" s="38">
        <v>28</v>
      </c>
      <c r="B90" s="89" t="s">
        <v>182</v>
      </c>
      <c r="C90" s="110" t="s">
        <v>183</v>
      </c>
      <c r="D90" s="18"/>
      <c r="E90" s="23"/>
      <c r="F90" s="16">
        <v>7</v>
      </c>
      <c r="G90" s="16">
        <v>559.62</v>
      </c>
      <c r="H90" s="146">
        <f t="shared" si="8"/>
        <v>3.9173400000000003</v>
      </c>
      <c r="I90" s="16">
        <f>G90*2</f>
        <v>1119.24</v>
      </c>
    </row>
    <row r="91" spans="1:9" ht="31.5" customHeight="1">
      <c r="A91" s="38">
        <v>29</v>
      </c>
      <c r="B91" s="89" t="s">
        <v>184</v>
      </c>
      <c r="C91" s="110" t="s">
        <v>185</v>
      </c>
      <c r="D91" s="18"/>
      <c r="E91" s="23"/>
      <c r="F91" s="16">
        <v>1</v>
      </c>
      <c r="G91" s="16">
        <v>629.39</v>
      </c>
      <c r="H91" s="146">
        <f t="shared" si="8"/>
        <v>0.62939000000000001</v>
      </c>
      <c r="I91" s="16">
        <f t="shared" si="9"/>
        <v>629.39</v>
      </c>
    </row>
    <row r="92" spans="1:9" ht="15.75" customHeight="1">
      <c r="A92" s="38">
        <v>30</v>
      </c>
      <c r="B92" s="140" t="s">
        <v>186</v>
      </c>
      <c r="C92" s="141" t="s">
        <v>124</v>
      </c>
      <c r="D92" s="140"/>
      <c r="E92" s="142"/>
      <c r="F92" s="145">
        <v>1</v>
      </c>
      <c r="G92" s="151">
        <v>81.73</v>
      </c>
      <c r="H92" s="143">
        <f t="shared" ref="H92" si="10">SUM(F92*G92/1000)</f>
        <v>8.1729999999999997E-2</v>
      </c>
      <c r="I92" s="16">
        <f t="shared" si="9"/>
        <v>81.73</v>
      </c>
    </row>
    <row r="93" spans="1:9" ht="15.75" customHeight="1">
      <c r="A93" s="38"/>
      <c r="B93" s="62" t="s">
        <v>53</v>
      </c>
      <c r="C93" s="58"/>
      <c r="D93" s="72"/>
      <c r="E93" s="58">
        <v>1</v>
      </c>
      <c r="F93" s="58"/>
      <c r="G93" s="58"/>
      <c r="H93" s="58"/>
      <c r="I93" s="40">
        <f>SUM(I86:I92)</f>
        <v>9979.2999999999993</v>
      </c>
    </row>
    <row r="94" spans="1:9">
      <c r="A94" s="38"/>
      <c r="B94" s="68" t="s">
        <v>85</v>
      </c>
      <c r="C94" s="19"/>
      <c r="D94" s="19"/>
      <c r="E94" s="59"/>
      <c r="F94" s="59"/>
      <c r="G94" s="60"/>
      <c r="H94" s="60"/>
      <c r="I94" s="22">
        <v>0</v>
      </c>
    </row>
    <row r="95" spans="1:9">
      <c r="A95" s="73"/>
      <c r="B95" s="63" t="s">
        <v>54</v>
      </c>
      <c r="C95" s="46"/>
      <c r="D95" s="46"/>
      <c r="E95" s="46"/>
      <c r="F95" s="46"/>
      <c r="G95" s="46"/>
      <c r="H95" s="46"/>
      <c r="I95" s="61">
        <f>I84+I93</f>
        <v>116445.67627766666</v>
      </c>
    </row>
    <row r="96" spans="1:9" ht="15.75">
      <c r="A96" s="170" t="s">
        <v>246</v>
      </c>
      <c r="B96" s="170"/>
      <c r="C96" s="170"/>
      <c r="D96" s="170"/>
      <c r="E96" s="170"/>
      <c r="F96" s="170"/>
      <c r="G96" s="170"/>
      <c r="H96" s="170"/>
      <c r="I96" s="170"/>
    </row>
    <row r="97" spans="1:9" ht="15.75" customHeight="1">
      <c r="A97" s="108"/>
      <c r="B97" s="171" t="s">
        <v>247</v>
      </c>
      <c r="C97" s="171"/>
      <c r="D97" s="171"/>
      <c r="E97" s="171"/>
      <c r="F97" s="171"/>
      <c r="G97" s="171"/>
      <c r="H97" s="130"/>
      <c r="I97" s="3"/>
    </row>
    <row r="98" spans="1:9">
      <c r="A98" s="104"/>
      <c r="B98" s="164" t="s">
        <v>6</v>
      </c>
      <c r="C98" s="164"/>
      <c r="D98" s="164"/>
      <c r="E98" s="164"/>
      <c r="F98" s="164"/>
      <c r="G98" s="164"/>
      <c r="H98" s="33"/>
      <c r="I98" s="5"/>
    </row>
    <row r="99" spans="1:9">
      <c r="A99" s="10"/>
      <c r="B99" s="10"/>
      <c r="C99" s="10"/>
      <c r="D99" s="10"/>
      <c r="E99" s="10"/>
      <c r="F99" s="10"/>
      <c r="G99" s="10"/>
      <c r="H99" s="10"/>
      <c r="I99" s="10"/>
    </row>
    <row r="100" spans="1:9" ht="15.75">
      <c r="A100" s="172" t="s">
        <v>7</v>
      </c>
      <c r="B100" s="172"/>
      <c r="C100" s="172"/>
      <c r="D100" s="172"/>
      <c r="E100" s="172"/>
      <c r="F100" s="172"/>
      <c r="G100" s="172"/>
      <c r="H100" s="172"/>
      <c r="I100" s="172"/>
    </row>
    <row r="101" spans="1:9" ht="15.75">
      <c r="A101" s="172" t="s">
        <v>8</v>
      </c>
      <c r="B101" s="172"/>
      <c r="C101" s="172"/>
      <c r="D101" s="172"/>
      <c r="E101" s="172"/>
      <c r="F101" s="172"/>
      <c r="G101" s="172"/>
      <c r="H101" s="172"/>
      <c r="I101" s="172"/>
    </row>
    <row r="102" spans="1:9" ht="15.75">
      <c r="A102" s="161" t="s">
        <v>65</v>
      </c>
      <c r="B102" s="161"/>
      <c r="C102" s="161"/>
      <c r="D102" s="161"/>
      <c r="E102" s="161"/>
      <c r="F102" s="161"/>
      <c r="G102" s="161"/>
      <c r="H102" s="161"/>
      <c r="I102" s="161"/>
    </row>
    <row r="103" spans="1:9" ht="15.75">
      <c r="A103" s="11"/>
    </row>
    <row r="104" spans="1:9" ht="15.75">
      <c r="A104" s="162" t="s">
        <v>9</v>
      </c>
      <c r="B104" s="162"/>
      <c r="C104" s="162"/>
      <c r="D104" s="162"/>
      <c r="E104" s="162"/>
      <c r="F104" s="162"/>
      <c r="G104" s="162"/>
      <c r="H104" s="162"/>
      <c r="I104" s="162"/>
    </row>
    <row r="105" spans="1:9" ht="15.75" customHeight="1">
      <c r="A105" s="4"/>
    </row>
    <row r="106" spans="1:9" ht="15.75" customHeight="1">
      <c r="B106" s="105" t="s">
        <v>10</v>
      </c>
      <c r="C106" s="163" t="s">
        <v>170</v>
      </c>
      <c r="D106" s="163"/>
      <c r="E106" s="163"/>
      <c r="F106" s="128"/>
      <c r="I106" s="103"/>
    </row>
    <row r="107" spans="1:9" ht="15.75" customHeight="1">
      <c r="A107" s="104"/>
      <c r="C107" s="164" t="s">
        <v>11</v>
      </c>
      <c r="D107" s="164"/>
      <c r="E107" s="164"/>
      <c r="F107" s="33"/>
      <c r="I107" s="102" t="s">
        <v>12</v>
      </c>
    </row>
    <row r="108" spans="1:9" ht="15.75" customHeight="1">
      <c r="A108" s="34"/>
      <c r="C108" s="12"/>
      <c r="D108" s="12"/>
      <c r="G108" s="12"/>
      <c r="H108" s="12"/>
    </row>
    <row r="109" spans="1:9" ht="15.75">
      <c r="B109" s="105" t="s">
        <v>13</v>
      </c>
      <c r="C109" s="165"/>
      <c r="D109" s="165"/>
      <c r="E109" s="165"/>
      <c r="F109" s="129"/>
      <c r="I109" s="103"/>
    </row>
    <row r="110" spans="1:9">
      <c r="A110" s="104"/>
      <c r="C110" s="166" t="s">
        <v>11</v>
      </c>
      <c r="D110" s="166"/>
      <c r="E110" s="166"/>
      <c r="F110" s="104"/>
      <c r="I110" s="102" t="s">
        <v>12</v>
      </c>
    </row>
    <row r="111" spans="1:9" ht="15.75">
      <c r="A111" s="4" t="s">
        <v>14</v>
      </c>
    </row>
    <row r="112" spans="1:9">
      <c r="A112" s="159" t="s">
        <v>15</v>
      </c>
      <c r="B112" s="159"/>
      <c r="C112" s="159"/>
      <c r="D112" s="159"/>
      <c r="E112" s="159"/>
      <c r="F112" s="159"/>
      <c r="G112" s="159"/>
      <c r="H112" s="159"/>
      <c r="I112" s="159"/>
    </row>
    <row r="113" spans="1:9" ht="45" customHeight="1">
      <c r="A113" s="160" t="s">
        <v>16</v>
      </c>
      <c r="B113" s="160"/>
      <c r="C113" s="160"/>
      <c r="D113" s="160"/>
      <c r="E113" s="160"/>
      <c r="F113" s="160"/>
      <c r="G113" s="160"/>
      <c r="H113" s="160"/>
      <c r="I113" s="160"/>
    </row>
    <row r="114" spans="1:9" ht="30" customHeight="1">
      <c r="A114" s="160" t="s">
        <v>17</v>
      </c>
      <c r="B114" s="160"/>
      <c r="C114" s="160"/>
      <c r="D114" s="160"/>
      <c r="E114" s="160"/>
      <c r="F114" s="160"/>
      <c r="G114" s="160"/>
      <c r="H114" s="160"/>
      <c r="I114" s="160"/>
    </row>
    <row r="115" spans="1:9" ht="30" customHeight="1">
      <c r="A115" s="160" t="s">
        <v>21</v>
      </c>
      <c r="B115" s="160"/>
      <c r="C115" s="160"/>
      <c r="D115" s="160"/>
      <c r="E115" s="160"/>
      <c r="F115" s="160"/>
      <c r="G115" s="160"/>
      <c r="H115" s="160"/>
      <c r="I115" s="160"/>
    </row>
    <row r="116" spans="1:9" ht="15" customHeight="1">
      <c r="A116" s="160" t="s">
        <v>20</v>
      </c>
      <c r="B116" s="160"/>
      <c r="C116" s="160"/>
      <c r="D116" s="160"/>
      <c r="E116" s="160"/>
      <c r="F116" s="160"/>
      <c r="G116" s="160"/>
      <c r="H116" s="160"/>
      <c r="I116" s="160"/>
    </row>
  </sheetData>
  <autoFilter ref="I12:I60"/>
  <mergeCells count="28">
    <mergeCell ref="R65:U65"/>
    <mergeCell ref="A81:I81"/>
    <mergeCell ref="A3:I3"/>
    <mergeCell ref="A4:I4"/>
    <mergeCell ref="A5:I5"/>
    <mergeCell ref="A8:I8"/>
    <mergeCell ref="A10:I10"/>
    <mergeCell ref="A14:I14"/>
    <mergeCell ref="A102:I102"/>
    <mergeCell ref="A15:I15"/>
    <mergeCell ref="A28:I28"/>
    <mergeCell ref="A46:I46"/>
    <mergeCell ref="A56:I56"/>
    <mergeCell ref="A96:I96"/>
    <mergeCell ref="B97:G97"/>
    <mergeCell ref="B98:G98"/>
    <mergeCell ref="A100:I100"/>
    <mergeCell ref="A101:I101"/>
    <mergeCell ref="A113:I113"/>
    <mergeCell ref="A114:I114"/>
    <mergeCell ref="A115:I115"/>
    <mergeCell ref="A116:I116"/>
    <mergeCell ref="A104:I104"/>
    <mergeCell ref="C106:E106"/>
    <mergeCell ref="C107:E107"/>
    <mergeCell ref="C109:E109"/>
    <mergeCell ref="C110:E110"/>
    <mergeCell ref="A112:I112"/>
  </mergeCells>
  <pageMargins left="0.70866141732283472" right="0.23622047244094491" top="0.27559055118110237" bottom="0.27559055118110237" header="0.31496062992125984" footer="0.31496062992125984"/>
  <pageSetup paperSize="9" scale="60" orientation="portrait" r:id="rId1"/>
  <colBreaks count="1" manualBreakCount="1">
    <brk id="9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V118"/>
  <sheetViews>
    <sheetView workbookViewId="0">
      <selection activeCell="A3" sqref="A3:I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36" t="s">
        <v>96</v>
      </c>
      <c r="I1" s="35"/>
      <c r="J1" s="1"/>
      <c r="K1" s="1"/>
      <c r="L1" s="1"/>
      <c r="M1" s="1"/>
    </row>
    <row r="2" spans="1:13" ht="15.75">
      <c r="A2" s="37" t="s">
        <v>67</v>
      </c>
      <c r="J2" s="2"/>
      <c r="K2" s="2"/>
      <c r="L2" s="2"/>
      <c r="M2" s="2"/>
    </row>
    <row r="3" spans="1:13" ht="15.75" customHeight="1">
      <c r="A3" s="177" t="s">
        <v>249</v>
      </c>
      <c r="B3" s="177"/>
      <c r="C3" s="177"/>
      <c r="D3" s="177"/>
      <c r="E3" s="177"/>
      <c r="F3" s="177"/>
      <c r="G3" s="177"/>
      <c r="H3" s="177"/>
      <c r="I3" s="177"/>
      <c r="J3" s="3"/>
      <c r="K3" s="3"/>
      <c r="L3" s="3"/>
    </row>
    <row r="4" spans="1:13" ht="31.5" customHeight="1">
      <c r="A4" s="178" t="s">
        <v>159</v>
      </c>
      <c r="B4" s="178"/>
      <c r="C4" s="178"/>
      <c r="D4" s="178"/>
      <c r="E4" s="178"/>
      <c r="F4" s="178"/>
      <c r="G4" s="178"/>
      <c r="H4" s="178"/>
      <c r="I4" s="178"/>
    </row>
    <row r="5" spans="1:13" ht="15.75">
      <c r="A5" s="177" t="s">
        <v>250</v>
      </c>
      <c r="B5" s="179"/>
      <c r="C5" s="179"/>
      <c r="D5" s="179"/>
      <c r="E5" s="179"/>
      <c r="F5" s="179"/>
      <c r="G5" s="179"/>
      <c r="H5" s="179"/>
      <c r="I5" s="179"/>
      <c r="J5" s="2"/>
      <c r="K5" s="2"/>
      <c r="L5" s="2"/>
      <c r="M5" s="2"/>
    </row>
    <row r="6" spans="1:13" ht="15.75">
      <c r="A6" s="2"/>
      <c r="B6" s="116"/>
      <c r="C6" s="116"/>
      <c r="D6" s="116"/>
      <c r="E6" s="116"/>
      <c r="F6" s="116"/>
      <c r="G6" s="116"/>
      <c r="H6" s="116"/>
      <c r="I6" s="39">
        <v>42460</v>
      </c>
      <c r="J6" s="2"/>
      <c r="K6" s="2"/>
      <c r="L6" s="2"/>
      <c r="M6" s="2"/>
    </row>
    <row r="7" spans="1:13" ht="15.75">
      <c r="B7" s="117"/>
      <c r="C7" s="117"/>
      <c r="D7" s="117"/>
      <c r="E7" s="3"/>
      <c r="F7" s="3"/>
      <c r="G7" s="3"/>
      <c r="H7" s="3"/>
      <c r="J7" s="3"/>
      <c r="K7" s="3"/>
      <c r="L7" s="3"/>
      <c r="M7" s="3"/>
    </row>
    <row r="8" spans="1:13" ht="87" customHeight="1">
      <c r="A8" s="180" t="s">
        <v>174</v>
      </c>
      <c r="B8" s="180"/>
      <c r="C8" s="180"/>
      <c r="D8" s="180"/>
      <c r="E8" s="180"/>
      <c r="F8" s="180"/>
      <c r="G8" s="180"/>
      <c r="H8" s="180"/>
      <c r="I8" s="180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55.5" customHeight="1">
      <c r="A10" s="181" t="s">
        <v>173</v>
      </c>
      <c r="B10" s="181"/>
      <c r="C10" s="181"/>
      <c r="D10" s="181"/>
      <c r="E10" s="181"/>
      <c r="F10" s="181"/>
      <c r="G10" s="181"/>
      <c r="H10" s="181"/>
      <c r="I10" s="181"/>
      <c r="J10" s="2"/>
      <c r="K10" s="2"/>
      <c r="L10" s="2"/>
      <c r="M10" s="2"/>
    </row>
    <row r="11" spans="1:13" ht="15.75">
      <c r="A11" s="4"/>
    </row>
    <row r="12" spans="1:13" ht="4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182" t="s">
        <v>63</v>
      </c>
      <c r="B14" s="182"/>
      <c r="C14" s="182"/>
      <c r="D14" s="182"/>
      <c r="E14" s="182"/>
      <c r="F14" s="182"/>
      <c r="G14" s="182"/>
      <c r="H14" s="182"/>
      <c r="I14" s="182"/>
      <c r="J14" s="8"/>
      <c r="K14" s="8"/>
      <c r="L14" s="8"/>
      <c r="M14" s="8"/>
    </row>
    <row r="15" spans="1:13" ht="15" customHeight="1">
      <c r="A15" s="173" t="s">
        <v>4</v>
      </c>
      <c r="B15" s="173"/>
      <c r="C15" s="173"/>
      <c r="D15" s="173"/>
      <c r="E15" s="173"/>
      <c r="F15" s="173"/>
      <c r="G15" s="173"/>
      <c r="H15" s="173"/>
      <c r="I15" s="173"/>
      <c r="J15" s="8"/>
      <c r="K15" s="8"/>
      <c r="L15" s="8"/>
      <c r="M15" s="8"/>
    </row>
    <row r="16" spans="1:13" ht="31.5" customHeight="1">
      <c r="A16" s="38">
        <v>1</v>
      </c>
      <c r="B16" s="131" t="s">
        <v>99</v>
      </c>
      <c r="C16" s="132" t="s">
        <v>100</v>
      </c>
      <c r="D16" s="131" t="s">
        <v>101</v>
      </c>
      <c r="E16" s="133">
        <v>208.08</v>
      </c>
      <c r="F16" s="134">
        <f>SUM(E16*156/100)</f>
        <v>324.60480000000001</v>
      </c>
      <c r="G16" s="134">
        <v>175.38</v>
      </c>
      <c r="H16" s="135">
        <f t="shared" ref="H16:H25" si="0">SUM(F16*G16/1000)</f>
        <v>56.929189823999998</v>
      </c>
      <c r="I16" s="16">
        <f>F16/12*G16</f>
        <v>4744.0991519999998</v>
      </c>
      <c r="J16" s="30"/>
      <c r="K16" s="8"/>
      <c r="L16" s="8"/>
      <c r="M16" s="8"/>
    </row>
    <row r="17" spans="1:13" ht="31.5" customHeight="1">
      <c r="A17" s="38">
        <v>2</v>
      </c>
      <c r="B17" s="131" t="s">
        <v>135</v>
      </c>
      <c r="C17" s="132" t="s">
        <v>100</v>
      </c>
      <c r="D17" s="131" t="s">
        <v>102</v>
      </c>
      <c r="E17" s="133">
        <v>832.32</v>
      </c>
      <c r="F17" s="134">
        <f>SUM(E17*104/100)</f>
        <v>865.61279999999999</v>
      </c>
      <c r="G17" s="134">
        <v>175.38</v>
      </c>
      <c r="H17" s="135">
        <f t="shared" si="0"/>
        <v>151.81117286399999</v>
      </c>
      <c r="I17" s="16">
        <f>F17/12*G17</f>
        <v>12650.931071999999</v>
      </c>
      <c r="J17" s="31"/>
      <c r="K17" s="8"/>
      <c r="L17" s="8"/>
      <c r="M17" s="8"/>
    </row>
    <row r="18" spans="1:13" ht="31.5" customHeight="1">
      <c r="A18" s="38">
        <v>3</v>
      </c>
      <c r="B18" s="131" t="s">
        <v>136</v>
      </c>
      <c r="C18" s="132" t="s">
        <v>100</v>
      </c>
      <c r="D18" s="131" t="s">
        <v>240</v>
      </c>
      <c r="E18" s="133">
        <v>1040.4000000000001</v>
      </c>
      <c r="F18" s="134">
        <f>SUM(E18*24/100)</f>
        <v>249.69600000000003</v>
      </c>
      <c r="G18" s="134">
        <v>504.5</v>
      </c>
      <c r="H18" s="135">
        <f t="shared" si="0"/>
        <v>125.97163200000001</v>
      </c>
      <c r="I18" s="16">
        <f>F18/12*G18</f>
        <v>10497.636000000002</v>
      </c>
      <c r="J18" s="31"/>
      <c r="K18" s="8"/>
      <c r="L18" s="8"/>
      <c r="M18" s="8"/>
    </row>
    <row r="19" spans="1:13" ht="15.75" hidden="1" customHeight="1">
      <c r="A19" s="38"/>
      <c r="B19" s="131" t="s">
        <v>109</v>
      </c>
      <c r="C19" s="132" t="s">
        <v>110</v>
      </c>
      <c r="D19" s="131" t="s">
        <v>111</v>
      </c>
      <c r="E19" s="133">
        <v>48</v>
      </c>
      <c r="F19" s="134">
        <f>SUM(E19/10)</f>
        <v>4.8</v>
      </c>
      <c r="G19" s="134">
        <v>170.16</v>
      </c>
      <c r="H19" s="135">
        <f t="shared" si="0"/>
        <v>0.81676799999999994</v>
      </c>
      <c r="I19" s="16">
        <v>0</v>
      </c>
      <c r="J19" s="31"/>
      <c r="K19" s="8"/>
      <c r="L19" s="8"/>
      <c r="M19" s="8"/>
    </row>
    <row r="20" spans="1:13" ht="15.75" customHeight="1">
      <c r="A20" s="38">
        <v>4</v>
      </c>
      <c r="B20" s="131" t="s">
        <v>112</v>
      </c>
      <c r="C20" s="132" t="s">
        <v>100</v>
      </c>
      <c r="D20" s="131" t="s">
        <v>138</v>
      </c>
      <c r="E20" s="133">
        <v>30.6</v>
      </c>
      <c r="F20" s="134">
        <f>SUM(E20*12/100)</f>
        <v>3.6720000000000006</v>
      </c>
      <c r="G20" s="134">
        <v>217.88</v>
      </c>
      <c r="H20" s="135">
        <f t="shared" si="0"/>
        <v>0.8000553600000001</v>
      </c>
      <c r="I20" s="16">
        <f>F20/12*G20</f>
        <v>66.67128000000001</v>
      </c>
      <c r="J20" s="31"/>
      <c r="K20" s="8"/>
      <c r="L20" s="8"/>
      <c r="M20" s="8"/>
    </row>
    <row r="21" spans="1:13" ht="15.75" customHeight="1">
      <c r="A21" s="38">
        <v>5</v>
      </c>
      <c r="B21" s="131" t="s">
        <v>113</v>
      </c>
      <c r="C21" s="132" t="s">
        <v>100</v>
      </c>
      <c r="D21" s="131" t="s">
        <v>30</v>
      </c>
      <c r="E21" s="133">
        <v>10.06</v>
      </c>
      <c r="F21" s="134">
        <f>SUM(E21*12/100)</f>
        <v>1.2072000000000001</v>
      </c>
      <c r="G21" s="134">
        <v>216.12</v>
      </c>
      <c r="H21" s="135">
        <f t="shared" si="0"/>
        <v>0.26090006400000004</v>
      </c>
      <c r="I21" s="16">
        <f>F21/12*G21</f>
        <v>21.741672000000001</v>
      </c>
      <c r="J21" s="31"/>
      <c r="K21" s="8"/>
      <c r="L21" s="8"/>
      <c r="M21" s="8"/>
    </row>
    <row r="22" spans="1:13" ht="15.75" hidden="1" customHeight="1">
      <c r="A22" s="38"/>
      <c r="B22" s="131" t="s">
        <v>114</v>
      </c>
      <c r="C22" s="132" t="s">
        <v>55</v>
      </c>
      <c r="D22" s="131" t="s">
        <v>111</v>
      </c>
      <c r="E22" s="133">
        <v>769.2</v>
      </c>
      <c r="F22" s="134">
        <f>SUM(E22/100)</f>
        <v>7.6920000000000002</v>
      </c>
      <c r="G22" s="134">
        <v>269.26</v>
      </c>
      <c r="H22" s="135">
        <f t="shared" si="0"/>
        <v>2.07114792</v>
      </c>
      <c r="I22" s="16">
        <v>0</v>
      </c>
      <c r="J22" s="31"/>
      <c r="K22" s="8"/>
      <c r="L22" s="8"/>
      <c r="M22" s="8"/>
    </row>
    <row r="23" spans="1:13" ht="15.75" hidden="1" customHeight="1">
      <c r="A23" s="38"/>
      <c r="B23" s="131" t="s">
        <v>115</v>
      </c>
      <c r="C23" s="132" t="s">
        <v>55</v>
      </c>
      <c r="D23" s="131" t="s">
        <v>111</v>
      </c>
      <c r="E23" s="136">
        <v>35.28</v>
      </c>
      <c r="F23" s="134">
        <f>SUM(E23/100)</f>
        <v>0.3528</v>
      </c>
      <c r="G23" s="134">
        <v>44.29</v>
      </c>
      <c r="H23" s="135">
        <f t="shared" si="0"/>
        <v>1.5625512000000001E-2</v>
      </c>
      <c r="I23" s="16">
        <v>0</v>
      </c>
      <c r="J23" s="31"/>
      <c r="K23" s="8"/>
      <c r="L23" s="8"/>
      <c r="M23" s="8"/>
    </row>
    <row r="24" spans="1:13" ht="15.75" customHeight="1">
      <c r="A24" s="38">
        <v>6</v>
      </c>
      <c r="B24" s="131" t="s">
        <v>116</v>
      </c>
      <c r="C24" s="132" t="s">
        <v>55</v>
      </c>
      <c r="D24" s="131" t="s">
        <v>30</v>
      </c>
      <c r="E24" s="133">
        <v>10.8</v>
      </c>
      <c r="F24" s="134">
        <f>E24*12/100</f>
        <v>1.2960000000000003</v>
      </c>
      <c r="G24" s="134">
        <v>389.72</v>
      </c>
      <c r="H24" s="135">
        <f t="shared" si="0"/>
        <v>0.50507712000000016</v>
      </c>
      <c r="I24" s="16">
        <f>F24/12*G24</f>
        <v>42.089760000000012</v>
      </c>
      <c r="J24" s="31"/>
      <c r="K24" s="8"/>
      <c r="L24" s="8"/>
      <c r="M24" s="8"/>
    </row>
    <row r="25" spans="1:13" ht="15.75" customHeight="1">
      <c r="A25" s="38">
        <v>7</v>
      </c>
      <c r="B25" s="131" t="s">
        <v>117</v>
      </c>
      <c r="C25" s="132" t="s">
        <v>55</v>
      </c>
      <c r="D25" s="131" t="s">
        <v>139</v>
      </c>
      <c r="E25" s="133">
        <v>21.6</v>
      </c>
      <c r="F25" s="134">
        <f>SUM(E25*12/100)</f>
        <v>2.5920000000000005</v>
      </c>
      <c r="G25" s="134">
        <v>520.79999999999995</v>
      </c>
      <c r="H25" s="135">
        <f t="shared" si="0"/>
        <v>1.3499136</v>
      </c>
      <c r="I25" s="16">
        <f>F25/12*G25</f>
        <v>112.49280000000002</v>
      </c>
      <c r="J25" s="31"/>
      <c r="K25" s="8"/>
      <c r="L25" s="8"/>
      <c r="M25" s="8"/>
    </row>
    <row r="26" spans="1:13" ht="15.75" customHeight="1">
      <c r="A26" s="38">
        <v>8</v>
      </c>
      <c r="B26" s="131" t="s">
        <v>69</v>
      </c>
      <c r="C26" s="132" t="s">
        <v>33</v>
      </c>
      <c r="D26" s="131" t="s">
        <v>140</v>
      </c>
      <c r="E26" s="133">
        <v>0.1</v>
      </c>
      <c r="F26" s="134">
        <f>SUM(E26*365)</f>
        <v>36.5</v>
      </c>
      <c r="G26" s="134">
        <v>147.03</v>
      </c>
      <c r="H26" s="135">
        <f>SUM(F26*G26/1000)</f>
        <v>5.3665950000000002</v>
      </c>
      <c r="I26" s="16">
        <f>F26/12*G26</f>
        <v>447.21625</v>
      </c>
      <c r="J26" s="32"/>
    </row>
    <row r="27" spans="1:13" ht="15.75" customHeight="1">
      <c r="A27" s="38">
        <v>9</v>
      </c>
      <c r="B27" s="139" t="s">
        <v>23</v>
      </c>
      <c r="C27" s="132" t="s">
        <v>24</v>
      </c>
      <c r="D27" s="139" t="s">
        <v>179</v>
      </c>
      <c r="E27" s="133">
        <v>6980.3</v>
      </c>
      <c r="F27" s="134">
        <f>SUM(E27*12)</f>
        <v>83763.600000000006</v>
      </c>
      <c r="G27" s="134">
        <v>4.4000000000000004</v>
      </c>
      <c r="H27" s="135">
        <f>SUM(F27*G27/1000)</f>
        <v>368.55984000000007</v>
      </c>
      <c r="I27" s="16">
        <f>F27/12*G27</f>
        <v>30713.320000000003</v>
      </c>
      <c r="J27" s="32"/>
    </row>
    <row r="28" spans="1:13" ht="15" customHeight="1">
      <c r="A28" s="173" t="s">
        <v>95</v>
      </c>
      <c r="B28" s="173"/>
      <c r="C28" s="173"/>
      <c r="D28" s="173"/>
      <c r="E28" s="173"/>
      <c r="F28" s="173"/>
      <c r="G28" s="173"/>
      <c r="H28" s="173"/>
      <c r="I28" s="173"/>
      <c r="J28" s="31"/>
      <c r="K28" s="8"/>
      <c r="L28" s="8"/>
      <c r="M28" s="8"/>
    </row>
    <row r="29" spans="1:13" ht="15.75" hidden="1" customHeight="1">
      <c r="A29" s="38"/>
      <c r="B29" s="155" t="s">
        <v>28</v>
      </c>
      <c r="C29" s="132"/>
      <c r="D29" s="131"/>
      <c r="E29" s="133"/>
      <c r="F29" s="134"/>
      <c r="G29" s="134"/>
      <c r="H29" s="135"/>
      <c r="I29" s="16"/>
      <c r="J29" s="31"/>
      <c r="K29" s="8"/>
      <c r="L29" s="8"/>
      <c r="M29" s="8"/>
    </row>
    <row r="30" spans="1:13" ht="31.5" hidden="1" customHeight="1">
      <c r="A30" s="38">
        <v>10</v>
      </c>
      <c r="B30" s="131" t="s">
        <v>121</v>
      </c>
      <c r="C30" s="132" t="s">
        <v>104</v>
      </c>
      <c r="D30" s="131" t="s">
        <v>118</v>
      </c>
      <c r="E30" s="134">
        <v>1168.05</v>
      </c>
      <c r="F30" s="134">
        <f>SUM(E30*52/1000)</f>
        <v>60.738599999999998</v>
      </c>
      <c r="G30" s="134">
        <v>155.88999999999999</v>
      </c>
      <c r="H30" s="135">
        <f t="shared" ref="H30:H36" si="1">SUM(F30*G30/1000)</f>
        <v>9.4685403539999982</v>
      </c>
      <c r="I30" s="16">
        <f>F30/6*G30</f>
        <v>1578.0900589999997</v>
      </c>
      <c r="J30" s="31"/>
      <c r="K30" s="8"/>
      <c r="L30" s="8"/>
      <c r="M30" s="8"/>
    </row>
    <row r="31" spans="1:13" ht="31.5" hidden="1" customHeight="1">
      <c r="A31" s="38">
        <v>11</v>
      </c>
      <c r="B31" s="131" t="s">
        <v>142</v>
      </c>
      <c r="C31" s="132" t="s">
        <v>104</v>
      </c>
      <c r="D31" s="131" t="s">
        <v>119</v>
      </c>
      <c r="E31" s="134">
        <v>1039.2</v>
      </c>
      <c r="F31" s="134">
        <f>SUM(E31*78/1000)</f>
        <v>81.057600000000008</v>
      </c>
      <c r="G31" s="134">
        <v>258.63</v>
      </c>
      <c r="H31" s="135">
        <f t="shared" si="1"/>
        <v>20.963927088000002</v>
      </c>
      <c r="I31" s="16">
        <f t="shared" ref="I31:I34" si="2">F31/6*G31</f>
        <v>3493.9878480000002</v>
      </c>
      <c r="J31" s="31"/>
      <c r="K31" s="8"/>
      <c r="L31" s="8"/>
      <c r="M31" s="8"/>
    </row>
    <row r="32" spans="1:13" ht="15.75" hidden="1" customHeight="1">
      <c r="A32" s="38">
        <v>16</v>
      </c>
      <c r="B32" s="131" t="s">
        <v>27</v>
      </c>
      <c r="C32" s="132" t="s">
        <v>104</v>
      </c>
      <c r="D32" s="131" t="s">
        <v>56</v>
      </c>
      <c r="E32" s="134">
        <v>584.03</v>
      </c>
      <c r="F32" s="134">
        <f>SUM(E32/1000)</f>
        <v>0.58402999999999994</v>
      </c>
      <c r="G32" s="134">
        <v>3020.33</v>
      </c>
      <c r="H32" s="135">
        <f t="shared" si="1"/>
        <v>1.7639633298999997</v>
      </c>
      <c r="I32" s="16">
        <f>F32*G32</f>
        <v>1763.9633298999997</v>
      </c>
      <c r="J32" s="31"/>
      <c r="K32" s="8"/>
      <c r="L32" s="8"/>
      <c r="M32" s="8"/>
    </row>
    <row r="33" spans="1:14" ht="15.75" hidden="1" customHeight="1">
      <c r="A33" s="38">
        <v>12</v>
      </c>
      <c r="B33" s="131" t="s">
        <v>141</v>
      </c>
      <c r="C33" s="132" t="s">
        <v>39</v>
      </c>
      <c r="D33" s="131" t="s">
        <v>68</v>
      </c>
      <c r="E33" s="134">
        <v>6</v>
      </c>
      <c r="F33" s="134">
        <f>E33*155/100</f>
        <v>9.3000000000000007</v>
      </c>
      <c r="G33" s="134">
        <v>1302.02</v>
      </c>
      <c r="H33" s="135">
        <f>G33*F33/1000</f>
        <v>12.108786</v>
      </c>
      <c r="I33" s="16">
        <f t="shared" si="2"/>
        <v>2018.1310000000001</v>
      </c>
      <c r="J33" s="31"/>
      <c r="K33" s="8"/>
      <c r="L33" s="8"/>
      <c r="M33" s="8"/>
    </row>
    <row r="34" spans="1:14" ht="15.75" hidden="1" customHeight="1">
      <c r="A34" s="38">
        <v>13</v>
      </c>
      <c r="B34" s="131" t="s">
        <v>120</v>
      </c>
      <c r="C34" s="132" t="s">
        <v>31</v>
      </c>
      <c r="D34" s="131" t="s">
        <v>68</v>
      </c>
      <c r="E34" s="138">
        <v>0.33333333333333331</v>
      </c>
      <c r="F34" s="134">
        <f>155/3</f>
        <v>51.666666666666664</v>
      </c>
      <c r="G34" s="134">
        <v>56.69</v>
      </c>
      <c r="H34" s="135">
        <f>SUM(G34*155/3/1000)</f>
        <v>2.9289833333333331</v>
      </c>
      <c r="I34" s="16">
        <f t="shared" si="2"/>
        <v>488.16388888888883</v>
      </c>
      <c r="J34" s="31"/>
      <c r="K34" s="8"/>
    </row>
    <row r="35" spans="1:14" ht="15.75" hidden="1" customHeight="1">
      <c r="A35" s="38"/>
      <c r="B35" s="131" t="s">
        <v>70</v>
      </c>
      <c r="C35" s="132" t="s">
        <v>33</v>
      </c>
      <c r="D35" s="131" t="s">
        <v>72</v>
      </c>
      <c r="E35" s="133"/>
      <c r="F35" s="134">
        <v>4</v>
      </c>
      <c r="G35" s="134">
        <v>180.15</v>
      </c>
      <c r="H35" s="135">
        <f t="shared" si="1"/>
        <v>0.72060000000000002</v>
      </c>
      <c r="I35" s="16">
        <v>0</v>
      </c>
      <c r="J35" s="32"/>
    </row>
    <row r="36" spans="1:14" ht="15.75" hidden="1" customHeight="1">
      <c r="A36" s="38"/>
      <c r="B36" s="131" t="s">
        <v>71</v>
      </c>
      <c r="C36" s="132" t="s">
        <v>32</v>
      </c>
      <c r="D36" s="131" t="s">
        <v>72</v>
      </c>
      <c r="E36" s="133"/>
      <c r="F36" s="134">
        <v>3</v>
      </c>
      <c r="G36" s="134">
        <v>1136.33</v>
      </c>
      <c r="H36" s="135">
        <f t="shared" si="1"/>
        <v>3.4089899999999997</v>
      </c>
      <c r="I36" s="16">
        <v>0</v>
      </c>
      <c r="J36" s="32"/>
    </row>
    <row r="37" spans="1:14" ht="15.75" customHeight="1">
      <c r="A37" s="38"/>
      <c r="B37" s="155" t="s">
        <v>5</v>
      </c>
      <c r="C37" s="132"/>
      <c r="D37" s="131"/>
      <c r="E37" s="133"/>
      <c r="F37" s="134"/>
      <c r="G37" s="134"/>
      <c r="H37" s="135" t="s">
        <v>179</v>
      </c>
      <c r="I37" s="16"/>
      <c r="J37" s="32"/>
    </row>
    <row r="38" spans="1:14" ht="15.75" customHeight="1">
      <c r="A38" s="38">
        <v>10</v>
      </c>
      <c r="B38" s="131" t="s">
        <v>26</v>
      </c>
      <c r="C38" s="132" t="s">
        <v>32</v>
      </c>
      <c r="D38" s="131"/>
      <c r="E38" s="133"/>
      <c r="F38" s="134">
        <v>10</v>
      </c>
      <c r="G38" s="134">
        <v>1527.22</v>
      </c>
      <c r="H38" s="135">
        <f t="shared" ref="H38:H45" si="3">SUM(F38*G38/1000)</f>
        <v>15.272200000000002</v>
      </c>
      <c r="I38" s="16">
        <f>F38/6*G38</f>
        <v>2545.3666666666668</v>
      </c>
      <c r="J38" s="32"/>
    </row>
    <row r="39" spans="1:14" ht="15.75" customHeight="1">
      <c r="A39" s="38">
        <v>11</v>
      </c>
      <c r="B39" s="131" t="s">
        <v>143</v>
      </c>
      <c r="C39" s="132" t="s">
        <v>33</v>
      </c>
      <c r="D39" s="131"/>
      <c r="E39" s="133"/>
      <c r="F39" s="134">
        <v>10</v>
      </c>
      <c r="G39" s="134">
        <v>77.94</v>
      </c>
      <c r="H39" s="135">
        <f>G39*F39/1000</f>
        <v>0.77939999999999998</v>
      </c>
      <c r="I39" s="16">
        <f>F39/6*G39</f>
        <v>129.9</v>
      </c>
      <c r="J39" s="32"/>
      <c r="L39" s="25"/>
      <c r="M39" s="26"/>
      <c r="N39" s="27"/>
    </row>
    <row r="40" spans="1:14" ht="15.75" customHeight="1">
      <c r="A40" s="38">
        <v>12</v>
      </c>
      <c r="B40" s="131" t="s">
        <v>122</v>
      </c>
      <c r="C40" s="132" t="s">
        <v>29</v>
      </c>
      <c r="D40" s="131" t="s">
        <v>144</v>
      </c>
      <c r="E40" s="133">
        <v>1039.2</v>
      </c>
      <c r="F40" s="134">
        <f>E40*25/1000</f>
        <v>25.98</v>
      </c>
      <c r="G40" s="134">
        <v>2102.71</v>
      </c>
      <c r="H40" s="135">
        <f>G40*F40/1000</f>
        <v>54.628405800000003</v>
      </c>
      <c r="I40" s="16">
        <f>F40/6*G40</f>
        <v>9104.7343000000001</v>
      </c>
      <c r="J40" s="32"/>
      <c r="L40" s="25"/>
      <c r="M40" s="26"/>
      <c r="N40" s="27"/>
    </row>
    <row r="41" spans="1:14" ht="15.75" hidden="1" customHeight="1">
      <c r="A41" s="38"/>
      <c r="B41" s="131" t="s">
        <v>145</v>
      </c>
      <c r="C41" s="132" t="s">
        <v>146</v>
      </c>
      <c r="D41" s="131" t="s">
        <v>72</v>
      </c>
      <c r="E41" s="133"/>
      <c r="F41" s="134">
        <v>50</v>
      </c>
      <c r="G41" s="134">
        <v>213.2</v>
      </c>
      <c r="H41" s="135">
        <f>G41*F41/1000</f>
        <v>10.66</v>
      </c>
      <c r="I41" s="16">
        <v>0</v>
      </c>
      <c r="J41" s="32"/>
      <c r="L41" s="25"/>
      <c r="M41" s="26"/>
      <c r="N41" s="27"/>
    </row>
    <row r="42" spans="1:14" ht="15.75" customHeight="1">
      <c r="A42" s="38">
        <v>13</v>
      </c>
      <c r="B42" s="131" t="s">
        <v>73</v>
      </c>
      <c r="C42" s="132" t="s">
        <v>29</v>
      </c>
      <c r="D42" s="131" t="s">
        <v>103</v>
      </c>
      <c r="E42" s="134">
        <v>153</v>
      </c>
      <c r="F42" s="134">
        <f>SUM(E42*155/1000)</f>
        <v>23.715</v>
      </c>
      <c r="G42" s="134">
        <v>350.75</v>
      </c>
      <c r="H42" s="135">
        <f t="shared" si="3"/>
        <v>8.3180362499999987</v>
      </c>
      <c r="I42" s="16">
        <f>F42/6*G42</f>
        <v>1386.339375</v>
      </c>
      <c r="J42" s="32"/>
      <c r="L42" s="25"/>
      <c r="M42" s="26"/>
      <c r="N42" s="27"/>
    </row>
    <row r="43" spans="1:14" ht="47.25" customHeight="1">
      <c r="A43" s="38">
        <v>14</v>
      </c>
      <c r="B43" s="131" t="s">
        <v>91</v>
      </c>
      <c r="C43" s="132" t="s">
        <v>104</v>
      </c>
      <c r="D43" s="131" t="s">
        <v>147</v>
      </c>
      <c r="E43" s="134">
        <v>24</v>
      </c>
      <c r="F43" s="134">
        <f>SUM(E43*50/1000)</f>
        <v>1.2</v>
      </c>
      <c r="G43" s="134">
        <v>5803.28</v>
      </c>
      <c r="H43" s="135">
        <f t="shared" si="3"/>
        <v>6.9639359999999995</v>
      </c>
      <c r="I43" s="16">
        <f>F43/6*G43</f>
        <v>1160.6559999999999</v>
      </c>
      <c r="J43" s="32"/>
      <c r="L43" s="25"/>
      <c r="M43" s="26"/>
      <c r="N43" s="27"/>
    </row>
    <row r="44" spans="1:14" ht="15.75" customHeight="1">
      <c r="A44" s="38">
        <v>15</v>
      </c>
      <c r="B44" s="131" t="s">
        <v>105</v>
      </c>
      <c r="C44" s="132" t="s">
        <v>104</v>
      </c>
      <c r="D44" s="131" t="s">
        <v>74</v>
      </c>
      <c r="E44" s="134">
        <v>153</v>
      </c>
      <c r="F44" s="134">
        <f>SUM(E44*45/1000)</f>
        <v>6.8849999999999998</v>
      </c>
      <c r="G44" s="134">
        <v>428.7</v>
      </c>
      <c r="H44" s="135">
        <f t="shared" si="3"/>
        <v>2.9515994999999999</v>
      </c>
      <c r="I44" s="16">
        <f>F44/6*G44</f>
        <v>491.93324999999999</v>
      </c>
      <c r="J44" s="32"/>
      <c r="L44" s="25"/>
      <c r="M44" s="26"/>
      <c r="N44" s="27"/>
    </row>
    <row r="45" spans="1:14" ht="15.75" customHeight="1">
      <c r="A45" s="38">
        <v>16</v>
      </c>
      <c r="B45" s="131" t="s">
        <v>75</v>
      </c>
      <c r="C45" s="132" t="s">
        <v>33</v>
      </c>
      <c r="D45" s="131"/>
      <c r="E45" s="133"/>
      <c r="F45" s="134">
        <v>0.9</v>
      </c>
      <c r="G45" s="134">
        <v>798</v>
      </c>
      <c r="H45" s="135">
        <f t="shared" si="3"/>
        <v>0.71820000000000006</v>
      </c>
      <c r="I45" s="16">
        <f>F45/6*G45</f>
        <v>119.69999999999999</v>
      </c>
      <c r="J45" s="32"/>
      <c r="L45" s="25"/>
      <c r="M45" s="26"/>
      <c r="N45" s="27"/>
    </row>
    <row r="46" spans="1:14" ht="15" hidden="1" customHeight="1">
      <c r="A46" s="174" t="s">
        <v>175</v>
      </c>
      <c r="B46" s="175"/>
      <c r="C46" s="175"/>
      <c r="D46" s="175"/>
      <c r="E46" s="175"/>
      <c r="F46" s="175"/>
      <c r="G46" s="175"/>
      <c r="H46" s="175"/>
      <c r="I46" s="176"/>
      <c r="J46" s="32"/>
      <c r="L46" s="25"/>
      <c r="M46" s="26"/>
      <c r="N46" s="27"/>
    </row>
    <row r="47" spans="1:14" ht="15.75" hidden="1" customHeight="1">
      <c r="A47" s="38"/>
      <c r="B47" s="131" t="s">
        <v>148</v>
      </c>
      <c r="C47" s="132" t="s">
        <v>104</v>
      </c>
      <c r="D47" s="131" t="s">
        <v>42</v>
      </c>
      <c r="E47" s="133">
        <v>1895</v>
      </c>
      <c r="F47" s="134">
        <f>SUM(E47*2/1000)</f>
        <v>3.79</v>
      </c>
      <c r="G47" s="16">
        <v>849.49</v>
      </c>
      <c r="H47" s="135">
        <f t="shared" ref="H47:H55" si="4">SUM(F47*G47/1000)</f>
        <v>3.2195671000000003</v>
      </c>
      <c r="I47" s="16">
        <v>0</v>
      </c>
      <c r="J47" s="32"/>
      <c r="L47" s="25"/>
      <c r="M47" s="26"/>
      <c r="N47" s="27"/>
    </row>
    <row r="48" spans="1:14" ht="15.75" hidden="1" customHeight="1">
      <c r="A48" s="38"/>
      <c r="B48" s="131" t="s">
        <v>34</v>
      </c>
      <c r="C48" s="132" t="s">
        <v>104</v>
      </c>
      <c r="D48" s="131" t="s">
        <v>42</v>
      </c>
      <c r="E48" s="133">
        <v>118.2</v>
      </c>
      <c r="F48" s="134">
        <f>E48*2/1000</f>
        <v>0.2364</v>
      </c>
      <c r="G48" s="16">
        <v>579.48</v>
      </c>
      <c r="H48" s="135">
        <f t="shared" si="4"/>
        <v>0.13698907199999999</v>
      </c>
      <c r="I48" s="16">
        <v>0</v>
      </c>
      <c r="J48" s="32"/>
      <c r="L48" s="25"/>
      <c r="M48" s="26"/>
      <c r="N48" s="27"/>
    </row>
    <row r="49" spans="1:22" ht="15.75" hidden="1" customHeight="1">
      <c r="A49" s="38"/>
      <c r="B49" s="131" t="s">
        <v>35</v>
      </c>
      <c r="C49" s="132" t="s">
        <v>104</v>
      </c>
      <c r="D49" s="131" t="s">
        <v>42</v>
      </c>
      <c r="E49" s="133">
        <v>4675</v>
      </c>
      <c r="F49" s="134">
        <f>SUM(E49*2/1000)</f>
        <v>9.35</v>
      </c>
      <c r="G49" s="16">
        <v>579.48</v>
      </c>
      <c r="H49" s="135">
        <f t="shared" si="4"/>
        <v>5.4181379999999999</v>
      </c>
      <c r="I49" s="16">
        <v>0</v>
      </c>
      <c r="J49" s="32"/>
      <c r="L49" s="25"/>
      <c r="M49" s="26"/>
      <c r="N49" s="27"/>
    </row>
    <row r="50" spans="1:22" ht="15.75" hidden="1" customHeight="1">
      <c r="A50" s="38"/>
      <c r="B50" s="131" t="s">
        <v>36</v>
      </c>
      <c r="C50" s="132" t="s">
        <v>104</v>
      </c>
      <c r="D50" s="131" t="s">
        <v>42</v>
      </c>
      <c r="E50" s="133">
        <v>4675</v>
      </c>
      <c r="F50" s="134">
        <f>SUM(E50*2/1000)</f>
        <v>9.35</v>
      </c>
      <c r="G50" s="16">
        <v>606.77</v>
      </c>
      <c r="H50" s="135">
        <f t="shared" si="4"/>
        <v>5.6732994999999988</v>
      </c>
      <c r="I50" s="16">
        <v>0</v>
      </c>
      <c r="J50" s="32"/>
      <c r="L50" s="25"/>
      <c r="M50" s="26"/>
      <c r="N50" s="27"/>
    </row>
    <row r="51" spans="1:22" ht="15.75" hidden="1" customHeight="1">
      <c r="A51" s="38">
        <v>17</v>
      </c>
      <c r="B51" s="131" t="s">
        <v>60</v>
      </c>
      <c r="C51" s="132" t="s">
        <v>104</v>
      </c>
      <c r="D51" s="131" t="s">
        <v>241</v>
      </c>
      <c r="E51" s="133">
        <v>3988</v>
      </c>
      <c r="F51" s="134">
        <f>SUM(E51*5/1000)</f>
        <v>19.940000000000001</v>
      </c>
      <c r="G51" s="16">
        <v>1142.7</v>
      </c>
      <c r="H51" s="135">
        <f t="shared" si="4"/>
        <v>22.785438000000003</v>
      </c>
      <c r="I51" s="16">
        <f>F51/5*G51</f>
        <v>4557.0876000000007</v>
      </c>
      <c r="J51" s="32"/>
      <c r="L51" s="25"/>
      <c r="M51" s="26"/>
      <c r="N51" s="27"/>
    </row>
    <row r="52" spans="1:22" ht="31.5" hidden="1" customHeight="1">
      <c r="A52" s="38"/>
      <c r="B52" s="131" t="s">
        <v>106</v>
      </c>
      <c r="C52" s="132" t="s">
        <v>104</v>
      </c>
      <c r="D52" s="131" t="s">
        <v>42</v>
      </c>
      <c r="E52" s="133">
        <v>3988</v>
      </c>
      <c r="F52" s="134">
        <f>SUM(E52*2/1000)</f>
        <v>7.976</v>
      </c>
      <c r="G52" s="16">
        <v>1213.55</v>
      </c>
      <c r="H52" s="135">
        <f t="shared" si="4"/>
        <v>9.6792748</v>
      </c>
      <c r="I52" s="16">
        <v>0</v>
      </c>
      <c r="J52" s="32"/>
      <c r="L52" s="25"/>
      <c r="M52" s="26"/>
      <c r="N52" s="27"/>
    </row>
    <row r="53" spans="1:22" ht="31.5" hidden="1" customHeight="1">
      <c r="A53" s="38"/>
      <c r="B53" s="131" t="s">
        <v>107</v>
      </c>
      <c r="C53" s="132" t="s">
        <v>37</v>
      </c>
      <c r="D53" s="131" t="s">
        <v>42</v>
      </c>
      <c r="E53" s="133">
        <v>30</v>
      </c>
      <c r="F53" s="134">
        <f>SUM(E53*2/100)</f>
        <v>0.6</v>
      </c>
      <c r="G53" s="16">
        <v>2730.49</v>
      </c>
      <c r="H53" s="135">
        <f>SUM(F53*G53/1000)</f>
        <v>1.6382939999999999</v>
      </c>
      <c r="I53" s="16">
        <v>0</v>
      </c>
      <c r="J53" s="32"/>
      <c r="L53" s="25"/>
      <c r="M53" s="26"/>
      <c r="N53" s="27"/>
    </row>
    <row r="54" spans="1:22" ht="15.75" hidden="1" customHeight="1">
      <c r="A54" s="38"/>
      <c r="B54" s="131" t="s">
        <v>38</v>
      </c>
      <c r="C54" s="132" t="s">
        <v>39</v>
      </c>
      <c r="D54" s="131" t="s">
        <v>42</v>
      </c>
      <c r="E54" s="133">
        <v>1</v>
      </c>
      <c r="F54" s="134">
        <v>0.02</v>
      </c>
      <c r="G54" s="16">
        <v>5652.13</v>
      </c>
      <c r="H54" s="135">
        <f t="shared" si="4"/>
        <v>0.11304260000000001</v>
      </c>
      <c r="I54" s="16">
        <v>0</v>
      </c>
      <c r="J54" s="32"/>
      <c r="L54" s="25"/>
      <c r="M54" s="26"/>
      <c r="N54" s="27"/>
    </row>
    <row r="55" spans="1:22" ht="15.75" hidden="1" customHeight="1">
      <c r="A55" s="38">
        <v>18</v>
      </c>
      <c r="B55" s="131" t="s">
        <v>41</v>
      </c>
      <c r="C55" s="132" t="s">
        <v>124</v>
      </c>
      <c r="D55" s="131" t="s">
        <v>76</v>
      </c>
      <c r="E55" s="133">
        <v>236</v>
      </c>
      <c r="F55" s="134">
        <f>SUM(E55)*3</f>
        <v>708</v>
      </c>
      <c r="G55" s="16">
        <v>65.67</v>
      </c>
      <c r="H55" s="135">
        <f t="shared" si="4"/>
        <v>46.49436</v>
      </c>
      <c r="I55" s="16">
        <f>E55*G55</f>
        <v>15498.12</v>
      </c>
      <c r="J55" s="32"/>
      <c r="L55" s="25"/>
      <c r="M55" s="26"/>
      <c r="N55" s="27"/>
    </row>
    <row r="56" spans="1:22" ht="15.75" customHeight="1">
      <c r="A56" s="174" t="s">
        <v>172</v>
      </c>
      <c r="B56" s="175"/>
      <c r="C56" s="175"/>
      <c r="D56" s="175"/>
      <c r="E56" s="175"/>
      <c r="F56" s="175"/>
      <c r="G56" s="175"/>
      <c r="H56" s="175"/>
      <c r="I56" s="176"/>
      <c r="J56" s="32"/>
      <c r="L56" s="25"/>
      <c r="M56" s="26"/>
      <c r="N56" s="27"/>
    </row>
    <row r="57" spans="1:22" ht="15.75" customHeight="1">
      <c r="A57" s="38"/>
      <c r="B57" s="155" t="s">
        <v>45</v>
      </c>
      <c r="C57" s="132"/>
      <c r="D57" s="131"/>
      <c r="E57" s="133"/>
      <c r="F57" s="134"/>
      <c r="G57" s="134"/>
      <c r="H57" s="135"/>
      <c r="I57" s="16"/>
      <c r="J57" s="32"/>
      <c r="L57" s="25"/>
      <c r="M57" s="26"/>
      <c r="N57" s="27"/>
    </row>
    <row r="58" spans="1:22" ht="31.5" customHeight="1">
      <c r="A58" s="38">
        <v>17</v>
      </c>
      <c r="B58" s="131" t="s">
        <v>149</v>
      </c>
      <c r="C58" s="132" t="s">
        <v>100</v>
      </c>
      <c r="D58" s="131" t="s">
        <v>125</v>
      </c>
      <c r="E58" s="133">
        <v>30</v>
      </c>
      <c r="F58" s="134">
        <f>SUM(E58*6/100)</f>
        <v>1.8</v>
      </c>
      <c r="G58" s="16">
        <v>1547.28</v>
      </c>
      <c r="H58" s="135">
        <f>SUM(F58*G58/1000)</f>
        <v>2.785104</v>
      </c>
      <c r="I58" s="16">
        <f>F58/6*G58</f>
        <v>464.18399999999997</v>
      </c>
      <c r="J58" s="32"/>
      <c r="L58" s="25"/>
    </row>
    <row r="59" spans="1:22" ht="15.75" hidden="1" customHeight="1">
      <c r="A59" s="38">
        <v>20</v>
      </c>
      <c r="B59" s="140" t="s">
        <v>150</v>
      </c>
      <c r="C59" s="141" t="s">
        <v>151</v>
      </c>
      <c r="D59" s="140" t="s">
        <v>42</v>
      </c>
      <c r="E59" s="142">
        <v>6</v>
      </c>
      <c r="F59" s="143">
        <v>12</v>
      </c>
      <c r="G59" s="16">
        <v>180.78</v>
      </c>
      <c r="H59" s="144">
        <f>G59*F59/1000</f>
        <v>2.1693600000000002</v>
      </c>
      <c r="I59" s="16">
        <f>F59/2*G59</f>
        <v>1084.68</v>
      </c>
    </row>
    <row r="60" spans="1:22" ht="15.75" customHeight="1">
      <c r="A60" s="38">
        <v>18</v>
      </c>
      <c r="B60" s="140" t="s">
        <v>152</v>
      </c>
      <c r="C60" s="141" t="s">
        <v>55</v>
      </c>
      <c r="D60" s="140" t="s">
        <v>40</v>
      </c>
      <c r="E60" s="142">
        <v>6</v>
      </c>
      <c r="F60" s="143">
        <f>E60*4/100</f>
        <v>0.24</v>
      </c>
      <c r="G60" s="16">
        <v>1547.28</v>
      </c>
      <c r="H60" s="144">
        <f>G60*F60/1000</f>
        <v>0.37134719999999999</v>
      </c>
      <c r="I60" s="16">
        <f>F60/4*G60</f>
        <v>92.836799999999997</v>
      </c>
    </row>
    <row r="61" spans="1:22" ht="15.75" customHeight="1">
      <c r="A61" s="38"/>
      <c r="B61" s="156" t="s">
        <v>46</v>
      </c>
      <c r="C61" s="141"/>
      <c r="D61" s="140"/>
      <c r="E61" s="142"/>
      <c r="F61" s="143"/>
      <c r="G61" s="16"/>
      <c r="H61" s="144"/>
      <c r="I61" s="16"/>
    </row>
    <row r="62" spans="1:22" ht="15.75" hidden="1" customHeight="1">
      <c r="A62" s="38">
        <v>22</v>
      </c>
      <c r="B62" s="140" t="s">
        <v>153</v>
      </c>
      <c r="C62" s="141" t="s">
        <v>55</v>
      </c>
      <c r="D62" s="140" t="s">
        <v>56</v>
      </c>
      <c r="E62" s="142">
        <v>997</v>
      </c>
      <c r="F62" s="143">
        <v>9.9700000000000006</v>
      </c>
      <c r="G62" s="16">
        <v>793.61</v>
      </c>
      <c r="H62" s="144">
        <f>F62*G62/1000</f>
        <v>7.9122917000000008</v>
      </c>
      <c r="I62" s="16">
        <f>G62*F62</f>
        <v>7912.2917000000007</v>
      </c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9"/>
    </row>
    <row r="63" spans="1:22" ht="15.75" customHeight="1">
      <c r="A63" s="38">
        <v>19</v>
      </c>
      <c r="B63" s="140" t="s">
        <v>154</v>
      </c>
      <c r="C63" s="141" t="s">
        <v>25</v>
      </c>
      <c r="D63" s="140" t="s">
        <v>30</v>
      </c>
      <c r="E63" s="142">
        <v>394</v>
      </c>
      <c r="F63" s="145">
        <f>E63*12</f>
        <v>4728</v>
      </c>
      <c r="G63" s="126">
        <v>2.6</v>
      </c>
      <c r="H63" s="143">
        <f>F63*G63/1000</f>
        <v>12.292800000000002</v>
      </c>
      <c r="I63" s="16">
        <f>F63/12*G63</f>
        <v>1024.4000000000001</v>
      </c>
      <c r="J63" s="34"/>
      <c r="K63" s="34"/>
      <c r="L63" s="3"/>
      <c r="M63" s="3"/>
      <c r="N63" s="3"/>
      <c r="O63" s="3"/>
      <c r="P63" s="3"/>
      <c r="Q63" s="3"/>
      <c r="R63" s="3"/>
      <c r="S63" s="3"/>
      <c r="T63" s="3"/>
      <c r="U63" s="3"/>
    </row>
    <row r="64" spans="1:22" ht="15.75" customHeight="1">
      <c r="A64" s="38"/>
      <c r="B64" s="156" t="s">
        <v>47</v>
      </c>
      <c r="C64" s="141"/>
      <c r="D64" s="140"/>
      <c r="E64" s="142"/>
      <c r="F64" s="145"/>
      <c r="G64" s="145"/>
      <c r="H64" s="143" t="s">
        <v>179</v>
      </c>
      <c r="I64" s="16"/>
      <c r="J64" s="3"/>
      <c r="K64" s="3"/>
      <c r="L64" s="3"/>
      <c r="M64" s="3"/>
      <c r="N64" s="3"/>
      <c r="O64" s="3"/>
      <c r="P64" s="3"/>
      <c r="Q64" s="3"/>
      <c r="S64" s="3"/>
      <c r="T64" s="3"/>
      <c r="U64" s="3"/>
    </row>
    <row r="65" spans="1:21" ht="15.75" customHeight="1">
      <c r="A65" s="38">
        <v>20</v>
      </c>
      <c r="B65" s="18" t="s">
        <v>48</v>
      </c>
      <c r="C65" s="20" t="s">
        <v>124</v>
      </c>
      <c r="D65" s="131" t="s">
        <v>72</v>
      </c>
      <c r="E65" s="23">
        <v>15</v>
      </c>
      <c r="F65" s="134">
        <v>15</v>
      </c>
      <c r="G65" s="16">
        <v>222.4</v>
      </c>
      <c r="H65" s="146">
        <f t="shared" ref="H65:H78" si="5">SUM(F65*G65/1000)</f>
        <v>3.3359999999999999</v>
      </c>
      <c r="I65" s="16">
        <f>G65*2</f>
        <v>444.8</v>
      </c>
      <c r="J65" s="5"/>
      <c r="K65" s="5"/>
      <c r="L65" s="5"/>
      <c r="M65" s="5"/>
      <c r="N65" s="5"/>
      <c r="O65" s="5"/>
      <c r="P65" s="5"/>
      <c r="Q65" s="5"/>
      <c r="R65" s="166"/>
      <c r="S65" s="166"/>
      <c r="T65" s="166"/>
      <c r="U65" s="166"/>
    </row>
    <row r="66" spans="1:21" ht="15.75" hidden="1" customHeight="1">
      <c r="A66" s="38">
        <v>25</v>
      </c>
      <c r="B66" s="18" t="s">
        <v>49</v>
      </c>
      <c r="C66" s="20" t="s">
        <v>124</v>
      </c>
      <c r="D66" s="131" t="s">
        <v>72</v>
      </c>
      <c r="E66" s="23">
        <v>10</v>
      </c>
      <c r="F66" s="134">
        <v>10</v>
      </c>
      <c r="G66" s="16">
        <v>76.25</v>
      </c>
      <c r="H66" s="146">
        <f t="shared" si="5"/>
        <v>0.76249999999999996</v>
      </c>
      <c r="I66" s="16">
        <f>G66</f>
        <v>76.25</v>
      </c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</row>
    <row r="67" spans="1:21" ht="15.75" hidden="1" customHeight="1">
      <c r="A67" s="38"/>
      <c r="B67" s="18" t="s">
        <v>50</v>
      </c>
      <c r="C67" s="20" t="s">
        <v>126</v>
      </c>
      <c r="D67" s="18" t="s">
        <v>56</v>
      </c>
      <c r="E67" s="133">
        <v>28608</v>
      </c>
      <c r="F67" s="16">
        <f>SUM(E67/100)</f>
        <v>286.08</v>
      </c>
      <c r="G67" s="16">
        <v>199.77</v>
      </c>
      <c r="H67" s="146">
        <f t="shared" si="5"/>
        <v>57.150201600000003</v>
      </c>
      <c r="I67" s="16">
        <f>F67*G67</f>
        <v>57150.2016</v>
      </c>
    </row>
    <row r="68" spans="1:21" ht="15.75" hidden="1" customHeight="1">
      <c r="A68" s="38"/>
      <c r="B68" s="18" t="s">
        <v>51</v>
      </c>
      <c r="C68" s="20" t="s">
        <v>127</v>
      </c>
      <c r="D68" s="18"/>
      <c r="E68" s="133">
        <v>28608</v>
      </c>
      <c r="F68" s="16">
        <f>SUM(E68/1000)</f>
        <v>28.608000000000001</v>
      </c>
      <c r="G68" s="16">
        <v>155.57</v>
      </c>
      <c r="H68" s="146">
        <f t="shared" si="5"/>
        <v>4.4505465599999994</v>
      </c>
      <c r="I68" s="16">
        <f t="shared" ref="I68:I72" si="6">F68*G68</f>
        <v>4450.5465599999998</v>
      </c>
    </row>
    <row r="69" spans="1:21" ht="15.75" hidden="1" customHeight="1">
      <c r="A69" s="38"/>
      <c r="B69" s="18" t="s">
        <v>52</v>
      </c>
      <c r="C69" s="20" t="s">
        <v>83</v>
      </c>
      <c r="D69" s="18" t="s">
        <v>56</v>
      </c>
      <c r="E69" s="133">
        <v>4550</v>
      </c>
      <c r="F69" s="16">
        <f>SUM(E69/100)</f>
        <v>45.5</v>
      </c>
      <c r="G69" s="16">
        <v>2074.63</v>
      </c>
      <c r="H69" s="146">
        <f t="shared" si="5"/>
        <v>94.395665000000008</v>
      </c>
      <c r="I69" s="16">
        <f t="shared" si="6"/>
        <v>94395.665000000008</v>
      </c>
    </row>
    <row r="70" spans="1:21" ht="15.75" hidden="1" customHeight="1">
      <c r="A70" s="38"/>
      <c r="B70" s="147" t="s">
        <v>128</v>
      </c>
      <c r="C70" s="20" t="s">
        <v>33</v>
      </c>
      <c r="D70" s="18"/>
      <c r="E70" s="133">
        <v>58.5</v>
      </c>
      <c r="F70" s="16">
        <f>SUM(E70)</f>
        <v>58.5</v>
      </c>
      <c r="G70" s="16">
        <v>45.32</v>
      </c>
      <c r="H70" s="146">
        <f t="shared" si="5"/>
        <v>2.6512199999999999</v>
      </c>
      <c r="I70" s="16">
        <f t="shared" si="6"/>
        <v>2651.22</v>
      </c>
    </row>
    <row r="71" spans="1:21" ht="15.75" hidden="1" customHeight="1">
      <c r="A71" s="38"/>
      <c r="B71" s="147" t="s">
        <v>129</v>
      </c>
      <c r="C71" s="20" t="s">
        <v>33</v>
      </c>
      <c r="D71" s="18"/>
      <c r="E71" s="133">
        <v>58.5</v>
      </c>
      <c r="F71" s="16">
        <f>SUM(E71)</f>
        <v>58.5</v>
      </c>
      <c r="G71" s="16">
        <v>42.28</v>
      </c>
      <c r="H71" s="146">
        <f t="shared" si="5"/>
        <v>2.4733800000000001</v>
      </c>
      <c r="I71" s="16">
        <f t="shared" si="6"/>
        <v>2473.38</v>
      </c>
    </row>
    <row r="72" spans="1:21" ht="15.75" hidden="1" customHeight="1">
      <c r="A72" s="38"/>
      <c r="B72" s="18" t="s">
        <v>61</v>
      </c>
      <c r="C72" s="20" t="s">
        <v>62</v>
      </c>
      <c r="D72" s="18" t="s">
        <v>56</v>
      </c>
      <c r="E72" s="23">
        <v>5</v>
      </c>
      <c r="F72" s="134">
        <v>5</v>
      </c>
      <c r="G72" s="16">
        <v>49.88</v>
      </c>
      <c r="H72" s="146">
        <f t="shared" si="5"/>
        <v>0.24940000000000001</v>
      </c>
      <c r="I72" s="16">
        <f t="shared" si="6"/>
        <v>249.4</v>
      </c>
    </row>
    <row r="73" spans="1:21" ht="15.75" hidden="1" customHeight="1">
      <c r="A73" s="38"/>
      <c r="B73" s="115" t="s">
        <v>77</v>
      </c>
      <c r="C73" s="20"/>
      <c r="D73" s="18"/>
      <c r="E73" s="23"/>
      <c r="F73" s="16"/>
      <c r="G73" s="16"/>
      <c r="H73" s="146" t="s">
        <v>179</v>
      </c>
      <c r="I73" s="16"/>
    </row>
    <row r="74" spans="1:21" ht="15.75" hidden="1" customHeight="1">
      <c r="A74" s="38"/>
      <c r="B74" s="18" t="s">
        <v>78</v>
      </c>
      <c r="C74" s="20" t="s">
        <v>80</v>
      </c>
      <c r="D74" s="18"/>
      <c r="E74" s="23">
        <v>10</v>
      </c>
      <c r="F74" s="16">
        <v>1</v>
      </c>
      <c r="G74" s="16">
        <v>501.62</v>
      </c>
      <c r="H74" s="146">
        <f t="shared" si="5"/>
        <v>0.50161999999999995</v>
      </c>
      <c r="I74" s="16">
        <v>0</v>
      </c>
    </row>
    <row r="75" spans="1:21" ht="15.75" hidden="1" customHeight="1">
      <c r="A75" s="38"/>
      <c r="B75" s="18" t="s">
        <v>79</v>
      </c>
      <c r="C75" s="20" t="s">
        <v>31</v>
      </c>
      <c r="D75" s="18"/>
      <c r="E75" s="23">
        <v>3</v>
      </c>
      <c r="F75" s="126">
        <v>3</v>
      </c>
      <c r="G75" s="16">
        <v>852.99</v>
      </c>
      <c r="H75" s="146">
        <f>F75*G75/1000</f>
        <v>2.5589700000000004</v>
      </c>
      <c r="I75" s="16">
        <v>0</v>
      </c>
    </row>
    <row r="76" spans="1:21" ht="15.75" hidden="1" customHeight="1">
      <c r="A76" s="38"/>
      <c r="B76" s="18" t="s">
        <v>131</v>
      </c>
      <c r="C76" s="20" t="s">
        <v>31</v>
      </c>
      <c r="D76" s="18"/>
      <c r="E76" s="23">
        <v>1</v>
      </c>
      <c r="F76" s="16">
        <v>1</v>
      </c>
      <c r="G76" s="16">
        <v>358.51</v>
      </c>
      <c r="H76" s="146">
        <f>G76*F76/1000</f>
        <v>0.35851</v>
      </c>
      <c r="I76" s="16">
        <v>0</v>
      </c>
    </row>
    <row r="77" spans="1:21" ht="15.75" hidden="1" customHeight="1">
      <c r="A77" s="38"/>
      <c r="B77" s="149" t="s">
        <v>81</v>
      </c>
      <c r="C77" s="20"/>
      <c r="D77" s="18"/>
      <c r="E77" s="23"/>
      <c r="F77" s="16"/>
      <c r="G77" s="16" t="s">
        <v>179</v>
      </c>
      <c r="H77" s="146" t="s">
        <v>179</v>
      </c>
      <c r="I77" s="16"/>
    </row>
    <row r="78" spans="1:21" ht="15.75" hidden="1" customHeight="1">
      <c r="A78" s="38"/>
      <c r="B78" s="68" t="s">
        <v>242</v>
      </c>
      <c r="C78" s="20" t="s">
        <v>83</v>
      </c>
      <c r="D78" s="18"/>
      <c r="E78" s="23"/>
      <c r="F78" s="16">
        <v>1.2</v>
      </c>
      <c r="G78" s="16">
        <v>2759.44</v>
      </c>
      <c r="H78" s="146">
        <f t="shared" si="5"/>
        <v>3.311328</v>
      </c>
      <c r="I78" s="16">
        <v>0</v>
      </c>
    </row>
    <row r="79" spans="1:21" ht="15.75" hidden="1" customHeight="1">
      <c r="A79" s="38"/>
      <c r="B79" s="125" t="s">
        <v>108</v>
      </c>
      <c r="C79" s="125"/>
      <c r="D79" s="125"/>
      <c r="E79" s="125"/>
      <c r="F79" s="125"/>
      <c r="G79" s="137"/>
      <c r="H79" s="150">
        <f>SUM(H58:H78)</f>
        <v>197.73024405999999</v>
      </c>
      <c r="I79" s="137"/>
    </row>
    <row r="80" spans="1:21" ht="15.75" hidden="1" customHeight="1">
      <c r="A80" s="38"/>
      <c r="B80" s="157" t="s">
        <v>130</v>
      </c>
      <c r="C80" s="29"/>
      <c r="D80" s="28"/>
      <c r="E80" s="127"/>
      <c r="F80" s="158">
        <v>1</v>
      </c>
      <c r="G80" s="16">
        <v>23072.1</v>
      </c>
      <c r="H80" s="146">
        <f>G80*F80/1000</f>
        <v>23.072099999999999</v>
      </c>
      <c r="I80" s="16">
        <v>0</v>
      </c>
    </row>
    <row r="81" spans="1:9" ht="15.75" customHeight="1">
      <c r="A81" s="167" t="s">
        <v>171</v>
      </c>
      <c r="B81" s="168"/>
      <c r="C81" s="168"/>
      <c r="D81" s="168"/>
      <c r="E81" s="168"/>
      <c r="F81" s="168"/>
      <c r="G81" s="168"/>
      <c r="H81" s="168"/>
      <c r="I81" s="169"/>
    </row>
    <row r="82" spans="1:9" ht="15.75" customHeight="1">
      <c r="A82" s="38">
        <v>21</v>
      </c>
      <c r="B82" s="131" t="s">
        <v>132</v>
      </c>
      <c r="C82" s="20" t="s">
        <v>58</v>
      </c>
      <c r="D82" s="92" t="s">
        <v>59</v>
      </c>
      <c r="E82" s="16">
        <v>6980.3</v>
      </c>
      <c r="F82" s="16">
        <f>SUM(E82*12)</f>
        <v>83763.600000000006</v>
      </c>
      <c r="G82" s="16">
        <v>2.1</v>
      </c>
      <c r="H82" s="146">
        <f>SUM(F82*G82/1000)</f>
        <v>175.90356000000003</v>
      </c>
      <c r="I82" s="16">
        <f>F82/12*G82</f>
        <v>14658.630000000001</v>
      </c>
    </row>
    <row r="83" spans="1:9" ht="31.5" customHeight="1">
      <c r="A83" s="38">
        <v>22</v>
      </c>
      <c r="B83" s="18" t="s">
        <v>84</v>
      </c>
      <c r="C83" s="20"/>
      <c r="D83" s="92" t="s">
        <v>59</v>
      </c>
      <c r="E83" s="133">
        <f>E82</f>
        <v>6980.3</v>
      </c>
      <c r="F83" s="16">
        <f>E83*12</f>
        <v>83763.600000000006</v>
      </c>
      <c r="G83" s="16">
        <v>1.63</v>
      </c>
      <c r="H83" s="146">
        <f>F83*G83/1000</f>
        <v>136.53466800000001</v>
      </c>
      <c r="I83" s="16">
        <f>F83/12*G83</f>
        <v>11377.888999999999</v>
      </c>
    </row>
    <row r="84" spans="1:9" ht="15.75" customHeight="1">
      <c r="A84" s="38"/>
      <c r="B84" s="55" t="s">
        <v>88</v>
      </c>
      <c r="C84" s="149"/>
      <c r="D84" s="148"/>
      <c r="E84" s="137"/>
      <c r="F84" s="137"/>
      <c r="G84" s="137"/>
      <c r="H84" s="150">
        <f>H83</f>
        <v>136.53466800000001</v>
      </c>
      <c r="I84" s="137">
        <f>I16+I17+I18+I20+I21+I24+I25+I26+I27+I38+I39+I40+I42+I43+I44+I45+I58+I60+I63+I65+I82+I83</f>
        <v>102297.56737766667</v>
      </c>
    </row>
    <row r="85" spans="1:9" ht="15.75" customHeight="1">
      <c r="A85" s="38"/>
      <c r="B85" s="88" t="s">
        <v>64</v>
      </c>
      <c r="C85" s="20"/>
      <c r="D85" s="68"/>
      <c r="E85" s="16"/>
      <c r="F85" s="16"/>
      <c r="G85" s="16"/>
      <c r="H85" s="16"/>
      <c r="I85" s="16"/>
    </row>
    <row r="86" spans="1:9" ht="15.75" customHeight="1">
      <c r="A86" s="38">
        <v>23</v>
      </c>
      <c r="B86" s="89" t="s">
        <v>155</v>
      </c>
      <c r="C86" s="110" t="s">
        <v>124</v>
      </c>
      <c r="D86" s="18"/>
      <c r="E86" s="23"/>
      <c r="F86" s="16">
        <v>1440</v>
      </c>
      <c r="G86" s="16">
        <v>50.68</v>
      </c>
      <c r="H86" s="146">
        <f t="shared" ref="H86:H94" si="7">G86*F86/1000</f>
        <v>72.979199999999992</v>
      </c>
      <c r="I86" s="16">
        <f>G86*120</f>
        <v>6081.6</v>
      </c>
    </row>
    <row r="87" spans="1:9" ht="15.75" customHeight="1">
      <c r="A87" s="38">
        <v>24</v>
      </c>
      <c r="B87" s="89" t="s">
        <v>90</v>
      </c>
      <c r="C87" s="110" t="s">
        <v>124</v>
      </c>
      <c r="D87" s="18"/>
      <c r="E87" s="23"/>
      <c r="F87" s="16">
        <v>19</v>
      </c>
      <c r="G87" s="16">
        <v>180.15</v>
      </c>
      <c r="H87" s="146">
        <f t="shared" si="7"/>
        <v>3.4228499999999999</v>
      </c>
      <c r="I87" s="16">
        <f>G87*3</f>
        <v>540.45000000000005</v>
      </c>
    </row>
    <row r="88" spans="1:9" ht="31.5" customHeight="1">
      <c r="A88" s="38">
        <v>25</v>
      </c>
      <c r="B88" s="89" t="s">
        <v>182</v>
      </c>
      <c r="C88" s="110" t="s">
        <v>183</v>
      </c>
      <c r="D88" s="18"/>
      <c r="E88" s="23"/>
      <c r="F88" s="16">
        <v>7</v>
      </c>
      <c r="G88" s="16">
        <v>559.62</v>
      </c>
      <c r="H88" s="146">
        <f t="shared" si="7"/>
        <v>3.9173400000000003</v>
      </c>
      <c r="I88" s="16">
        <f>G88</f>
        <v>559.62</v>
      </c>
    </row>
    <row r="89" spans="1:9" ht="15.75" customHeight="1">
      <c r="A89" s="38">
        <v>26</v>
      </c>
      <c r="B89" s="89" t="s">
        <v>187</v>
      </c>
      <c r="C89" s="110" t="s">
        <v>188</v>
      </c>
      <c r="D89" s="18"/>
      <c r="E89" s="23"/>
      <c r="F89" s="16">
        <v>2</v>
      </c>
      <c r="G89" s="16">
        <v>195.95</v>
      </c>
      <c r="H89" s="16">
        <f t="shared" ref="H89:H90" si="8">SUM(F89*G89/1000)</f>
        <v>0.39189999999999997</v>
      </c>
      <c r="I89" s="16">
        <f>G89*2</f>
        <v>391.9</v>
      </c>
    </row>
    <row r="90" spans="1:9" ht="31.5" customHeight="1">
      <c r="A90" s="38">
        <v>27</v>
      </c>
      <c r="B90" s="89" t="s">
        <v>189</v>
      </c>
      <c r="C90" s="110" t="s">
        <v>89</v>
      </c>
      <c r="D90" s="18"/>
      <c r="E90" s="23"/>
      <c r="F90" s="16">
        <v>7.5</v>
      </c>
      <c r="G90" s="16">
        <v>1264.3399999999999</v>
      </c>
      <c r="H90" s="16">
        <f t="shared" si="8"/>
        <v>9.4825499999999998</v>
      </c>
      <c r="I90" s="16">
        <f>G90*7.5</f>
        <v>9482.5499999999993</v>
      </c>
    </row>
    <row r="91" spans="1:9" ht="15.75" customHeight="1">
      <c r="A91" s="38">
        <v>28</v>
      </c>
      <c r="B91" s="89" t="s">
        <v>162</v>
      </c>
      <c r="C91" s="110" t="s">
        <v>92</v>
      </c>
      <c r="D91" s="18"/>
      <c r="E91" s="23"/>
      <c r="F91" s="16">
        <v>9</v>
      </c>
      <c r="G91" s="16">
        <v>185.81</v>
      </c>
      <c r="H91" s="146">
        <f>G91*F91/1000</f>
        <v>1.6722900000000001</v>
      </c>
      <c r="I91" s="16">
        <f>G91</f>
        <v>185.81</v>
      </c>
    </row>
    <row r="92" spans="1:9" ht="15.75" customHeight="1">
      <c r="A92" s="38">
        <v>29</v>
      </c>
      <c r="B92" s="89" t="s">
        <v>190</v>
      </c>
      <c r="C92" s="152" t="s">
        <v>191</v>
      </c>
      <c r="D92" s="18"/>
      <c r="E92" s="23"/>
      <c r="F92" s="16">
        <v>1</v>
      </c>
      <c r="G92" s="16">
        <v>133.16999999999999</v>
      </c>
      <c r="H92" s="146">
        <f t="shared" ref="H92:H93" si="9">G92*F92/1000</f>
        <v>0.13316999999999998</v>
      </c>
      <c r="I92" s="16">
        <f t="shared" ref="I92:I94" si="10">G92</f>
        <v>133.16999999999999</v>
      </c>
    </row>
    <row r="93" spans="1:9" ht="31.5" customHeight="1">
      <c r="A93" s="38">
        <v>30</v>
      </c>
      <c r="B93" s="89" t="s">
        <v>192</v>
      </c>
      <c r="C93" s="152" t="s">
        <v>193</v>
      </c>
      <c r="D93" s="18"/>
      <c r="E93" s="23"/>
      <c r="F93" s="16">
        <v>1</v>
      </c>
      <c r="G93" s="16">
        <v>811.24</v>
      </c>
      <c r="H93" s="146">
        <f t="shared" si="9"/>
        <v>0.81123999999999996</v>
      </c>
      <c r="I93" s="16">
        <f t="shared" si="10"/>
        <v>811.24</v>
      </c>
    </row>
    <row r="94" spans="1:9" ht="31.5" customHeight="1">
      <c r="A94" s="38">
        <v>31</v>
      </c>
      <c r="B94" s="89" t="s">
        <v>87</v>
      </c>
      <c r="C94" s="110" t="s">
        <v>124</v>
      </c>
      <c r="D94" s="18"/>
      <c r="E94" s="23"/>
      <c r="F94" s="16">
        <v>4</v>
      </c>
      <c r="G94" s="16">
        <v>79.09</v>
      </c>
      <c r="H94" s="146">
        <f t="shared" si="7"/>
        <v>0.31636000000000003</v>
      </c>
      <c r="I94" s="16">
        <f t="shared" si="10"/>
        <v>79.09</v>
      </c>
    </row>
    <row r="95" spans="1:9" ht="15.75" customHeight="1">
      <c r="A95" s="38"/>
      <c r="B95" s="62" t="s">
        <v>53</v>
      </c>
      <c r="C95" s="58"/>
      <c r="D95" s="72"/>
      <c r="E95" s="58">
        <v>1</v>
      </c>
      <c r="F95" s="58"/>
      <c r="G95" s="58"/>
      <c r="H95" s="58"/>
      <c r="I95" s="40">
        <f>SUM(I86:I94)</f>
        <v>18265.43</v>
      </c>
    </row>
    <row r="96" spans="1:9">
      <c r="A96" s="38"/>
      <c r="B96" s="68" t="s">
        <v>85</v>
      </c>
      <c r="C96" s="19"/>
      <c r="D96" s="19"/>
      <c r="E96" s="59"/>
      <c r="F96" s="59"/>
      <c r="G96" s="60"/>
      <c r="H96" s="60"/>
      <c r="I96" s="22">
        <v>0</v>
      </c>
    </row>
    <row r="97" spans="1:9">
      <c r="A97" s="73"/>
      <c r="B97" s="63" t="s">
        <v>54</v>
      </c>
      <c r="C97" s="46"/>
      <c r="D97" s="46"/>
      <c r="E97" s="46"/>
      <c r="F97" s="46"/>
      <c r="G97" s="46"/>
      <c r="H97" s="46"/>
      <c r="I97" s="61">
        <f>I84+I95</f>
        <v>120562.99737766667</v>
      </c>
    </row>
    <row r="98" spans="1:9" ht="15.75">
      <c r="A98" s="170" t="s">
        <v>251</v>
      </c>
      <c r="B98" s="170"/>
      <c r="C98" s="170"/>
      <c r="D98" s="170"/>
      <c r="E98" s="170"/>
      <c r="F98" s="170"/>
      <c r="G98" s="170"/>
      <c r="H98" s="170"/>
      <c r="I98" s="170"/>
    </row>
    <row r="99" spans="1:9" ht="15.75" customHeight="1">
      <c r="A99" s="108"/>
      <c r="B99" s="171" t="s">
        <v>252</v>
      </c>
      <c r="C99" s="171"/>
      <c r="D99" s="171"/>
      <c r="E99" s="171"/>
      <c r="F99" s="171"/>
      <c r="G99" s="171"/>
      <c r="H99" s="130"/>
      <c r="I99" s="3"/>
    </row>
    <row r="100" spans="1:9">
      <c r="A100" s="120"/>
      <c r="B100" s="164" t="s">
        <v>6</v>
      </c>
      <c r="C100" s="164"/>
      <c r="D100" s="164"/>
      <c r="E100" s="164"/>
      <c r="F100" s="164"/>
      <c r="G100" s="164"/>
      <c r="H100" s="33"/>
      <c r="I100" s="5"/>
    </row>
    <row r="101" spans="1:9">
      <c r="A101" s="10"/>
      <c r="B101" s="10"/>
      <c r="C101" s="10"/>
      <c r="D101" s="10"/>
      <c r="E101" s="10"/>
      <c r="F101" s="10"/>
      <c r="G101" s="10"/>
      <c r="H101" s="10"/>
      <c r="I101" s="10"/>
    </row>
    <row r="102" spans="1:9" ht="15.75">
      <c r="A102" s="172" t="s">
        <v>7</v>
      </c>
      <c r="B102" s="172"/>
      <c r="C102" s="172"/>
      <c r="D102" s="172"/>
      <c r="E102" s="172"/>
      <c r="F102" s="172"/>
      <c r="G102" s="172"/>
      <c r="H102" s="172"/>
      <c r="I102" s="172"/>
    </row>
    <row r="103" spans="1:9" ht="15.75">
      <c r="A103" s="172" t="s">
        <v>8</v>
      </c>
      <c r="B103" s="172"/>
      <c r="C103" s="172"/>
      <c r="D103" s="172"/>
      <c r="E103" s="172"/>
      <c r="F103" s="172"/>
      <c r="G103" s="172"/>
      <c r="H103" s="172"/>
      <c r="I103" s="172"/>
    </row>
    <row r="104" spans="1:9" ht="15.75">
      <c r="A104" s="161" t="s">
        <v>65</v>
      </c>
      <c r="B104" s="161"/>
      <c r="C104" s="161"/>
      <c r="D104" s="161"/>
      <c r="E104" s="161"/>
      <c r="F104" s="161"/>
      <c r="G104" s="161"/>
      <c r="H104" s="161"/>
      <c r="I104" s="161"/>
    </row>
    <row r="105" spans="1:9" ht="15.75">
      <c r="A105" s="11"/>
    </row>
    <row r="106" spans="1:9" ht="15.75">
      <c r="A106" s="162" t="s">
        <v>9</v>
      </c>
      <c r="B106" s="162"/>
      <c r="C106" s="162"/>
      <c r="D106" s="162"/>
      <c r="E106" s="162"/>
      <c r="F106" s="162"/>
      <c r="G106" s="162"/>
      <c r="H106" s="162"/>
      <c r="I106" s="162"/>
    </row>
    <row r="107" spans="1:9" ht="15.75" customHeight="1">
      <c r="A107" s="4"/>
    </row>
    <row r="108" spans="1:9" ht="15.75" customHeight="1">
      <c r="B108" s="117" t="s">
        <v>10</v>
      </c>
      <c r="C108" s="163" t="s">
        <v>170</v>
      </c>
      <c r="D108" s="163"/>
      <c r="E108" s="163"/>
      <c r="F108" s="128"/>
      <c r="I108" s="119"/>
    </row>
    <row r="109" spans="1:9" ht="15.75" customHeight="1">
      <c r="A109" s="120"/>
      <c r="C109" s="164" t="s">
        <v>11</v>
      </c>
      <c r="D109" s="164"/>
      <c r="E109" s="164"/>
      <c r="F109" s="33"/>
      <c r="I109" s="118" t="s">
        <v>12</v>
      </c>
    </row>
    <row r="110" spans="1:9" ht="15.75" customHeight="1">
      <c r="A110" s="34"/>
      <c r="C110" s="12"/>
      <c r="D110" s="12"/>
      <c r="G110" s="12"/>
      <c r="H110" s="12"/>
    </row>
    <row r="111" spans="1:9" ht="15.75">
      <c r="B111" s="117" t="s">
        <v>13</v>
      </c>
      <c r="C111" s="165"/>
      <c r="D111" s="165"/>
      <c r="E111" s="165"/>
      <c r="F111" s="129"/>
      <c r="I111" s="119"/>
    </row>
    <row r="112" spans="1:9">
      <c r="A112" s="120"/>
      <c r="C112" s="166" t="s">
        <v>11</v>
      </c>
      <c r="D112" s="166"/>
      <c r="E112" s="166"/>
      <c r="F112" s="120"/>
      <c r="I112" s="118" t="s">
        <v>12</v>
      </c>
    </row>
    <row r="113" spans="1:9" ht="15.75">
      <c r="A113" s="4" t="s">
        <v>14</v>
      </c>
    </row>
    <row r="114" spans="1:9">
      <c r="A114" s="159" t="s">
        <v>15</v>
      </c>
      <c r="B114" s="159"/>
      <c r="C114" s="159"/>
      <c r="D114" s="159"/>
      <c r="E114" s="159"/>
      <c r="F114" s="159"/>
      <c r="G114" s="159"/>
      <c r="H114" s="159"/>
      <c r="I114" s="159"/>
    </row>
    <row r="115" spans="1:9" ht="45" customHeight="1">
      <c r="A115" s="160" t="s">
        <v>16</v>
      </c>
      <c r="B115" s="160"/>
      <c r="C115" s="160"/>
      <c r="D115" s="160"/>
      <c r="E115" s="160"/>
      <c r="F115" s="160"/>
      <c r="G115" s="160"/>
      <c r="H115" s="160"/>
      <c r="I115" s="160"/>
    </row>
    <row r="116" spans="1:9" ht="30" customHeight="1">
      <c r="A116" s="160" t="s">
        <v>17</v>
      </c>
      <c r="B116" s="160"/>
      <c r="C116" s="160"/>
      <c r="D116" s="160"/>
      <c r="E116" s="160"/>
      <c r="F116" s="160"/>
      <c r="G116" s="160"/>
      <c r="H116" s="160"/>
      <c r="I116" s="160"/>
    </row>
    <row r="117" spans="1:9" ht="30" customHeight="1">
      <c r="A117" s="160" t="s">
        <v>21</v>
      </c>
      <c r="B117" s="160"/>
      <c r="C117" s="160"/>
      <c r="D117" s="160"/>
      <c r="E117" s="160"/>
      <c r="F117" s="160"/>
      <c r="G117" s="160"/>
      <c r="H117" s="160"/>
      <c r="I117" s="160"/>
    </row>
    <row r="118" spans="1:9" ht="15" customHeight="1">
      <c r="A118" s="160" t="s">
        <v>20</v>
      </c>
      <c r="B118" s="160"/>
      <c r="C118" s="160"/>
      <c r="D118" s="160"/>
      <c r="E118" s="160"/>
      <c r="F118" s="160"/>
      <c r="G118" s="160"/>
      <c r="H118" s="160"/>
      <c r="I118" s="160"/>
    </row>
  </sheetData>
  <autoFilter ref="I12:I60"/>
  <mergeCells count="28">
    <mergeCell ref="A115:I115"/>
    <mergeCell ref="A116:I116"/>
    <mergeCell ref="A117:I117"/>
    <mergeCell ref="A118:I118"/>
    <mergeCell ref="A106:I106"/>
    <mergeCell ref="C108:E108"/>
    <mergeCell ref="C109:E109"/>
    <mergeCell ref="C111:E111"/>
    <mergeCell ref="C112:E112"/>
    <mergeCell ref="A114:I114"/>
    <mergeCell ref="A98:I98"/>
    <mergeCell ref="B99:G99"/>
    <mergeCell ref="B100:G100"/>
    <mergeCell ref="A102:I102"/>
    <mergeCell ref="A103:I103"/>
    <mergeCell ref="A104:I104"/>
    <mergeCell ref="A15:I15"/>
    <mergeCell ref="A28:I28"/>
    <mergeCell ref="A46:I46"/>
    <mergeCell ref="A56:I56"/>
    <mergeCell ref="R65:U65"/>
    <mergeCell ref="A81:I81"/>
    <mergeCell ref="A3:I3"/>
    <mergeCell ref="A4:I4"/>
    <mergeCell ref="A5:I5"/>
    <mergeCell ref="A8:I8"/>
    <mergeCell ref="A10:I10"/>
    <mergeCell ref="A14:I14"/>
  </mergeCells>
  <pageMargins left="0.70866141732283472" right="0.23622047244094491" top="0.27559055118110237" bottom="0.27559055118110237" header="0.31496062992125984" footer="0.31496062992125984"/>
  <pageSetup paperSize="9" scale="60" orientation="portrait" r:id="rId1"/>
  <colBreaks count="1" manualBreakCount="1">
    <brk id="9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V123"/>
  <sheetViews>
    <sheetView workbookViewId="0">
      <selection activeCell="A3" sqref="A3:I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36" t="s">
        <v>96</v>
      </c>
      <c r="I1" s="35"/>
      <c r="J1" s="1"/>
      <c r="K1" s="1"/>
      <c r="L1" s="1"/>
      <c r="M1" s="1"/>
    </row>
    <row r="2" spans="1:13" ht="15.75">
      <c r="A2" s="37" t="s">
        <v>67</v>
      </c>
      <c r="J2" s="2"/>
      <c r="K2" s="2"/>
      <c r="L2" s="2"/>
      <c r="M2" s="2"/>
    </row>
    <row r="3" spans="1:13" ht="15.75" customHeight="1">
      <c r="A3" s="177" t="s">
        <v>253</v>
      </c>
      <c r="B3" s="177"/>
      <c r="C3" s="177"/>
      <c r="D3" s="177"/>
      <c r="E3" s="177"/>
      <c r="F3" s="177"/>
      <c r="G3" s="177"/>
      <c r="H3" s="177"/>
      <c r="I3" s="177"/>
      <c r="J3" s="3"/>
      <c r="K3" s="3"/>
      <c r="L3" s="3"/>
    </row>
    <row r="4" spans="1:13" ht="31.5" customHeight="1">
      <c r="A4" s="178" t="s">
        <v>159</v>
      </c>
      <c r="B4" s="178"/>
      <c r="C4" s="178"/>
      <c r="D4" s="178"/>
      <c r="E4" s="178"/>
      <c r="F4" s="178"/>
      <c r="G4" s="178"/>
      <c r="H4" s="178"/>
      <c r="I4" s="178"/>
    </row>
    <row r="5" spans="1:13" ht="15.75">
      <c r="A5" s="177" t="s">
        <v>254</v>
      </c>
      <c r="B5" s="179"/>
      <c r="C5" s="179"/>
      <c r="D5" s="179"/>
      <c r="E5" s="179"/>
      <c r="F5" s="179"/>
      <c r="G5" s="179"/>
      <c r="H5" s="179"/>
      <c r="I5" s="179"/>
      <c r="J5" s="2"/>
      <c r="K5" s="2"/>
      <c r="L5" s="2"/>
      <c r="M5" s="2"/>
    </row>
    <row r="6" spans="1:13" ht="15.75">
      <c r="A6" s="2"/>
      <c r="B6" s="116"/>
      <c r="C6" s="116"/>
      <c r="D6" s="116"/>
      <c r="E6" s="116"/>
      <c r="F6" s="116"/>
      <c r="G6" s="116"/>
      <c r="H6" s="116"/>
      <c r="I6" s="39">
        <v>42490</v>
      </c>
      <c r="J6" s="2"/>
      <c r="K6" s="2"/>
      <c r="L6" s="2"/>
      <c r="M6" s="2"/>
    </row>
    <row r="7" spans="1:13" ht="15.75">
      <c r="B7" s="117"/>
      <c r="C7" s="117"/>
      <c r="D7" s="117"/>
      <c r="E7" s="3"/>
      <c r="F7" s="3"/>
      <c r="G7" s="3"/>
      <c r="H7" s="3"/>
      <c r="J7" s="3"/>
      <c r="K7" s="3"/>
      <c r="L7" s="3"/>
      <c r="M7" s="3"/>
    </row>
    <row r="8" spans="1:13" ht="87" customHeight="1">
      <c r="A8" s="180" t="s">
        <v>174</v>
      </c>
      <c r="B8" s="180"/>
      <c r="C8" s="180"/>
      <c r="D8" s="180"/>
      <c r="E8" s="180"/>
      <c r="F8" s="180"/>
      <c r="G8" s="180"/>
      <c r="H8" s="180"/>
      <c r="I8" s="180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55.5" customHeight="1">
      <c r="A10" s="181" t="s">
        <v>173</v>
      </c>
      <c r="B10" s="181"/>
      <c r="C10" s="181"/>
      <c r="D10" s="181"/>
      <c r="E10" s="181"/>
      <c r="F10" s="181"/>
      <c r="G10" s="181"/>
      <c r="H10" s="181"/>
      <c r="I10" s="181"/>
      <c r="J10" s="2"/>
      <c r="K10" s="2"/>
      <c r="L10" s="2"/>
      <c r="M10" s="2"/>
    </row>
    <row r="11" spans="1:13" ht="15.75">
      <c r="A11" s="4"/>
    </row>
    <row r="12" spans="1:13" ht="4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182" t="s">
        <v>63</v>
      </c>
      <c r="B14" s="182"/>
      <c r="C14" s="182"/>
      <c r="D14" s="182"/>
      <c r="E14" s="182"/>
      <c r="F14" s="182"/>
      <c r="G14" s="182"/>
      <c r="H14" s="182"/>
      <c r="I14" s="182"/>
      <c r="J14" s="8"/>
      <c r="K14" s="8"/>
      <c r="L14" s="8"/>
      <c r="M14" s="8"/>
    </row>
    <row r="15" spans="1:13" ht="15" customHeight="1">
      <c r="A15" s="173" t="s">
        <v>4</v>
      </c>
      <c r="B15" s="173"/>
      <c r="C15" s="173"/>
      <c r="D15" s="173"/>
      <c r="E15" s="173"/>
      <c r="F15" s="173"/>
      <c r="G15" s="173"/>
      <c r="H15" s="173"/>
      <c r="I15" s="173"/>
      <c r="J15" s="8"/>
      <c r="K15" s="8"/>
      <c r="L15" s="8"/>
      <c r="M15" s="8"/>
    </row>
    <row r="16" spans="1:13" ht="31.5" customHeight="1">
      <c r="A16" s="38">
        <v>1</v>
      </c>
      <c r="B16" s="131" t="s">
        <v>99</v>
      </c>
      <c r="C16" s="132" t="s">
        <v>100</v>
      </c>
      <c r="D16" s="131" t="s">
        <v>101</v>
      </c>
      <c r="E16" s="133">
        <v>208.08</v>
      </c>
      <c r="F16" s="134">
        <f>SUM(E16*156/100)</f>
        <v>324.60480000000001</v>
      </c>
      <c r="G16" s="134">
        <v>175.38</v>
      </c>
      <c r="H16" s="135">
        <f t="shared" ref="H16:H25" si="0">SUM(F16*G16/1000)</f>
        <v>56.929189823999998</v>
      </c>
      <c r="I16" s="16">
        <f>F16/12*G16</f>
        <v>4744.0991519999998</v>
      </c>
      <c r="J16" s="30"/>
      <c r="K16" s="8"/>
      <c r="L16" s="8"/>
      <c r="M16" s="8"/>
    </row>
    <row r="17" spans="1:13" ht="31.5" customHeight="1">
      <c r="A17" s="38">
        <v>2</v>
      </c>
      <c r="B17" s="131" t="s">
        <v>135</v>
      </c>
      <c r="C17" s="132" t="s">
        <v>100</v>
      </c>
      <c r="D17" s="131" t="s">
        <v>102</v>
      </c>
      <c r="E17" s="133">
        <v>832.32</v>
      </c>
      <c r="F17" s="134">
        <f>SUM(E17*104/100)</f>
        <v>865.61279999999999</v>
      </c>
      <c r="G17" s="134">
        <v>175.38</v>
      </c>
      <c r="H17" s="135">
        <f t="shared" si="0"/>
        <v>151.81117286399999</v>
      </c>
      <c r="I17" s="16">
        <f>F17/12*G17</f>
        <v>12650.931071999999</v>
      </c>
      <c r="J17" s="31"/>
      <c r="K17" s="8"/>
      <c r="L17" s="8"/>
      <c r="M17" s="8"/>
    </row>
    <row r="18" spans="1:13" ht="31.5" customHeight="1">
      <c r="A18" s="38">
        <v>3</v>
      </c>
      <c r="B18" s="131" t="s">
        <v>136</v>
      </c>
      <c r="C18" s="132" t="s">
        <v>100</v>
      </c>
      <c r="D18" s="131" t="s">
        <v>240</v>
      </c>
      <c r="E18" s="133">
        <v>1040.4000000000001</v>
      </c>
      <c r="F18" s="134">
        <f>SUM(E18*24/100)</f>
        <v>249.69600000000003</v>
      </c>
      <c r="G18" s="134">
        <v>504.5</v>
      </c>
      <c r="H18" s="135">
        <f t="shared" si="0"/>
        <v>125.97163200000001</v>
      </c>
      <c r="I18" s="16">
        <f>F18/12*G18</f>
        <v>10497.636000000002</v>
      </c>
      <c r="J18" s="31"/>
      <c r="K18" s="8"/>
      <c r="L18" s="8"/>
      <c r="M18" s="8"/>
    </row>
    <row r="19" spans="1:13" ht="15.75" hidden="1" customHeight="1">
      <c r="A19" s="38"/>
      <c r="B19" s="131" t="s">
        <v>109</v>
      </c>
      <c r="C19" s="132" t="s">
        <v>110</v>
      </c>
      <c r="D19" s="131" t="s">
        <v>111</v>
      </c>
      <c r="E19" s="133">
        <v>48</v>
      </c>
      <c r="F19" s="134">
        <f>SUM(E19/10)</f>
        <v>4.8</v>
      </c>
      <c r="G19" s="134">
        <v>170.16</v>
      </c>
      <c r="H19" s="135">
        <f t="shared" si="0"/>
        <v>0.81676799999999994</v>
      </c>
      <c r="I19" s="16">
        <v>0</v>
      </c>
      <c r="J19" s="31"/>
      <c r="K19" s="8"/>
      <c r="L19" s="8"/>
      <c r="M19" s="8"/>
    </row>
    <row r="20" spans="1:13" ht="15.75" customHeight="1">
      <c r="A20" s="38">
        <v>4</v>
      </c>
      <c r="B20" s="131" t="s">
        <v>112</v>
      </c>
      <c r="C20" s="132" t="s">
        <v>100</v>
      </c>
      <c r="D20" s="131" t="s">
        <v>138</v>
      </c>
      <c r="E20" s="133">
        <v>30.6</v>
      </c>
      <c r="F20" s="134">
        <f>SUM(E20*12/100)</f>
        <v>3.6720000000000006</v>
      </c>
      <c r="G20" s="134">
        <v>217.88</v>
      </c>
      <c r="H20" s="135">
        <f t="shared" si="0"/>
        <v>0.8000553600000001</v>
      </c>
      <c r="I20" s="16">
        <f>F20/12*G20</f>
        <v>66.67128000000001</v>
      </c>
      <c r="J20" s="31"/>
      <c r="K20" s="8"/>
      <c r="L20" s="8"/>
      <c r="M20" s="8"/>
    </row>
    <row r="21" spans="1:13" ht="15.75" customHeight="1">
      <c r="A21" s="38">
        <v>5</v>
      </c>
      <c r="B21" s="131" t="s">
        <v>113</v>
      </c>
      <c r="C21" s="132" t="s">
        <v>100</v>
      </c>
      <c r="D21" s="131" t="s">
        <v>30</v>
      </c>
      <c r="E21" s="133">
        <v>10.06</v>
      </c>
      <c r="F21" s="134">
        <f>SUM(E21*12/100)</f>
        <v>1.2072000000000001</v>
      </c>
      <c r="G21" s="134">
        <v>216.12</v>
      </c>
      <c r="H21" s="135">
        <f t="shared" si="0"/>
        <v>0.26090006400000004</v>
      </c>
      <c r="I21" s="16">
        <f>F21/12*G21</f>
        <v>21.741672000000001</v>
      </c>
      <c r="J21" s="31"/>
      <c r="K21" s="8"/>
      <c r="L21" s="8"/>
      <c r="M21" s="8"/>
    </row>
    <row r="22" spans="1:13" ht="15.75" hidden="1" customHeight="1">
      <c r="A22" s="38"/>
      <c r="B22" s="131" t="s">
        <v>114</v>
      </c>
      <c r="C22" s="132" t="s">
        <v>55</v>
      </c>
      <c r="D22" s="131" t="s">
        <v>111</v>
      </c>
      <c r="E22" s="133">
        <v>769.2</v>
      </c>
      <c r="F22" s="134">
        <f>SUM(E22/100)</f>
        <v>7.6920000000000002</v>
      </c>
      <c r="G22" s="134">
        <v>269.26</v>
      </c>
      <c r="H22" s="135">
        <f t="shared" si="0"/>
        <v>2.07114792</v>
      </c>
      <c r="I22" s="16">
        <v>0</v>
      </c>
      <c r="J22" s="31"/>
      <c r="K22" s="8"/>
      <c r="L22" s="8"/>
      <c r="M22" s="8"/>
    </row>
    <row r="23" spans="1:13" ht="15.75" hidden="1" customHeight="1">
      <c r="A23" s="38"/>
      <c r="B23" s="131" t="s">
        <v>115</v>
      </c>
      <c r="C23" s="132" t="s">
        <v>55</v>
      </c>
      <c r="D23" s="131" t="s">
        <v>111</v>
      </c>
      <c r="E23" s="136">
        <v>35.28</v>
      </c>
      <c r="F23" s="134">
        <f>SUM(E23/100)</f>
        <v>0.3528</v>
      </c>
      <c r="G23" s="134">
        <v>44.29</v>
      </c>
      <c r="H23" s="135">
        <f t="shared" si="0"/>
        <v>1.5625512000000001E-2</v>
      </c>
      <c r="I23" s="16">
        <v>0</v>
      </c>
      <c r="J23" s="31"/>
      <c r="K23" s="8"/>
      <c r="L23" s="8"/>
      <c r="M23" s="8"/>
    </row>
    <row r="24" spans="1:13" ht="15.75" customHeight="1">
      <c r="A24" s="38">
        <v>6</v>
      </c>
      <c r="B24" s="131" t="s">
        <v>116</v>
      </c>
      <c r="C24" s="132" t="s">
        <v>55</v>
      </c>
      <c r="D24" s="131" t="s">
        <v>30</v>
      </c>
      <c r="E24" s="133">
        <v>10.8</v>
      </c>
      <c r="F24" s="134">
        <f>E24*12/100</f>
        <v>1.2960000000000003</v>
      </c>
      <c r="G24" s="134">
        <v>389.72</v>
      </c>
      <c r="H24" s="135">
        <f t="shared" si="0"/>
        <v>0.50507712000000016</v>
      </c>
      <c r="I24" s="16">
        <f>F24/12*G24</f>
        <v>42.089760000000012</v>
      </c>
      <c r="J24" s="31"/>
      <c r="K24" s="8"/>
      <c r="L24" s="8"/>
      <c r="M24" s="8"/>
    </row>
    <row r="25" spans="1:13" ht="15.75" customHeight="1">
      <c r="A25" s="38">
        <v>7</v>
      </c>
      <c r="B25" s="131" t="s">
        <v>117</v>
      </c>
      <c r="C25" s="132" t="s">
        <v>55</v>
      </c>
      <c r="D25" s="131" t="s">
        <v>139</v>
      </c>
      <c r="E25" s="133">
        <v>21.6</v>
      </c>
      <c r="F25" s="134">
        <f>SUM(E25*12/100)</f>
        <v>2.5920000000000005</v>
      </c>
      <c r="G25" s="134">
        <v>520.79999999999995</v>
      </c>
      <c r="H25" s="135">
        <f t="shared" si="0"/>
        <v>1.3499136</v>
      </c>
      <c r="I25" s="16">
        <f>F25/12*G25</f>
        <v>112.49280000000002</v>
      </c>
      <c r="J25" s="31"/>
      <c r="K25" s="8"/>
      <c r="L25" s="8"/>
      <c r="M25" s="8"/>
    </row>
    <row r="26" spans="1:13" ht="15.75" customHeight="1">
      <c r="A26" s="38">
        <v>8</v>
      </c>
      <c r="B26" s="131" t="s">
        <v>69</v>
      </c>
      <c r="C26" s="132" t="s">
        <v>33</v>
      </c>
      <c r="D26" s="131" t="s">
        <v>140</v>
      </c>
      <c r="E26" s="133">
        <v>0.1</v>
      </c>
      <c r="F26" s="134">
        <f>SUM(E26*365)</f>
        <v>36.5</v>
      </c>
      <c r="G26" s="134">
        <v>147.03</v>
      </c>
      <c r="H26" s="135">
        <f>SUM(F26*G26/1000)</f>
        <v>5.3665950000000002</v>
      </c>
      <c r="I26" s="16">
        <f>F26/12*G26</f>
        <v>447.21625</v>
      </c>
      <c r="J26" s="32"/>
    </row>
    <row r="27" spans="1:13" ht="15.75" customHeight="1">
      <c r="A27" s="38">
        <v>9</v>
      </c>
      <c r="B27" s="139" t="s">
        <v>23</v>
      </c>
      <c r="C27" s="132" t="s">
        <v>24</v>
      </c>
      <c r="D27" s="139" t="s">
        <v>179</v>
      </c>
      <c r="E27" s="133">
        <v>6980.3</v>
      </c>
      <c r="F27" s="134">
        <f>SUM(E27*12)</f>
        <v>83763.600000000006</v>
      </c>
      <c r="G27" s="134">
        <v>4.4000000000000004</v>
      </c>
      <c r="H27" s="135">
        <f>SUM(F27*G27/1000)</f>
        <v>368.55984000000007</v>
      </c>
      <c r="I27" s="16">
        <f>F27/12*G27</f>
        <v>30713.320000000003</v>
      </c>
      <c r="J27" s="32"/>
    </row>
    <row r="28" spans="1:13" ht="15" customHeight="1">
      <c r="A28" s="173" t="s">
        <v>95</v>
      </c>
      <c r="B28" s="173"/>
      <c r="C28" s="173"/>
      <c r="D28" s="173"/>
      <c r="E28" s="173"/>
      <c r="F28" s="173"/>
      <c r="G28" s="173"/>
      <c r="H28" s="173"/>
      <c r="I28" s="173"/>
      <c r="J28" s="31"/>
      <c r="K28" s="8"/>
      <c r="L28" s="8"/>
      <c r="M28" s="8"/>
    </row>
    <row r="29" spans="1:13" ht="15.75" hidden="1" customHeight="1">
      <c r="A29" s="38"/>
      <c r="B29" s="155" t="s">
        <v>28</v>
      </c>
      <c r="C29" s="132"/>
      <c r="D29" s="131"/>
      <c r="E29" s="133"/>
      <c r="F29" s="134"/>
      <c r="G29" s="134"/>
      <c r="H29" s="135"/>
      <c r="I29" s="16"/>
      <c r="J29" s="31"/>
      <c r="K29" s="8"/>
      <c r="L29" s="8"/>
      <c r="M29" s="8"/>
    </row>
    <row r="30" spans="1:13" ht="31.5" hidden="1" customHeight="1">
      <c r="A30" s="38">
        <v>10</v>
      </c>
      <c r="B30" s="131" t="s">
        <v>121</v>
      </c>
      <c r="C30" s="132" t="s">
        <v>104</v>
      </c>
      <c r="D30" s="131" t="s">
        <v>118</v>
      </c>
      <c r="E30" s="134">
        <v>1168.05</v>
      </c>
      <c r="F30" s="134">
        <f>SUM(E30*52/1000)</f>
        <v>60.738599999999998</v>
      </c>
      <c r="G30" s="134">
        <v>155.88999999999999</v>
      </c>
      <c r="H30" s="135">
        <f t="shared" ref="H30:H36" si="1">SUM(F30*G30/1000)</f>
        <v>9.4685403539999982</v>
      </c>
      <c r="I30" s="16">
        <f>F30/6*G30</f>
        <v>1578.0900589999997</v>
      </c>
      <c r="J30" s="31"/>
      <c r="K30" s="8"/>
      <c r="L30" s="8"/>
      <c r="M30" s="8"/>
    </row>
    <row r="31" spans="1:13" ht="31.5" hidden="1" customHeight="1">
      <c r="A31" s="38">
        <v>11</v>
      </c>
      <c r="B31" s="131" t="s">
        <v>142</v>
      </c>
      <c r="C31" s="132" t="s">
        <v>104</v>
      </c>
      <c r="D31" s="131" t="s">
        <v>119</v>
      </c>
      <c r="E31" s="134">
        <v>1039.2</v>
      </c>
      <c r="F31" s="134">
        <f>SUM(E31*78/1000)</f>
        <v>81.057600000000008</v>
      </c>
      <c r="G31" s="134">
        <v>258.63</v>
      </c>
      <c r="H31" s="135">
        <f t="shared" si="1"/>
        <v>20.963927088000002</v>
      </c>
      <c r="I31" s="16">
        <f t="shared" ref="I31:I34" si="2">F31/6*G31</f>
        <v>3493.9878480000002</v>
      </c>
      <c r="J31" s="31"/>
      <c r="K31" s="8"/>
      <c r="L31" s="8"/>
      <c r="M31" s="8"/>
    </row>
    <row r="32" spans="1:13" ht="15.75" hidden="1" customHeight="1">
      <c r="A32" s="38">
        <v>16</v>
      </c>
      <c r="B32" s="131" t="s">
        <v>27</v>
      </c>
      <c r="C32" s="132" t="s">
        <v>104</v>
      </c>
      <c r="D32" s="131" t="s">
        <v>56</v>
      </c>
      <c r="E32" s="134">
        <v>584.03</v>
      </c>
      <c r="F32" s="134">
        <f>SUM(E32/1000)</f>
        <v>0.58402999999999994</v>
      </c>
      <c r="G32" s="134">
        <v>3020.33</v>
      </c>
      <c r="H32" s="135">
        <f t="shared" si="1"/>
        <v>1.7639633298999997</v>
      </c>
      <c r="I32" s="16">
        <f>F32*G32</f>
        <v>1763.9633298999997</v>
      </c>
      <c r="J32" s="31"/>
      <c r="K32" s="8"/>
      <c r="L32" s="8"/>
      <c r="M32" s="8"/>
    </row>
    <row r="33" spans="1:14" ht="15.75" hidden="1" customHeight="1">
      <c r="A33" s="38">
        <v>12</v>
      </c>
      <c r="B33" s="131" t="s">
        <v>141</v>
      </c>
      <c r="C33" s="132" t="s">
        <v>39</v>
      </c>
      <c r="D33" s="131" t="s">
        <v>68</v>
      </c>
      <c r="E33" s="134">
        <v>6</v>
      </c>
      <c r="F33" s="134">
        <f>E33*155/100</f>
        <v>9.3000000000000007</v>
      </c>
      <c r="G33" s="134">
        <v>1302.02</v>
      </c>
      <c r="H33" s="135">
        <f>G33*F33/1000</f>
        <v>12.108786</v>
      </c>
      <c r="I33" s="16">
        <f t="shared" si="2"/>
        <v>2018.1310000000001</v>
      </c>
      <c r="J33" s="31"/>
      <c r="K33" s="8"/>
      <c r="L33" s="8"/>
      <c r="M33" s="8"/>
    </row>
    <row r="34" spans="1:14" ht="15.75" hidden="1" customHeight="1">
      <c r="A34" s="38">
        <v>13</v>
      </c>
      <c r="B34" s="131" t="s">
        <v>120</v>
      </c>
      <c r="C34" s="132" t="s">
        <v>31</v>
      </c>
      <c r="D34" s="131" t="s">
        <v>68</v>
      </c>
      <c r="E34" s="138">
        <v>0.33333333333333331</v>
      </c>
      <c r="F34" s="134">
        <f>155/3</f>
        <v>51.666666666666664</v>
      </c>
      <c r="G34" s="134">
        <v>56.69</v>
      </c>
      <c r="H34" s="135">
        <f>SUM(G34*155/3/1000)</f>
        <v>2.9289833333333331</v>
      </c>
      <c r="I34" s="16">
        <f t="shared" si="2"/>
        <v>488.16388888888883</v>
      </c>
      <c r="J34" s="31"/>
      <c r="K34" s="8"/>
    </row>
    <row r="35" spans="1:14" ht="15.75" hidden="1" customHeight="1">
      <c r="A35" s="38"/>
      <c r="B35" s="131" t="s">
        <v>70</v>
      </c>
      <c r="C35" s="132" t="s">
        <v>33</v>
      </c>
      <c r="D35" s="131" t="s">
        <v>72</v>
      </c>
      <c r="E35" s="133"/>
      <c r="F35" s="134">
        <v>4</v>
      </c>
      <c r="G35" s="134">
        <v>180.15</v>
      </c>
      <c r="H35" s="135">
        <f t="shared" si="1"/>
        <v>0.72060000000000002</v>
      </c>
      <c r="I35" s="16">
        <v>0</v>
      </c>
      <c r="J35" s="32"/>
    </row>
    <row r="36" spans="1:14" ht="15.75" hidden="1" customHeight="1">
      <c r="A36" s="38"/>
      <c r="B36" s="131" t="s">
        <v>71</v>
      </c>
      <c r="C36" s="132" t="s">
        <v>32</v>
      </c>
      <c r="D36" s="131" t="s">
        <v>72</v>
      </c>
      <c r="E36" s="133"/>
      <c r="F36" s="134">
        <v>3</v>
      </c>
      <c r="G36" s="134">
        <v>1136.33</v>
      </c>
      <c r="H36" s="135">
        <f t="shared" si="1"/>
        <v>3.4089899999999997</v>
      </c>
      <c r="I36" s="16">
        <v>0</v>
      </c>
      <c r="J36" s="32"/>
    </row>
    <row r="37" spans="1:14" ht="15.75" customHeight="1">
      <c r="A37" s="38"/>
      <c r="B37" s="155" t="s">
        <v>5</v>
      </c>
      <c r="C37" s="132"/>
      <c r="D37" s="131"/>
      <c r="E37" s="133"/>
      <c r="F37" s="134"/>
      <c r="G37" s="134"/>
      <c r="H37" s="135" t="s">
        <v>179</v>
      </c>
      <c r="I37" s="16"/>
      <c r="J37" s="32"/>
    </row>
    <row r="38" spans="1:14" ht="15.75" customHeight="1">
      <c r="A38" s="38">
        <v>10</v>
      </c>
      <c r="B38" s="131" t="s">
        <v>26</v>
      </c>
      <c r="C38" s="132" t="s">
        <v>32</v>
      </c>
      <c r="D38" s="131"/>
      <c r="E38" s="133"/>
      <c r="F38" s="134">
        <v>10</v>
      </c>
      <c r="G38" s="134">
        <v>1527.22</v>
      </c>
      <c r="H38" s="135">
        <f t="shared" ref="H38:H45" si="3">SUM(F38*G38/1000)</f>
        <v>15.272200000000002</v>
      </c>
      <c r="I38" s="16">
        <f>F38/6*G38</f>
        <v>2545.3666666666668</v>
      </c>
      <c r="J38" s="32"/>
    </row>
    <row r="39" spans="1:14" ht="15.75" customHeight="1">
      <c r="A39" s="38">
        <v>11</v>
      </c>
      <c r="B39" s="131" t="s">
        <v>143</v>
      </c>
      <c r="C39" s="132" t="s">
        <v>33</v>
      </c>
      <c r="D39" s="131"/>
      <c r="E39" s="133"/>
      <c r="F39" s="134">
        <v>10</v>
      </c>
      <c r="G39" s="134">
        <v>77.94</v>
      </c>
      <c r="H39" s="135">
        <f>G39*F39/1000</f>
        <v>0.77939999999999998</v>
      </c>
      <c r="I39" s="16">
        <f>F39/6*G39</f>
        <v>129.9</v>
      </c>
      <c r="J39" s="32"/>
      <c r="L39" s="25"/>
      <c r="M39" s="26"/>
      <c r="N39" s="27"/>
    </row>
    <row r="40" spans="1:14" ht="15.75" customHeight="1">
      <c r="A40" s="38">
        <v>12</v>
      </c>
      <c r="B40" s="131" t="s">
        <v>122</v>
      </c>
      <c r="C40" s="132" t="s">
        <v>29</v>
      </c>
      <c r="D40" s="131" t="s">
        <v>144</v>
      </c>
      <c r="E40" s="133">
        <v>1039.2</v>
      </c>
      <c r="F40" s="134">
        <f>E40*25/1000</f>
        <v>25.98</v>
      </c>
      <c r="G40" s="134">
        <v>2102.71</v>
      </c>
      <c r="H40" s="135">
        <f>G40*F40/1000</f>
        <v>54.628405800000003</v>
      </c>
      <c r="I40" s="16">
        <f>F40/6*G40</f>
        <v>9104.7343000000001</v>
      </c>
      <c r="J40" s="32"/>
      <c r="L40" s="25"/>
      <c r="M40" s="26"/>
      <c r="N40" s="27"/>
    </row>
    <row r="41" spans="1:14" ht="15.75" hidden="1" customHeight="1">
      <c r="A41" s="38"/>
      <c r="B41" s="131" t="s">
        <v>145</v>
      </c>
      <c r="C41" s="132" t="s">
        <v>146</v>
      </c>
      <c r="D41" s="131" t="s">
        <v>72</v>
      </c>
      <c r="E41" s="133"/>
      <c r="F41" s="134">
        <v>50</v>
      </c>
      <c r="G41" s="134">
        <v>213.2</v>
      </c>
      <c r="H41" s="135">
        <f>G41*F41/1000</f>
        <v>10.66</v>
      </c>
      <c r="I41" s="16">
        <v>0</v>
      </c>
      <c r="J41" s="32"/>
      <c r="L41" s="25"/>
      <c r="M41" s="26"/>
      <c r="N41" s="27"/>
    </row>
    <row r="42" spans="1:14" ht="15.75" customHeight="1">
      <c r="A42" s="38">
        <v>13</v>
      </c>
      <c r="B42" s="131" t="s">
        <v>73</v>
      </c>
      <c r="C42" s="132" t="s">
        <v>29</v>
      </c>
      <c r="D42" s="131" t="s">
        <v>103</v>
      </c>
      <c r="E42" s="134">
        <v>153</v>
      </c>
      <c r="F42" s="134">
        <f>SUM(E42*155/1000)</f>
        <v>23.715</v>
      </c>
      <c r="G42" s="134">
        <v>350.75</v>
      </c>
      <c r="H42" s="135">
        <f t="shared" si="3"/>
        <v>8.3180362499999987</v>
      </c>
      <c r="I42" s="16">
        <f>F42/6*G42</f>
        <v>1386.339375</v>
      </c>
      <c r="J42" s="32"/>
      <c r="L42" s="25"/>
      <c r="M42" s="26"/>
      <c r="N42" s="27"/>
    </row>
    <row r="43" spans="1:14" ht="47.25" customHeight="1">
      <c r="A43" s="38">
        <v>14</v>
      </c>
      <c r="B43" s="131" t="s">
        <v>91</v>
      </c>
      <c r="C43" s="132" t="s">
        <v>104</v>
      </c>
      <c r="D43" s="131" t="s">
        <v>147</v>
      </c>
      <c r="E43" s="134">
        <v>24</v>
      </c>
      <c r="F43" s="134">
        <f>SUM(E43*50/1000)</f>
        <v>1.2</v>
      </c>
      <c r="G43" s="134">
        <v>5803.28</v>
      </c>
      <c r="H43" s="135">
        <f t="shared" si="3"/>
        <v>6.9639359999999995</v>
      </c>
      <c r="I43" s="16">
        <f>F43/6*G43</f>
        <v>1160.6559999999999</v>
      </c>
      <c r="J43" s="32"/>
      <c r="L43" s="25"/>
      <c r="M43" s="26"/>
      <c r="N43" s="27"/>
    </row>
    <row r="44" spans="1:14" ht="15.75" customHeight="1">
      <c r="A44" s="38">
        <v>15</v>
      </c>
      <c r="B44" s="131" t="s">
        <v>105</v>
      </c>
      <c r="C44" s="132" t="s">
        <v>104</v>
      </c>
      <c r="D44" s="131" t="s">
        <v>74</v>
      </c>
      <c r="E44" s="134">
        <v>153</v>
      </c>
      <c r="F44" s="134">
        <f>SUM(E44*45/1000)</f>
        <v>6.8849999999999998</v>
      </c>
      <c r="G44" s="134">
        <v>428.7</v>
      </c>
      <c r="H44" s="135">
        <f t="shared" si="3"/>
        <v>2.9515994999999999</v>
      </c>
      <c r="I44" s="16">
        <f>F44/6*G44</f>
        <v>491.93324999999999</v>
      </c>
      <c r="J44" s="32"/>
      <c r="L44" s="25"/>
      <c r="M44" s="26"/>
      <c r="N44" s="27"/>
    </row>
    <row r="45" spans="1:14" ht="15.75" customHeight="1">
      <c r="A45" s="38">
        <v>16</v>
      </c>
      <c r="B45" s="131" t="s">
        <v>75</v>
      </c>
      <c r="C45" s="132" t="s">
        <v>33</v>
      </c>
      <c r="D45" s="131"/>
      <c r="E45" s="133"/>
      <c r="F45" s="134">
        <v>0.9</v>
      </c>
      <c r="G45" s="134">
        <v>798</v>
      </c>
      <c r="H45" s="135">
        <f t="shared" si="3"/>
        <v>0.71820000000000006</v>
      </c>
      <c r="I45" s="16">
        <f>F45/6*G45</f>
        <v>119.69999999999999</v>
      </c>
      <c r="J45" s="32"/>
      <c r="L45" s="25"/>
      <c r="M45" s="26"/>
      <c r="N45" s="27"/>
    </row>
    <row r="46" spans="1:14" ht="15" customHeight="1">
      <c r="A46" s="174" t="s">
        <v>175</v>
      </c>
      <c r="B46" s="175"/>
      <c r="C46" s="175"/>
      <c r="D46" s="175"/>
      <c r="E46" s="175"/>
      <c r="F46" s="175"/>
      <c r="G46" s="175"/>
      <c r="H46" s="175"/>
      <c r="I46" s="176"/>
      <c r="J46" s="32"/>
      <c r="L46" s="25"/>
      <c r="M46" s="26"/>
      <c r="N46" s="27"/>
    </row>
    <row r="47" spans="1:14" ht="15.75" hidden="1" customHeight="1">
      <c r="A47" s="38"/>
      <c r="B47" s="131" t="s">
        <v>148</v>
      </c>
      <c r="C47" s="132" t="s">
        <v>104</v>
      </c>
      <c r="D47" s="131" t="s">
        <v>42</v>
      </c>
      <c r="E47" s="133">
        <v>1895</v>
      </c>
      <c r="F47" s="134">
        <f>SUM(E47*2/1000)</f>
        <v>3.79</v>
      </c>
      <c r="G47" s="16">
        <v>849.49</v>
      </c>
      <c r="H47" s="135">
        <f t="shared" ref="H47:H55" si="4">SUM(F47*G47/1000)</f>
        <v>3.2195671000000003</v>
      </c>
      <c r="I47" s="16">
        <v>0</v>
      </c>
      <c r="J47" s="32"/>
      <c r="L47" s="25"/>
      <c r="M47" s="26"/>
      <c r="N47" s="27"/>
    </row>
    <row r="48" spans="1:14" ht="15.75" hidden="1" customHeight="1">
      <c r="A48" s="38"/>
      <c r="B48" s="131" t="s">
        <v>34</v>
      </c>
      <c r="C48" s="132" t="s">
        <v>104</v>
      </c>
      <c r="D48" s="131" t="s">
        <v>42</v>
      </c>
      <c r="E48" s="133">
        <v>118.2</v>
      </c>
      <c r="F48" s="134">
        <f>E48*2/1000</f>
        <v>0.2364</v>
      </c>
      <c r="G48" s="16">
        <v>579.48</v>
      </c>
      <c r="H48" s="135">
        <f t="shared" si="4"/>
        <v>0.13698907199999999</v>
      </c>
      <c r="I48" s="16">
        <v>0</v>
      </c>
      <c r="J48" s="32"/>
      <c r="L48" s="25"/>
      <c r="M48" s="26"/>
      <c r="N48" s="27"/>
    </row>
    <row r="49" spans="1:22" ht="15.75" hidden="1" customHeight="1">
      <c r="A49" s="38"/>
      <c r="B49" s="131" t="s">
        <v>35</v>
      </c>
      <c r="C49" s="132" t="s">
        <v>104</v>
      </c>
      <c r="D49" s="131" t="s">
        <v>42</v>
      </c>
      <c r="E49" s="133">
        <v>4675</v>
      </c>
      <c r="F49" s="134">
        <f>SUM(E49*2/1000)</f>
        <v>9.35</v>
      </c>
      <c r="G49" s="16">
        <v>579.48</v>
      </c>
      <c r="H49" s="135">
        <f t="shared" si="4"/>
        <v>5.4181379999999999</v>
      </c>
      <c r="I49" s="16">
        <v>0</v>
      </c>
      <c r="J49" s="32"/>
      <c r="L49" s="25"/>
      <c r="M49" s="26"/>
      <c r="N49" s="27"/>
    </row>
    <row r="50" spans="1:22" ht="15.75" hidden="1" customHeight="1">
      <c r="A50" s="38"/>
      <c r="B50" s="131" t="s">
        <v>36</v>
      </c>
      <c r="C50" s="132" t="s">
        <v>104</v>
      </c>
      <c r="D50" s="131" t="s">
        <v>42</v>
      </c>
      <c r="E50" s="133">
        <v>4675</v>
      </c>
      <c r="F50" s="134">
        <f>SUM(E50*2/1000)</f>
        <v>9.35</v>
      </c>
      <c r="G50" s="16">
        <v>606.77</v>
      </c>
      <c r="H50" s="135">
        <f t="shared" si="4"/>
        <v>5.6732994999999988</v>
      </c>
      <c r="I50" s="16">
        <v>0</v>
      </c>
      <c r="J50" s="32"/>
      <c r="L50" s="25"/>
      <c r="M50" s="26"/>
      <c r="N50" s="27"/>
    </row>
    <row r="51" spans="1:22" ht="15.75" hidden="1" customHeight="1">
      <c r="A51" s="38">
        <v>17</v>
      </c>
      <c r="B51" s="131" t="s">
        <v>60</v>
      </c>
      <c r="C51" s="132" t="s">
        <v>104</v>
      </c>
      <c r="D51" s="131" t="s">
        <v>241</v>
      </c>
      <c r="E51" s="133">
        <v>3988</v>
      </c>
      <c r="F51" s="134">
        <f>SUM(E51*5/1000)</f>
        <v>19.940000000000001</v>
      </c>
      <c r="G51" s="16">
        <v>1142.7</v>
      </c>
      <c r="H51" s="135">
        <f t="shared" si="4"/>
        <v>22.785438000000003</v>
      </c>
      <c r="I51" s="16">
        <f>F51/5*G51</f>
        <v>4557.0876000000007</v>
      </c>
      <c r="J51" s="32"/>
      <c r="L51" s="25"/>
      <c r="M51" s="26"/>
      <c r="N51" s="27"/>
    </row>
    <row r="52" spans="1:22" ht="31.5" customHeight="1">
      <c r="A52" s="38">
        <v>17</v>
      </c>
      <c r="B52" s="131" t="s">
        <v>106</v>
      </c>
      <c r="C52" s="132" t="s">
        <v>104</v>
      </c>
      <c r="D52" s="131" t="s">
        <v>42</v>
      </c>
      <c r="E52" s="133">
        <v>3988</v>
      </c>
      <c r="F52" s="134">
        <f>SUM(E52*2/1000)</f>
        <v>7.976</v>
      </c>
      <c r="G52" s="16">
        <v>1213.55</v>
      </c>
      <c r="H52" s="135">
        <f t="shared" si="4"/>
        <v>9.6792748</v>
      </c>
      <c r="I52" s="16">
        <f>F52/2*G52</f>
        <v>4839.6373999999996</v>
      </c>
      <c r="J52" s="32"/>
      <c r="L52" s="25"/>
      <c r="M52" s="26"/>
      <c r="N52" s="27"/>
    </row>
    <row r="53" spans="1:22" ht="31.5" customHeight="1">
      <c r="A53" s="38">
        <v>18</v>
      </c>
      <c r="B53" s="131" t="s">
        <v>107</v>
      </c>
      <c r="C53" s="132" t="s">
        <v>37</v>
      </c>
      <c r="D53" s="131" t="s">
        <v>42</v>
      </c>
      <c r="E53" s="133">
        <v>30</v>
      </c>
      <c r="F53" s="134">
        <f>SUM(E53*2/100)</f>
        <v>0.6</v>
      </c>
      <c r="G53" s="16">
        <v>2730.49</v>
      </c>
      <c r="H53" s="135">
        <f>SUM(F53*G53/1000)</f>
        <v>1.6382939999999999</v>
      </c>
      <c r="I53" s="16">
        <f>F53/2*G53</f>
        <v>819.14699999999993</v>
      </c>
      <c r="J53" s="32"/>
      <c r="L53" s="25"/>
      <c r="M53" s="26"/>
      <c r="N53" s="27"/>
    </row>
    <row r="54" spans="1:22" ht="15.75" hidden="1" customHeight="1">
      <c r="A54" s="38"/>
      <c r="B54" s="131" t="s">
        <v>38</v>
      </c>
      <c r="C54" s="132" t="s">
        <v>39</v>
      </c>
      <c r="D54" s="131" t="s">
        <v>42</v>
      </c>
      <c r="E54" s="133">
        <v>1</v>
      </c>
      <c r="F54" s="134">
        <v>0.02</v>
      </c>
      <c r="G54" s="16">
        <v>5652.13</v>
      </c>
      <c r="H54" s="135">
        <f t="shared" si="4"/>
        <v>0.11304260000000001</v>
      </c>
      <c r="I54" s="16">
        <v>0</v>
      </c>
      <c r="J54" s="32"/>
      <c r="L54" s="25"/>
      <c r="M54" s="26"/>
      <c r="N54" s="27"/>
    </row>
    <row r="55" spans="1:22" ht="15.75" customHeight="1">
      <c r="A55" s="38">
        <v>19</v>
      </c>
      <c r="B55" s="131" t="s">
        <v>41</v>
      </c>
      <c r="C55" s="132" t="s">
        <v>124</v>
      </c>
      <c r="D55" s="131" t="s">
        <v>76</v>
      </c>
      <c r="E55" s="133">
        <v>236</v>
      </c>
      <c r="F55" s="134">
        <f>SUM(E55)*3</f>
        <v>708</v>
      </c>
      <c r="G55" s="16">
        <v>65.67</v>
      </c>
      <c r="H55" s="135">
        <f t="shared" si="4"/>
        <v>46.49436</v>
      </c>
      <c r="I55" s="16">
        <f>E55*G55</f>
        <v>15498.12</v>
      </c>
      <c r="J55" s="32"/>
      <c r="L55" s="25"/>
      <c r="M55" s="26"/>
      <c r="N55" s="27"/>
    </row>
    <row r="56" spans="1:22" ht="15.75" customHeight="1">
      <c r="A56" s="174" t="s">
        <v>176</v>
      </c>
      <c r="B56" s="175"/>
      <c r="C56" s="175"/>
      <c r="D56" s="175"/>
      <c r="E56" s="175"/>
      <c r="F56" s="175"/>
      <c r="G56" s="175"/>
      <c r="H56" s="175"/>
      <c r="I56" s="176"/>
      <c r="J56" s="32"/>
      <c r="L56" s="25"/>
      <c r="M56" s="26"/>
      <c r="N56" s="27"/>
    </row>
    <row r="57" spans="1:22" ht="15.75" customHeight="1">
      <c r="A57" s="38"/>
      <c r="B57" s="155" t="s">
        <v>45</v>
      </c>
      <c r="C57" s="132"/>
      <c r="D57" s="131"/>
      <c r="E57" s="133"/>
      <c r="F57" s="134"/>
      <c r="G57" s="134"/>
      <c r="H57" s="135"/>
      <c r="I57" s="16"/>
      <c r="J57" s="32"/>
      <c r="L57" s="25"/>
      <c r="M57" s="26"/>
      <c r="N57" s="27"/>
    </row>
    <row r="58" spans="1:22" ht="31.5" customHeight="1">
      <c r="A58" s="38">
        <v>20</v>
      </c>
      <c r="B58" s="131" t="s">
        <v>149</v>
      </c>
      <c r="C58" s="132" t="s">
        <v>100</v>
      </c>
      <c r="D58" s="131" t="s">
        <v>125</v>
      </c>
      <c r="E58" s="133">
        <v>30</v>
      </c>
      <c r="F58" s="134">
        <f>SUM(E58*6/100)</f>
        <v>1.8</v>
      </c>
      <c r="G58" s="16">
        <v>1547.28</v>
      </c>
      <c r="H58" s="135">
        <f>SUM(F58*G58/1000)</f>
        <v>2.785104</v>
      </c>
      <c r="I58" s="16">
        <f>F58/6*G58</f>
        <v>464.18399999999997</v>
      </c>
      <c r="J58" s="32"/>
      <c r="L58" s="25"/>
    </row>
    <row r="59" spans="1:22" ht="15.75" hidden="1" customHeight="1">
      <c r="A59" s="38">
        <v>20</v>
      </c>
      <c r="B59" s="140" t="s">
        <v>150</v>
      </c>
      <c r="C59" s="141" t="s">
        <v>151</v>
      </c>
      <c r="D59" s="140" t="s">
        <v>42</v>
      </c>
      <c r="E59" s="142">
        <v>6</v>
      </c>
      <c r="F59" s="143">
        <v>12</v>
      </c>
      <c r="G59" s="16">
        <v>180.78</v>
      </c>
      <c r="H59" s="144">
        <f>G59*F59/1000</f>
        <v>2.1693600000000002</v>
      </c>
      <c r="I59" s="16">
        <f>F59/2*G59</f>
        <v>1084.68</v>
      </c>
    </row>
    <row r="60" spans="1:22" ht="15.75" customHeight="1">
      <c r="A60" s="38">
        <v>21</v>
      </c>
      <c r="B60" s="140" t="s">
        <v>152</v>
      </c>
      <c r="C60" s="141" t="s">
        <v>55</v>
      </c>
      <c r="D60" s="140" t="s">
        <v>40</v>
      </c>
      <c r="E60" s="142">
        <v>6</v>
      </c>
      <c r="F60" s="143">
        <f>E60*4/100</f>
        <v>0.24</v>
      </c>
      <c r="G60" s="16">
        <v>1547.28</v>
      </c>
      <c r="H60" s="144">
        <f>G60*F60/1000</f>
        <v>0.37134719999999999</v>
      </c>
      <c r="I60" s="16">
        <f>F60/4*G60</f>
        <v>92.836799999999997</v>
      </c>
    </row>
    <row r="61" spans="1:22" ht="15.75" customHeight="1">
      <c r="A61" s="38"/>
      <c r="B61" s="156" t="s">
        <v>46</v>
      </c>
      <c r="C61" s="141"/>
      <c r="D61" s="140"/>
      <c r="E61" s="142"/>
      <c r="F61" s="143"/>
      <c r="G61" s="16"/>
      <c r="H61" s="144"/>
      <c r="I61" s="16"/>
    </row>
    <row r="62" spans="1:22" ht="15.75" hidden="1" customHeight="1">
      <c r="A62" s="38">
        <v>22</v>
      </c>
      <c r="B62" s="140" t="s">
        <v>153</v>
      </c>
      <c r="C62" s="141" t="s">
        <v>55</v>
      </c>
      <c r="D62" s="140" t="s">
        <v>56</v>
      </c>
      <c r="E62" s="142">
        <v>997</v>
      </c>
      <c r="F62" s="143">
        <v>9.9700000000000006</v>
      </c>
      <c r="G62" s="16">
        <v>793.61</v>
      </c>
      <c r="H62" s="144">
        <f>F62*G62/1000</f>
        <v>7.9122917000000008</v>
      </c>
      <c r="I62" s="16">
        <f>G62*F62</f>
        <v>7912.2917000000007</v>
      </c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9"/>
    </row>
    <row r="63" spans="1:22" ht="15.75" customHeight="1">
      <c r="A63" s="38">
        <v>22</v>
      </c>
      <c r="B63" s="140" t="s">
        <v>154</v>
      </c>
      <c r="C63" s="141" t="s">
        <v>25</v>
      </c>
      <c r="D63" s="140" t="s">
        <v>30</v>
      </c>
      <c r="E63" s="142">
        <v>394</v>
      </c>
      <c r="F63" s="145">
        <f>E63*12</f>
        <v>4728</v>
      </c>
      <c r="G63" s="126">
        <v>2.6</v>
      </c>
      <c r="H63" s="143">
        <f>F63*G63/1000</f>
        <v>12.292800000000002</v>
      </c>
      <c r="I63" s="16">
        <f>F63/12*G63</f>
        <v>1024.4000000000001</v>
      </c>
      <c r="J63" s="34"/>
      <c r="K63" s="34"/>
      <c r="L63" s="3"/>
      <c r="M63" s="3"/>
      <c r="N63" s="3"/>
      <c r="O63" s="3"/>
      <c r="P63" s="3"/>
      <c r="Q63" s="3"/>
      <c r="R63" s="3"/>
      <c r="S63" s="3"/>
      <c r="T63" s="3"/>
      <c r="U63" s="3"/>
    </row>
    <row r="64" spans="1:22" ht="15.75" customHeight="1">
      <c r="A64" s="38"/>
      <c r="B64" s="156" t="s">
        <v>47</v>
      </c>
      <c r="C64" s="141"/>
      <c r="D64" s="140"/>
      <c r="E64" s="142"/>
      <c r="F64" s="145"/>
      <c r="G64" s="145"/>
      <c r="H64" s="143" t="s">
        <v>179</v>
      </c>
      <c r="I64" s="16"/>
      <c r="J64" s="3"/>
      <c r="K64" s="3"/>
      <c r="L64" s="3"/>
      <c r="M64" s="3"/>
      <c r="N64" s="3"/>
      <c r="O64" s="3"/>
      <c r="P64" s="3"/>
      <c r="Q64" s="3"/>
      <c r="S64" s="3"/>
      <c r="T64" s="3"/>
      <c r="U64" s="3"/>
    </row>
    <row r="65" spans="1:21" ht="15.75" customHeight="1">
      <c r="A65" s="38">
        <v>23</v>
      </c>
      <c r="B65" s="18" t="s">
        <v>48</v>
      </c>
      <c r="C65" s="20" t="s">
        <v>124</v>
      </c>
      <c r="D65" s="131" t="s">
        <v>72</v>
      </c>
      <c r="E65" s="23">
        <v>15</v>
      </c>
      <c r="F65" s="134">
        <v>15</v>
      </c>
      <c r="G65" s="16">
        <v>222.4</v>
      </c>
      <c r="H65" s="146">
        <f t="shared" ref="H65:H78" si="5">SUM(F65*G65/1000)</f>
        <v>3.3359999999999999</v>
      </c>
      <c r="I65" s="16">
        <f>G65*2</f>
        <v>444.8</v>
      </c>
      <c r="J65" s="5"/>
      <c r="K65" s="5"/>
      <c r="L65" s="5"/>
      <c r="M65" s="5"/>
      <c r="N65" s="5"/>
      <c r="O65" s="5"/>
      <c r="P65" s="5"/>
      <c r="Q65" s="5"/>
      <c r="R65" s="166"/>
      <c r="S65" s="166"/>
      <c r="T65" s="166"/>
      <c r="U65" s="166"/>
    </row>
    <row r="66" spans="1:21" ht="15.75" hidden="1" customHeight="1">
      <c r="A66" s="38">
        <v>25</v>
      </c>
      <c r="B66" s="18" t="s">
        <v>49</v>
      </c>
      <c r="C66" s="20" t="s">
        <v>124</v>
      </c>
      <c r="D66" s="131" t="s">
        <v>72</v>
      </c>
      <c r="E66" s="23">
        <v>10</v>
      </c>
      <c r="F66" s="134">
        <v>10</v>
      </c>
      <c r="G66" s="16">
        <v>76.25</v>
      </c>
      <c r="H66" s="146">
        <f t="shared" si="5"/>
        <v>0.76249999999999996</v>
      </c>
      <c r="I66" s="16">
        <f>G66</f>
        <v>76.25</v>
      </c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</row>
    <row r="67" spans="1:21" ht="15.75" hidden="1" customHeight="1">
      <c r="A67" s="38"/>
      <c r="B67" s="18" t="s">
        <v>50</v>
      </c>
      <c r="C67" s="20" t="s">
        <v>126</v>
      </c>
      <c r="D67" s="18" t="s">
        <v>56</v>
      </c>
      <c r="E67" s="133">
        <v>28608</v>
      </c>
      <c r="F67" s="16">
        <f>SUM(E67/100)</f>
        <v>286.08</v>
      </c>
      <c r="G67" s="16">
        <v>199.77</v>
      </c>
      <c r="H67" s="146">
        <f t="shared" si="5"/>
        <v>57.150201600000003</v>
      </c>
      <c r="I67" s="16">
        <f>F67*G67</f>
        <v>57150.2016</v>
      </c>
    </row>
    <row r="68" spans="1:21" ht="15.75" hidden="1" customHeight="1">
      <c r="A68" s="38"/>
      <c r="B68" s="18" t="s">
        <v>51</v>
      </c>
      <c r="C68" s="20" t="s">
        <v>127</v>
      </c>
      <c r="D68" s="18"/>
      <c r="E68" s="133">
        <v>28608</v>
      </c>
      <c r="F68" s="16">
        <f>SUM(E68/1000)</f>
        <v>28.608000000000001</v>
      </c>
      <c r="G68" s="16">
        <v>155.57</v>
      </c>
      <c r="H68" s="146">
        <f t="shared" si="5"/>
        <v>4.4505465599999994</v>
      </c>
      <c r="I68" s="16">
        <f t="shared" ref="I68:I72" si="6">F68*G68</f>
        <v>4450.5465599999998</v>
      </c>
    </row>
    <row r="69" spans="1:21" ht="15.75" hidden="1" customHeight="1">
      <c r="A69" s="38"/>
      <c r="B69" s="18" t="s">
        <v>52</v>
      </c>
      <c r="C69" s="20" t="s">
        <v>83</v>
      </c>
      <c r="D69" s="18" t="s">
        <v>56</v>
      </c>
      <c r="E69" s="133">
        <v>4550</v>
      </c>
      <c r="F69" s="16">
        <f>SUM(E69/100)</f>
        <v>45.5</v>
      </c>
      <c r="G69" s="16">
        <v>2074.63</v>
      </c>
      <c r="H69" s="146">
        <f t="shared" si="5"/>
        <v>94.395665000000008</v>
      </c>
      <c r="I69" s="16">
        <f t="shared" si="6"/>
        <v>94395.665000000008</v>
      </c>
    </row>
    <row r="70" spans="1:21" ht="15.75" hidden="1" customHeight="1">
      <c r="A70" s="38"/>
      <c r="B70" s="147" t="s">
        <v>128</v>
      </c>
      <c r="C70" s="20" t="s">
        <v>33</v>
      </c>
      <c r="D70" s="18"/>
      <c r="E70" s="133">
        <v>58.5</v>
      </c>
      <c r="F70" s="16">
        <f>SUM(E70)</f>
        <v>58.5</v>
      </c>
      <c r="G70" s="16">
        <v>45.32</v>
      </c>
      <c r="H70" s="146">
        <f t="shared" si="5"/>
        <v>2.6512199999999999</v>
      </c>
      <c r="I70" s="16">
        <f t="shared" si="6"/>
        <v>2651.22</v>
      </c>
    </row>
    <row r="71" spans="1:21" ht="15.75" hidden="1" customHeight="1">
      <c r="A71" s="38"/>
      <c r="B71" s="147" t="s">
        <v>129</v>
      </c>
      <c r="C71" s="20" t="s">
        <v>33</v>
      </c>
      <c r="D71" s="18"/>
      <c r="E71" s="133">
        <v>58.5</v>
      </c>
      <c r="F71" s="16">
        <f>SUM(E71)</f>
        <v>58.5</v>
      </c>
      <c r="G71" s="16">
        <v>42.28</v>
      </c>
      <c r="H71" s="146">
        <f t="shared" si="5"/>
        <v>2.4733800000000001</v>
      </c>
      <c r="I71" s="16">
        <f t="shared" si="6"/>
        <v>2473.38</v>
      </c>
    </row>
    <row r="72" spans="1:21" ht="15.75" hidden="1" customHeight="1">
      <c r="A72" s="38"/>
      <c r="B72" s="18" t="s">
        <v>61</v>
      </c>
      <c r="C72" s="20" t="s">
        <v>62</v>
      </c>
      <c r="D72" s="18" t="s">
        <v>56</v>
      </c>
      <c r="E72" s="23">
        <v>5</v>
      </c>
      <c r="F72" s="134">
        <v>5</v>
      </c>
      <c r="G72" s="16">
        <v>49.88</v>
      </c>
      <c r="H72" s="146">
        <f t="shared" si="5"/>
        <v>0.24940000000000001</v>
      </c>
      <c r="I72" s="16">
        <f t="shared" si="6"/>
        <v>249.4</v>
      </c>
    </row>
    <row r="73" spans="1:21" ht="15.75" hidden="1" customHeight="1">
      <c r="A73" s="38"/>
      <c r="B73" s="115" t="s">
        <v>77</v>
      </c>
      <c r="C73" s="20"/>
      <c r="D73" s="18"/>
      <c r="E73" s="23"/>
      <c r="F73" s="16"/>
      <c r="G73" s="16"/>
      <c r="H73" s="146" t="s">
        <v>179</v>
      </c>
      <c r="I73" s="16"/>
    </row>
    <row r="74" spans="1:21" ht="15.75" hidden="1" customHeight="1">
      <c r="A74" s="38"/>
      <c r="B74" s="18" t="s">
        <v>78</v>
      </c>
      <c r="C74" s="20" t="s">
        <v>80</v>
      </c>
      <c r="D74" s="18"/>
      <c r="E74" s="23">
        <v>10</v>
      </c>
      <c r="F74" s="16">
        <v>1</v>
      </c>
      <c r="G74" s="16">
        <v>501.62</v>
      </c>
      <c r="H74" s="146">
        <f t="shared" si="5"/>
        <v>0.50161999999999995</v>
      </c>
      <c r="I74" s="16">
        <v>0</v>
      </c>
    </row>
    <row r="75" spans="1:21" ht="15.75" hidden="1" customHeight="1">
      <c r="A75" s="38"/>
      <c r="B75" s="18" t="s">
        <v>79</v>
      </c>
      <c r="C75" s="20" t="s">
        <v>31</v>
      </c>
      <c r="D75" s="18"/>
      <c r="E75" s="23">
        <v>3</v>
      </c>
      <c r="F75" s="126">
        <v>3</v>
      </c>
      <c r="G75" s="16">
        <v>852.99</v>
      </c>
      <c r="H75" s="146">
        <f>F75*G75/1000</f>
        <v>2.5589700000000004</v>
      </c>
      <c r="I75" s="16">
        <v>0</v>
      </c>
    </row>
    <row r="76" spans="1:21" ht="15.75" hidden="1" customHeight="1">
      <c r="A76" s="38"/>
      <c r="B76" s="18" t="s">
        <v>131</v>
      </c>
      <c r="C76" s="20" t="s">
        <v>31</v>
      </c>
      <c r="D76" s="18"/>
      <c r="E76" s="23">
        <v>1</v>
      </c>
      <c r="F76" s="16">
        <v>1</v>
      </c>
      <c r="G76" s="16">
        <v>358.51</v>
      </c>
      <c r="H76" s="146">
        <f>G76*F76/1000</f>
        <v>0.35851</v>
      </c>
      <c r="I76" s="16">
        <v>0</v>
      </c>
    </row>
    <row r="77" spans="1:21" ht="15.75" hidden="1" customHeight="1">
      <c r="A77" s="38"/>
      <c r="B77" s="149" t="s">
        <v>81</v>
      </c>
      <c r="C77" s="20"/>
      <c r="D77" s="18"/>
      <c r="E77" s="23"/>
      <c r="F77" s="16"/>
      <c r="G77" s="16" t="s">
        <v>179</v>
      </c>
      <c r="H77" s="146" t="s">
        <v>179</v>
      </c>
      <c r="I77" s="16"/>
    </row>
    <row r="78" spans="1:21" ht="15.75" hidden="1" customHeight="1">
      <c r="A78" s="38"/>
      <c r="B78" s="68" t="s">
        <v>242</v>
      </c>
      <c r="C78" s="20" t="s">
        <v>83</v>
      </c>
      <c r="D78" s="18"/>
      <c r="E78" s="23"/>
      <c r="F78" s="16">
        <v>1.2</v>
      </c>
      <c r="G78" s="16">
        <v>2759.44</v>
      </c>
      <c r="H78" s="146">
        <f t="shared" si="5"/>
        <v>3.311328</v>
      </c>
      <c r="I78" s="16">
        <v>0</v>
      </c>
    </row>
    <row r="79" spans="1:21" ht="15.75" customHeight="1">
      <c r="A79" s="38"/>
      <c r="B79" s="125" t="s">
        <v>108</v>
      </c>
      <c r="C79" s="125"/>
      <c r="D79" s="125"/>
      <c r="E79" s="125"/>
      <c r="F79" s="125"/>
      <c r="G79" s="137"/>
      <c r="H79" s="150">
        <f>SUM(H58:H78)</f>
        <v>197.73024405999999</v>
      </c>
      <c r="I79" s="137"/>
    </row>
    <row r="80" spans="1:21" ht="15.75" customHeight="1">
      <c r="A80" s="38">
        <v>24</v>
      </c>
      <c r="B80" s="157" t="s">
        <v>130</v>
      </c>
      <c r="C80" s="29"/>
      <c r="D80" s="28"/>
      <c r="E80" s="127"/>
      <c r="F80" s="158">
        <v>1</v>
      </c>
      <c r="G80" s="16">
        <v>23072.1</v>
      </c>
      <c r="H80" s="146">
        <f>G80*F80/1000</f>
        <v>23.072099999999999</v>
      </c>
      <c r="I80" s="16">
        <f>G80</f>
        <v>23072.1</v>
      </c>
    </row>
    <row r="81" spans="1:9" ht="15.75" customHeight="1">
      <c r="A81" s="167" t="s">
        <v>177</v>
      </c>
      <c r="B81" s="168"/>
      <c r="C81" s="168"/>
      <c r="D81" s="168"/>
      <c r="E81" s="168"/>
      <c r="F81" s="168"/>
      <c r="G81" s="168"/>
      <c r="H81" s="168"/>
      <c r="I81" s="169"/>
    </row>
    <row r="82" spans="1:9" ht="15.75" customHeight="1">
      <c r="A82" s="38">
        <v>25</v>
      </c>
      <c r="B82" s="131" t="s">
        <v>132</v>
      </c>
      <c r="C82" s="20" t="s">
        <v>58</v>
      </c>
      <c r="D82" s="92" t="s">
        <v>59</v>
      </c>
      <c r="E82" s="16">
        <v>6980.3</v>
      </c>
      <c r="F82" s="16">
        <f>SUM(E82*12)</f>
        <v>83763.600000000006</v>
      </c>
      <c r="G82" s="16">
        <v>2.1</v>
      </c>
      <c r="H82" s="146">
        <f>SUM(F82*G82/1000)</f>
        <v>175.90356000000003</v>
      </c>
      <c r="I82" s="16">
        <f>F82/12*G82</f>
        <v>14658.630000000001</v>
      </c>
    </row>
    <row r="83" spans="1:9" ht="31.5" customHeight="1">
      <c r="A83" s="38">
        <v>26</v>
      </c>
      <c r="B83" s="18" t="s">
        <v>84</v>
      </c>
      <c r="C83" s="20"/>
      <c r="D83" s="92" t="s">
        <v>59</v>
      </c>
      <c r="E83" s="133">
        <f>E82</f>
        <v>6980.3</v>
      </c>
      <c r="F83" s="16">
        <f>E83*12</f>
        <v>83763.600000000006</v>
      </c>
      <c r="G83" s="16">
        <v>1.63</v>
      </c>
      <c r="H83" s="146">
        <f>F83*G83/1000</f>
        <v>136.53466800000001</v>
      </c>
      <c r="I83" s="16">
        <f>F83/12*G83</f>
        <v>11377.888999999999</v>
      </c>
    </row>
    <row r="84" spans="1:9" ht="15.75" customHeight="1">
      <c r="A84" s="38"/>
      <c r="B84" s="55" t="s">
        <v>88</v>
      </c>
      <c r="C84" s="149"/>
      <c r="D84" s="148"/>
      <c r="E84" s="137"/>
      <c r="F84" s="137"/>
      <c r="G84" s="137"/>
      <c r="H84" s="150">
        <f>H83</f>
        <v>136.53466800000001</v>
      </c>
      <c r="I84" s="137">
        <f>I16+I17+I18+I20+I21+I24+I25+I26+I27+I38+I39+I40+I42+I43+I44+I45+I52+I53+I55+I58+I60+I63+I65+I80+I82+I83</f>
        <v>146526.57177766666</v>
      </c>
    </row>
    <row r="85" spans="1:9" ht="15.75" customHeight="1">
      <c r="A85" s="38"/>
      <c r="B85" s="88" t="s">
        <v>64</v>
      </c>
      <c r="C85" s="20"/>
      <c r="D85" s="68"/>
      <c r="E85" s="16"/>
      <c r="F85" s="16"/>
      <c r="G85" s="16"/>
      <c r="H85" s="16"/>
      <c r="I85" s="16"/>
    </row>
    <row r="86" spans="1:9" ht="15.75" customHeight="1">
      <c r="A86" s="38">
        <v>27</v>
      </c>
      <c r="B86" s="89" t="s">
        <v>155</v>
      </c>
      <c r="C86" s="110" t="s">
        <v>124</v>
      </c>
      <c r="D86" s="18"/>
      <c r="E86" s="23"/>
      <c r="F86" s="16">
        <v>1440</v>
      </c>
      <c r="G86" s="16">
        <v>50.68</v>
      </c>
      <c r="H86" s="146">
        <f t="shared" ref="H86:H99" si="7">G86*F86/1000</f>
        <v>72.979199999999992</v>
      </c>
      <c r="I86" s="16">
        <f>G86*120</f>
        <v>6081.6</v>
      </c>
    </row>
    <row r="87" spans="1:9" ht="15.75" customHeight="1">
      <c r="A87" s="38">
        <v>28</v>
      </c>
      <c r="B87" s="89" t="s">
        <v>90</v>
      </c>
      <c r="C87" s="110" t="s">
        <v>124</v>
      </c>
      <c r="D87" s="18"/>
      <c r="E87" s="23"/>
      <c r="F87" s="16">
        <v>19</v>
      </c>
      <c r="G87" s="16">
        <v>180.15</v>
      </c>
      <c r="H87" s="146">
        <f t="shared" si="7"/>
        <v>3.4228499999999999</v>
      </c>
      <c r="I87" s="16">
        <f>G87*3</f>
        <v>540.45000000000005</v>
      </c>
    </row>
    <row r="88" spans="1:9" ht="31.5" customHeight="1">
      <c r="A88" s="38">
        <v>29</v>
      </c>
      <c r="B88" s="89" t="s">
        <v>182</v>
      </c>
      <c r="C88" s="110" t="s">
        <v>183</v>
      </c>
      <c r="D88" s="18"/>
      <c r="E88" s="23"/>
      <c r="F88" s="16">
        <v>7</v>
      </c>
      <c r="G88" s="16">
        <v>559.62</v>
      </c>
      <c r="H88" s="146">
        <f t="shared" si="7"/>
        <v>3.9173400000000003</v>
      </c>
      <c r="I88" s="16">
        <f>G88*3</f>
        <v>1678.8600000000001</v>
      </c>
    </row>
    <row r="89" spans="1:9" ht="31.5" customHeight="1">
      <c r="A89" s="38">
        <v>30</v>
      </c>
      <c r="B89" s="89" t="s">
        <v>87</v>
      </c>
      <c r="C89" s="110" t="s">
        <v>124</v>
      </c>
      <c r="D89" s="18"/>
      <c r="E89" s="23"/>
      <c r="F89" s="16">
        <v>4</v>
      </c>
      <c r="G89" s="16">
        <v>79.09</v>
      </c>
      <c r="H89" s="146">
        <f t="shared" si="7"/>
        <v>0.31636000000000003</v>
      </c>
      <c r="I89" s="16">
        <f>G89*2</f>
        <v>158.18</v>
      </c>
    </row>
    <row r="90" spans="1:9" ht="31.5" customHeight="1">
      <c r="A90" s="38">
        <v>31</v>
      </c>
      <c r="B90" s="109" t="s">
        <v>194</v>
      </c>
      <c r="C90" s="38" t="s">
        <v>58</v>
      </c>
      <c r="D90" s="18"/>
      <c r="E90" s="23"/>
      <c r="F90" s="16">
        <v>15</v>
      </c>
      <c r="G90" s="16">
        <v>1206</v>
      </c>
      <c r="H90" s="146">
        <f t="shared" si="7"/>
        <v>18.09</v>
      </c>
      <c r="I90" s="16">
        <f>G90*15</f>
        <v>18090</v>
      </c>
    </row>
    <row r="91" spans="1:9" ht="31.5" customHeight="1">
      <c r="A91" s="38">
        <v>32</v>
      </c>
      <c r="B91" s="89" t="s">
        <v>195</v>
      </c>
      <c r="C91" s="110" t="s">
        <v>183</v>
      </c>
      <c r="D91" s="18"/>
      <c r="E91" s="23"/>
      <c r="F91" s="16">
        <v>4</v>
      </c>
      <c r="G91" s="16">
        <v>762.37</v>
      </c>
      <c r="H91" s="146">
        <f t="shared" si="7"/>
        <v>3.04948</v>
      </c>
      <c r="I91" s="16">
        <f>G91</f>
        <v>762.37</v>
      </c>
    </row>
    <row r="92" spans="1:9" ht="15.75" customHeight="1">
      <c r="A92" s="38">
        <v>33</v>
      </c>
      <c r="B92" s="89" t="s">
        <v>196</v>
      </c>
      <c r="C92" s="110" t="s">
        <v>188</v>
      </c>
      <c r="D92" s="18"/>
      <c r="E92" s="23"/>
      <c r="F92" s="16">
        <v>3</v>
      </c>
      <c r="G92" s="16">
        <v>290.67</v>
      </c>
      <c r="H92" s="146">
        <f t="shared" si="7"/>
        <v>0.87200999999999995</v>
      </c>
      <c r="I92" s="16">
        <f t="shared" ref="I92:I93" si="8">G92</f>
        <v>290.67</v>
      </c>
    </row>
    <row r="93" spans="1:9" ht="15.75" customHeight="1">
      <c r="A93" s="38">
        <v>34</v>
      </c>
      <c r="B93" s="89" t="s">
        <v>197</v>
      </c>
      <c r="C93" s="110" t="s">
        <v>183</v>
      </c>
      <c r="D93" s="18"/>
      <c r="E93" s="23"/>
      <c r="F93" s="16">
        <v>1</v>
      </c>
      <c r="G93" s="16">
        <v>195.95</v>
      </c>
      <c r="H93" s="146">
        <f t="shared" si="7"/>
        <v>0.19594999999999999</v>
      </c>
      <c r="I93" s="16">
        <f t="shared" si="8"/>
        <v>195.95</v>
      </c>
    </row>
    <row r="94" spans="1:9" ht="31.5" customHeight="1">
      <c r="A94" s="38">
        <v>35</v>
      </c>
      <c r="B94" s="89" t="s">
        <v>198</v>
      </c>
      <c r="C94" s="152" t="s">
        <v>57</v>
      </c>
      <c r="D94" s="18"/>
      <c r="E94" s="23"/>
      <c r="F94" s="16">
        <f>3.2/10</f>
        <v>0.32</v>
      </c>
      <c r="G94" s="16">
        <v>3393.77</v>
      </c>
      <c r="H94" s="146">
        <f t="shared" si="7"/>
        <v>1.0860064</v>
      </c>
      <c r="I94" s="16">
        <f>G94*0.32</f>
        <v>1086.0064</v>
      </c>
    </row>
    <row r="95" spans="1:9" ht="15.75" customHeight="1">
      <c r="A95" s="38">
        <v>36</v>
      </c>
      <c r="B95" s="89" t="s">
        <v>199</v>
      </c>
      <c r="C95" s="110" t="s">
        <v>183</v>
      </c>
      <c r="D95" s="18"/>
      <c r="E95" s="23"/>
      <c r="F95" s="16">
        <v>1</v>
      </c>
      <c r="G95" s="16">
        <v>197.76</v>
      </c>
      <c r="H95" s="146">
        <f t="shared" si="7"/>
        <v>0.19775999999999999</v>
      </c>
      <c r="I95" s="16">
        <f>G95</f>
        <v>197.76</v>
      </c>
    </row>
    <row r="96" spans="1:9" ht="31.5" customHeight="1">
      <c r="A96" s="38">
        <v>37</v>
      </c>
      <c r="B96" s="89" t="s">
        <v>156</v>
      </c>
      <c r="C96" s="110" t="s">
        <v>37</v>
      </c>
      <c r="D96" s="18"/>
      <c r="E96" s="23"/>
      <c r="F96" s="16">
        <f>5/100</f>
        <v>0.05</v>
      </c>
      <c r="G96" s="16">
        <v>3397.65</v>
      </c>
      <c r="H96" s="146">
        <f t="shared" si="7"/>
        <v>0.16988250000000002</v>
      </c>
      <c r="I96" s="16">
        <f>G96*0.01</f>
        <v>33.976500000000001</v>
      </c>
    </row>
    <row r="97" spans="1:9" ht="15.75" customHeight="1">
      <c r="A97" s="38">
        <v>38</v>
      </c>
      <c r="B97" s="89" t="s">
        <v>200</v>
      </c>
      <c r="C97" s="152" t="s">
        <v>89</v>
      </c>
      <c r="D97" s="18"/>
      <c r="E97" s="23"/>
      <c r="F97" s="16">
        <v>1</v>
      </c>
      <c r="G97" s="16">
        <v>18</v>
      </c>
      <c r="H97" s="146">
        <f t="shared" si="7"/>
        <v>1.7999999999999999E-2</v>
      </c>
      <c r="I97" s="16">
        <f>G97</f>
        <v>18</v>
      </c>
    </row>
    <row r="98" spans="1:9" ht="31.5" customHeight="1">
      <c r="A98" s="38">
        <v>39</v>
      </c>
      <c r="B98" s="89" t="s">
        <v>201</v>
      </c>
      <c r="C98" s="152" t="s">
        <v>57</v>
      </c>
      <c r="D98" s="18"/>
      <c r="E98" s="23"/>
      <c r="F98" s="16">
        <f>2.5/10</f>
        <v>0.25</v>
      </c>
      <c r="G98" s="16">
        <v>9193.82</v>
      </c>
      <c r="H98" s="146">
        <f t="shared" si="7"/>
        <v>2.2984550000000001</v>
      </c>
      <c r="I98" s="16">
        <f>G98*0.25</f>
        <v>2298.4549999999999</v>
      </c>
    </row>
    <row r="99" spans="1:9" ht="15.75" customHeight="1">
      <c r="A99" s="38">
        <v>40</v>
      </c>
      <c r="B99" s="89" t="s">
        <v>202</v>
      </c>
      <c r="C99" s="152" t="s">
        <v>203</v>
      </c>
      <c r="D99" s="18"/>
      <c r="E99" s="23"/>
      <c r="F99" s="16">
        <v>1</v>
      </c>
      <c r="G99" s="16">
        <v>4879</v>
      </c>
      <c r="H99" s="146">
        <f t="shared" si="7"/>
        <v>4.8789999999999996</v>
      </c>
      <c r="I99" s="16">
        <f>G99</f>
        <v>4879</v>
      </c>
    </row>
    <row r="100" spans="1:9" ht="15.75" customHeight="1">
      <c r="A100" s="38"/>
      <c r="B100" s="62" t="s">
        <v>53</v>
      </c>
      <c r="C100" s="58"/>
      <c r="D100" s="72"/>
      <c r="E100" s="58">
        <v>1</v>
      </c>
      <c r="F100" s="58"/>
      <c r="G100" s="58"/>
      <c r="H100" s="58"/>
      <c r="I100" s="40">
        <f>SUM(I86:I99)</f>
        <v>36311.277899999994</v>
      </c>
    </row>
    <row r="101" spans="1:9">
      <c r="A101" s="38"/>
      <c r="B101" s="68" t="s">
        <v>85</v>
      </c>
      <c r="C101" s="19"/>
      <c r="D101" s="19"/>
      <c r="E101" s="59"/>
      <c r="F101" s="59"/>
      <c r="G101" s="60"/>
      <c r="H101" s="60"/>
      <c r="I101" s="22">
        <v>0</v>
      </c>
    </row>
    <row r="102" spans="1:9">
      <c r="A102" s="73"/>
      <c r="B102" s="63" t="s">
        <v>54</v>
      </c>
      <c r="C102" s="46"/>
      <c r="D102" s="46"/>
      <c r="E102" s="46"/>
      <c r="F102" s="46"/>
      <c r="G102" s="46"/>
      <c r="H102" s="46"/>
      <c r="I102" s="61">
        <f>I84+I100</f>
        <v>182837.84967766664</v>
      </c>
    </row>
    <row r="103" spans="1:9" ht="15.75">
      <c r="A103" s="170" t="s">
        <v>255</v>
      </c>
      <c r="B103" s="170"/>
      <c r="C103" s="170"/>
      <c r="D103" s="170"/>
      <c r="E103" s="170"/>
      <c r="F103" s="170"/>
      <c r="G103" s="170"/>
      <c r="H103" s="170"/>
      <c r="I103" s="170"/>
    </row>
    <row r="104" spans="1:9" ht="15.75" customHeight="1">
      <c r="A104" s="108"/>
      <c r="B104" s="171" t="s">
        <v>256</v>
      </c>
      <c r="C104" s="171"/>
      <c r="D104" s="171"/>
      <c r="E104" s="171"/>
      <c r="F104" s="171"/>
      <c r="G104" s="171"/>
      <c r="H104" s="130"/>
      <c r="I104" s="3"/>
    </row>
    <row r="105" spans="1:9">
      <c r="A105" s="120"/>
      <c r="B105" s="164" t="s">
        <v>6</v>
      </c>
      <c r="C105" s="164"/>
      <c r="D105" s="164"/>
      <c r="E105" s="164"/>
      <c r="F105" s="164"/>
      <c r="G105" s="164"/>
      <c r="H105" s="33"/>
      <c r="I105" s="5"/>
    </row>
    <row r="106" spans="1:9">
      <c r="A106" s="10"/>
      <c r="B106" s="10"/>
      <c r="C106" s="10"/>
      <c r="D106" s="10"/>
      <c r="E106" s="10"/>
      <c r="F106" s="10"/>
      <c r="G106" s="10"/>
      <c r="H106" s="10"/>
      <c r="I106" s="10"/>
    </row>
    <row r="107" spans="1:9" ht="15.75">
      <c r="A107" s="172" t="s">
        <v>7</v>
      </c>
      <c r="B107" s="172"/>
      <c r="C107" s="172"/>
      <c r="D107" s="172"/>
      <c r="E107" s="172"/>
      <c r="F107" s="172"/>
      <c r="G107" s="172"/>
      <c r="H107" s="172"/>
      <c r="I107" s="172"/>
    </row>
    <row r="108" spans="1:9" ht="15.75">
      <c r="A108" s="172" t="s">
        <v>8</v>
      </c>
      <c r="B108" s="172"/>
      <c r="C108" s="172"/>
      <c r="D108" s="172"/>
      <c r="E108" s="172"/>
      <c r="F108" s="172"/>
      <c r="G108" s="172"/>
      <c r="H108" s="172"/>
      <c r="I108" s="172"/>
    </row>
    <row r="109" spans="1:9" ht="15.75">
      <c r="A109" s="161" t="s">
        <v>65</v>
      </c>
      <c r="B109" s="161"/>
      <c r="C109" s="161"/>
      <c r="D109" s="161"/>
      <c r="E109" s="161"/>
      <c r="F109" s="161"/>
      <c r="G109" s="161"/>
      <c r="H109" s="161"/>
      <c r="I109" s="161"/>
    </row>
    <row r="110" spans="1:9" ht="15.75">
      <c r="A110" s="11"/>
    </row>
    <row r="111" spans="1:9" ht="15.75">
      <c r="A111" s="162" t="s">
        <v>9</v>
      </c>
      <c r="B111" s="162"/>
      <c r="C111" s="162"/>
      <c r="D111" s="162"/>
      <c r="E111" s="162"/>
      <c r="F111" s="162"/>
      <c r="G111" s="162"/>
      <c r="H111" s="162"/>
      <c r="I111" s="162"/>
    </row>
    <row r="112" spans="1:9" ht="15.75" customHeight="1">
      <c r="A112" s="4"/>
    </row>
    <row r="113" spans="1:9" ht="15.75" customHeight="1">
      <c r="B113" s="117" t="s">
        <v>10</v>
      </c>
      <c r="C113" s="163" t="s">
        <v>170</v>
      </c>
      <c r="D113" s="163"/>
      <c r="E113" s="163"/>
      <c r="F113" s="128"/>
      <c r="I113" s="119"/>
    </row>
    <row r="114" spans="1:9" ht="15.75" customHeight="1">
      <c r="A114" s="120"/>
      <c r="C114" s="164" t="s">
        <v>11</v>
      </c>
      <c r="D114" s="164"/>
      <c r="E114" s="164"/>
      <c r="F114" s="33"/>
      <c r="I114" s="118" t="s">
        <v>12</v>
      </c>
    </row>
    <row r="115" spans="1:9" ht="15.75" customHeight="1">
      <c r="A115" s="34"/>
      <c r="C115" s="12"/>
      <c r="D115" s="12"/>
      <c r="G115" s="12"/>
      <c r="H115" s="12"/>
    </row>
    <row r="116" spans="1:9" ht="15.75">
      <c r="B116" s="117" t="s">
        <v>13</v>
      </c>
      <c r="C116" s="165"/>
      <c r="D116" s="165"/>
      <c r="E116" s="165"/>
      <c r="F116" s="129"/>
      <c r="I116" s="119"/>
    </row>
    <row r="117" spans="1:9">
      <c r="A117" s="120"/>
      <c r="C117" s="166" t="s">
        <v>11</v>
      </c>
      <c r="D117" s="166"/>
      <c r="E117" s="166"/>
      <c r="F117" s="120"/>
      <c r="I117" s="118" t="s">
        <v>12</v>
      </c>
    </row>
    <row r="118" spans="1:9" ht="15.75">
      <c r="A118" s="4" t="s">
        <v>14</v>
      </c>
    </row>
    <row r="119" spans="1:9">
      <c r="A119" s="159" t="s">
        <v>15</v>
      </c>
      <c r="B119" s="159"/>
      <c r="C119" s="159"/>
      <c r="D119" s="159"/>
      <c r="E119" s="159"/>
      <c r="F119" s="159"/>
      <c r="G119" s="159"/>
      <c r="H119" s="159"/>
      <c r="I119" s="159"/>
    </row>
    <row r="120" spans="1:9" ht="45" customHeight="1">
      <c r="A120" s="160" t="s">
        <v>16</v>
      </c>
      <c r="B120" s="160"/>
      <c r="C120" s="160"/>
      <c r="D120" s="160"/>
      <c r="E120" s="160"/>
      <c r="F120" s="160"/>
      <c r="G120" s="160"/>
      <c r="H120" s="160"/>
      <c r="I120" s="160"/>
    </row>
    <row r="121" spans="1:9" ht="30" customHeight="1">
      <c r="A121" s="160" t="s">
        <v>17</v>
      </c>
      <c r="B121" s="160"/>
      <c r="C121" s="160"/>
      <c r="D121" s="160"/>
      <c r="E121" s="160"/>
      <c r="F121" s="160"/>
      <c r="G121" s="160"/>
      <c r="H121" s="160"/>
      <c r="I121" s="160"/>
    </row>
    <row r="122" spans="1:9" ht="30" customHeight="1">
      <c r="A122" s="160" t="s">
        <v>21</v>
      </c>
      <c r="B122" s="160"/>
      <c r="C122" s="160"/>
      <c r="D122" s="160"/>
      <c r="E122" s="160"/>
      <c r="F122" s="160"/>
      <c r="G122" s="160"/>
      <c r="H122" s="160"/>
      <c r="I122" s="160"/>
    </row>
    <row r="123" spans="1:9" ht="15" customHeight="1">
      <c r="A123" s="160" t="s">
        <v>20</v>
      </c>
      <c r="B123" s="160"/>
      <c r="C123" s="160"/>
      <c r="D123" s="160"/>
      <c r="E123" s="160"/>
      <c r="F123" s="160"/>
      <c r="G123" s="160"/>
      <c r="H123" s="160"/>
      <c r="I123" s="160"/>
    </row>
  </sheetData>
  <autoFilter ref="I12:I60"/>
  <mergeCells count="28">
    <mergeCell ref="A120:I120"/>
    <mergeCell ref="A121:I121"/>
    <mergeCell ref="A122:I122"/>
    <mergeCell ref="A123:I123"/>
    <mergeCell ref="A111:I111"/>
    <mergeCell ref="C113:E113"/>
    <mergeCell ref="C114:E114"/>
    <mergeCell ref="C116:E116"/>
    <mergeCell ref="C117:E117"/>
    <mergeCell ref="A119:I119"/>
    <mergeCell ref="A103:I103"/>
    <mergeCell ref="B104:G104"/>
    <mergeCell ref="B105:G105"/>
    <mergeCell ref="A107:I107"/>
    <mergeCell ref="A108:I108"/>
    <mergeCell ref="A109:I109"/>
    <mergeCell ref="A15:I15"/>
    <mergeCell ref="A28:I28"/>
    <mergeCell ref="A46:I46"/>
    <mergeCell ref="A56:I56"/>
    <mergeCell ref="R65:U65"/>
    <mergeCell ref="A81:I81"/>
    <mergeCell ref="A3:I3"/>
    <mergeCell ref="A4:I4"/>
    <mergeCell ref="A5:I5"/>
    <mergeCell ref="A8:I8"/>
    <mergeCell ref="A10:I10"/>
    <mergeCell ref="A14:I14"/>
  </mergeCells>
  <pageMargins left="0.70866141732283472" right="0.23622047244094491" top="0.27559055118110237" bottom="0.27559055118110237" header="0.31496062992125984" footer="0.31496062992125984"/>
  <pageSetup paperSize="9" scale="60" orientation="portrait" r:id="rId1"/>
  <colBreaks count="1" manualBreakCount="1">
    <brk id="9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:V119"/>
  <sheetViews>
    <sheetView workbookViewId="0">
      <selection activeCell="A3" sqref="A3:I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36" t="s">
        <v>96</v>
      </c>
      <c r="I1" s="35"/>
      <c r="J1" s="1"/>
      <c r="K1" s="1"/>
      <c r="L1" s="1"/>
      <c r="M1" s="1"/>
    </row>
    <row r="2" spans="1:13" ht="15.75">
      <c r="A2" s="37" t="s">
        <v>67</v>
      </c>
      <c r="J2" s="2"/>
      <c r="K2" s="2"/>
      <c r="L2" s="2"/>
      <c r="M2" s="2"/>
    </row>
    <row r="3" spans="1:13" ht="15.75" customHeight="1">
      <c r="A3" s="177" t="s">
        <v>257</v>
      </c>
      <c r="B3" s="177"/>
      <c r="C3" s="177"/>
      <c r="D3" s="177"/>
      <c r="E3" s="177"/>
      <c r="F3" s="177"/>
      <c r="G3" s="177"/>
      <c r="H3" s="177"/>
      <c r="I3" s="177"/>
      <c r="J3" s="3"/>
      <c r="K3" s="3"/>
      <c r="L3" s="3"/>
    </row>
    <row r="4" spans="1:13" ht="31.5" customHeight="1">
      <c r="A4" s="178" t="s">
        <v>159</v>
      </c>
      <c r="B4" s="178"/>
      <c r="C4" s="178"/>
      <c r="D4" s="178"/>
      <c r="E4" s="178"/>
      <c r="F4" s="178"/>
      <c r="G4" s="178"/>
      <c r="H4" s="178"/>
      <c r="I4" s="178"/>
    </row>
    <row r="5" spans="1:13" ht="15.75">
      <c r="A5" s="177" t="s">
        <v>258</v>
      </c>
      <c r="B5" s="179"/>
      <c r="C5" s="179"/>
      <c r="D5" s="179"/>
      <c r="E5" s="179"/>
      <c r="F5" s="179"/>
      <c r="G5" s="179"/>
      <c r="H5" s="179"/>
      <c r="I5" s="179"/>
      <c r="J5" s="2"/>
      <c r="K5" s="2"/>
      <c r="L5" s="2"/>
      <c r="M5" s="2"/>
    </row>
    <row r="6" spans="1:13" ht="15.75">
      <c r="A6" s="2"/>
      <c r="B6" s="116"/>
      <c r="C6" s="116"/>
      <c r="D6" s="116"/>
      <c r="E6" s="116"/>
      <c r="F6" s="116"/>
      <c r="G6" s="116"/>
      <c r="H6" s="116"/>
      <c r="I6" s="39">
        <v>42521</v>
      </c>
      <c r="J6" s="2"/>
      <c r="K6" s="2"/>
      <c r="L6" s="2"/>
      <c r="M6" s="2"/>
    </row>
    <row r="7" spans="1:13" ht="15.75">
      <c r="B7" s="117"/>
      <c r="C7" s="117"/>
      <c r="D7" s="117"/>
      <c r="E7" s="3"/>
      <c r="F7" s="3"/>
      <c r="G7" s="3"/>
      <c r="H7" s="3"/>
      <c r="J7" s="3"/>
      <c r="K7" s="3"/>
      <c r="L7" s="3"/>
      <c r="M7" s="3"/>
    </row>
    <row r="8" spans="1:13" ht="87" customHeight="1">
      <c r="A8" s="180" t="s">
        <v>174</v>
      </c>
      <c r="B8" s="180"/>
      <c r="C8" s="180"/>
      <c r="D8" s="180"/>
      <c r="E8" s="180"/>
      <c r="F8" s="180"/>
      <c r="G8" s="180"/>
      <c r="H8" s="180"/>
      <c r="I8" s="180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55.5" customHeight="1">
      <c r="A10" s="181" t="s">
        <v>173</v>
      </c>
      <c r="B10" s="181"/>
      <c r="C10" s="181"/>
      <c r="D10" s="181"/>
      <c r="E10" s="181"/>
      <c r="F10" s="181"/>
      <c r="G10" s="181"/>
      <c r="H10" s="181"/>
      <c r="I10" s="181"/>
      <c r="J10" s="2"/>
      <c r="K10" s="2"/>
      <c r="L10" s="2"/>
      <c r="M10" s="2"/>
    </row>
    <row r="11" spans="1:13" ht="15.75">
      <c r="A11" s="4"/>
    </row>
    <row r="12" spans="1:13" ht="4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182" t="s">
        <v>63</v>
      </c>
      <c r="B14" s="182"/>
      <c r="C14" s="182"/>
      <c r="D14" s="182"/>
      <c r="E14" s="182"/>
      <c r="F14" s="182"/>
      <c r="G14" s="182"/>
      <c r="H14" s="182"/>
      <c r="I14" s="182"/>
      <c r="J14" s="8"/>
      <c r="K14" s="8"/>
      <c r="L14" s="8"/>
      <c r="M14" s="8"/>
    </row>
    <row r="15" spans="1:13" ht="15" customHeight="1">
      <c r="A15" s="173" t="s">
        <v>4</v>
      </c>
      <c r="B15" s="173"/>
      <c r="C15" s="173"/>
      <c r="D15" s="173"/>
      <c r="E15" s="173"/>
      <c r="F15" s="173"/>
      <c r="G15" s="173"/>
      <c r="H15" s="173"/>
      <c r="I15" s="173"/>
      <c r="J15" s="8"/>
      <c r="K15" s="8"/>
      <c r="L15" s="8"/>
      <c r="M15" s="8"/>
    </row>
    <row r="16" spans="1:13" ht="31.5" customHeight="1">
      <c r="A16" s="38">
        <v>1</v>
      </c>
      <c r="B16" s="131" t="s">
        <v>99</v>
      </c>
      <c r="C16" s="132" t="s">
        <v>100</v>
      </c>
      <c r="D16" s="131" t="s">
        <v>101</v>
      </c>
      <c r="E16" s="133">
        <v>208.08</v>
      </c>
      <c r="F16" s="134">
        <f>SUM(E16*156/100)</f>
        <v>324.60480000000001</v>
      </c>
      <c r="G16" s="134">
        <v>175.38</v>
      </c>
      <c r="H16" s="135">
        <f t="shared" ref="H16:H25" si="0">SUM(F16*G16/1000)</f>
        <v>56.929189823999998</v>
      </c>
      <c r="I16" s="16">
        <f>F16/12*G16</f>
        <v>4744.0991519999998</v>
      </c>
      <c r="J16" s="30"/>
      <c r="K16" s="8"/>
      <c r="L16" s="8"/>
      <c r="M16" s="8"/>
    </row>
    <row r="17" spans="1:13" ht="31.5" customHeight="1">
      <c r="A17" s="38">
        <v>2</v>
      </c>
      <c r="B17" s="131" t="s">
        <v>135</v>
      </c>
      <c r="C17" s="132" t="s">
        <v>100</v>
      </c>
      <c r="D17" s="131" t="s">
        <v>102</v>
      </c>
      <c r="E17" s="133">
        <v>832.32</v>
      </c>
      <c r="F17" s="134">
        <f>SUM(E17*104/100)</f>
        <v>865.61279999999999</v>
      </c>
      <c r="G17" s="134">
        <v>175.38</v>
      </c>
      <c r="H17" s="135">
        <f t="shared" si="0"/>
        <v>151.81117286399999</v>
      </c>
      <c r="I17" s="16">
        <f>F17/12*G17</f>
        <v>12650.931071999999</v>
      </c>
      <c r="J17" s="31"/>
      <c r="K17" s="8"/>
      <c r="L17" s="8"/>
      <c r="M17" s="8"/>
    </row>
    <row r="18" spans="1:13" ht="31.5" customHeight="1">
      <c r="A18" s="38">
        <v>3</v>
      </c>
      <c r="B18" s="131" t="s">
        <v>136</v>
      </c>
      <c r="C18" s="132" t="s">
        <v>100</v>
      </c>
      <c r="D18" s="131" t="s">
        <v>240</v>
      </c>
      <c r="E18" s="133">
        <v>1040.4000000000001</v>
      </c>
      <c r="F18" s="134">
        <f>SUM(E18*24/100)</f>
        <v>249.69600000000003</v>
      </c>
      <c r="G18" s="134">
        <v>504.5</v>
      </c>
      <c r="H18" s="135">
        <f t="shared" si="0"/>
        <v>125.97163200000001</v>
      </c>
      <c r="I18" s="16">
        <f>F18/12*G18</f>
        <v>10497.636000000002</v>
      </c>
      <c r="J18" s="31"/>
      <c r="K18" s="8"/>
      <c r="L18" s="8"/>
      <c r="M18" s="8"/>
    </row>
    <row r="19" spans="1:13" ht="15.75" customHeight="1">
      <c r="A19" s="38">
        <v>4</v>
      </c>
      <c r="B19" s="131" t="s">
        <v>109</v>
      </c>
      <c r="C19" s="132" t="s">
        <v>110</v>
      </c>
      <c r="D19" s="131" t="s">
        <v>111</v>
      </c>
      <c r="E19" s="133">
        <v>48</v>
      </c>
      <c r="F19" s="134">
        <f>SUM(E19/10)</f>
        <v>4.8</v>
      </c>
      <c r="G19" s="134">
        <v>170.16</v>
      </c>
      <c r="H19" s="135">
        <f t="shared" si="0"/>
        <v>0.81676799999999994</v>
      </c>
      <c r="I19" s="16">
        <f>F19/2*G19</f>
        <v>408.38399999999996</v>
      </c>
      <c r="J19" s="31"/>
      <c r="K19" s="8"/>
      <c r="L19" s="8"/>
      <c r="M19" s="8"/>
    </row>
    <row r="20" spans="1:13" ht="15.75" customHeight="1">
      <c r="A20" s="38">
        <v>5</v>
      </c>
      <c r="B20" s="131" t="s">
        <v>112</v>
      </c>
      <c r="C20" s="132" t="s">
        <v>100</v>
      </c>
      <c r="D20" s="131" t="s">
        <v>138</v>
      </c>
      <c r="E20" s="133">
        <v>30.6</v>
      </c>
      <c r="F20" s="134">
        <f>SUM(E20*12/100)</f>
        <v>3.6720000000000006</v>
      </c>
      <c r="G20" s="134">
        <v>217.88</v>
      </c>
      <c r="H20" s="135">
        <f t="shared" si="0"/>
        <v>0.8000553600000001</v>
      </c>
      <c r="I20" s="16">
        <f>F20/12*G20</f>
        <v>66.67128000000001</v>
      </c>
      <c r="J20" s="31"/>
      <c r="K20" s="8"/>
      <c r="L20" s="8"/>
      <c r="M20" s="8"/>
    </row>
    <row r="21" spans="1:13" ht="15.75" customHeight="1">
      <c r="A21" s="38">
        <v>6</v>
      </c>
      <c r="B21" s="131" t="s">
        <v>113</v>
      </c>
      <c r="C21" s="132" t="s">
        <v>100</v>
      </c>
      <c r="D21" s="131" t="s">
        <v>30</v>
      </c>
      <c r="E21" s="133">
        <v>10.06</v>
      </c>
      <c r="F21" s="134">
        <f>SUM(E21*12/100)</f>
        <v>1.2072000000000001</v>
      </c>
      <c r="G21" s="134">
        <v>216.12</v>
      </c>
      <c r="H21" s="135">
        <f t="shared" si="0"/>
        <v>0.26090006400000004</v>
      </c>
      <c r="I21" s="16">
        <f>F21/12*G21</f>
        <v>21.741672000000001</v>
      </c>
      <c r="J21" s="31"/>
      <c r="K21" s="8"/>
      <c r="L21" s="8"/>
      <c r="M21" s="8"/>
    </row>
    <row r="22" spans="1:13" ht="15.75" customHeight="1">
      <c r="A22" s="38">
        <v>7</v>
      </c>
      <c r="B22" s="131" t="s">
        <v>114</v>
      </c>
      <c r="C22" s="132" t="s">
        <v>55</v>
      </c>
      <c r="D22" s="131" t="s">
        <v>111</v>
      </c>
      <c r="E22" s="133">
        <v>769.2</v>
      </c>
      <c r="F22" s="134">
        <f>SUM(E22/100)</f>
        <v>7.6920000000000002</v>
      </c>
      <c r="G22" s="134">
        <v>269.26</v>
      </c>
      <c r="H22" s="135">
        <f t="shared" si="0"/>
        <v>2.07114792</v>
      </c>
      <c r="I22" s="16">
        <f>F22*G22</f>
        <v>2071.1479199999999</v>
      </c>
      <c r="J22" s="31"/>
      <c r="K22" s="8"/>
      <c r="L22" s="8"/>
      <c r="M22" s="8"/>
    </row>
    <row r="23" spans="1:13" ht="15.75" customHeight="1">
      <c r="A23" s="38">
        <v>8</v>
      </c>
      <c r="B23" s="131" t="s">
        <v>115</v>
      </c>
      <c r="C23" s="132" t="s">
        <v>55</v>
      </c>
      <c r="D23" s="131" t="s">
        <v>111</v>
      </c>
      <c r="E23" s="136">
        <v>35.28</v>
      </c>
      <c r="F23" s="134">
        <f>SUM(E23/100)</f>
        <v>0.3528</v>
      </c>
      <c r="G23" s="134">
        <v>44.29</v>
      </c>
      <c r="H23" s="135">
        <f t="shared" si="0"/>
        <v>1.5625512000000001E-2</v>
      </c>
      <c r="I23" s="16">
        <f>F23*G23</f>
        <v>15.625512000000001</v>
      </c>
      <c r="J23" s="31"/>
      <c r="K23" s="8"/>
      <c r="L23" s="8"/>
      <c r="M23" s="8"/>
    </row>
    <row r="24" spans="1:13" ht="15.75" customHeight="1">
      <c r="A24" s="38">
        <v>9</v>
      </c>
      <c r="B24" s="131" t="s">
        <v>116</v>
      </c>
      <c r="C24" s="132" t="s">
        <v>55</v>
      </c>
      <c r="D24" s="131" t="s">
        <v>30</v>
      </c>
      <c r="E24" s="133">
        <v>10.8</v>
      </c>
      <c r="F24" s="134">
        <f>E24*12/100</f>
        <v>1.2960000000000003</v>
      </c>
      <c r="G24" s="134">
        <v>389.72</v>
      </c>
      <c r="H24" s="135">
        <f t="shared" si="0"/>
        <v>0.50507712000000016</v>
      </c>
      <c r="I24" s="16">
        <f>F24/12*G24</f>
        <v>42.089760000000012</v>
      </c>
      <c r="J24" s="31"/>
      <c r="K24" s="8"/>
      <c r="L24" s="8"/>
      <c r="M24" s="8"/>
    </row>
    <row r="25" spans="1:13" ht="15.75" customHeight="1">
      <c r="A25" s="38">
        <v>10</v>
      </c>
      <c r="B25" s="131" t="s">
        <v>117</v>
      </c>
      <c r="C25" s="132" t="s">
        <v>55</v>
      </c>
      <c r="D25" s="131" t="s">
        <v>139</v>
      </c>
      <c r="E25" s="133">
        <v>21.6</v>
      </c>
      <c r="F25" s="134">
        <f>SUM(E25*12/100)</f>
        <v>2.5920000000000005</v>
      </c>
      <c r="G25" s="134">
        <v>520.79999999999995</v>
      </c>
      <c r="H25" s="135">
        <f t="shared" si="0"/>
        <v>1.3499136</v>
      </c>
      <c r="I25" s="16">
        <f>F25/12*G25</f>
        <v>112.49280000000002</v>
      </c>
      <c r="J25" s="31"/>
      <c r="K25" s="8"/>
      <c r="L25" s="8"/>
      <c r="M25" s="8"/>
    </row>
    <row r="26" spans="1:13" ht="15.75" customHeight="1">
      <c r="A26" s="38">
        <v>11</v>
      </c>
      <c r="B26" s="131" t="s">
        <v>69</v>
      </c>
      <c r="C26" s="132" t="s">
        <v>33</v>
      </c>
      <c r="D26" s="131" t="s">
        <v>140</v>
      </c>
      <c r="E26" s="133">
        <v>0.1</v>
      </c>
      <c r="F26" s="134">
        <f>SUM(E26*365)</f>
        <v>36.5</v>
      </c>
      <c r="G26" s="134">
        <v>147.03</v>
      </c>
      <c r="H26" s="135">
        <f>SUM(F26*G26/1000)</f>
        <v>5.3665950000000002</v>
      </c>
      <c r="I26" s="16">
        <f>F26/12*G26</f>
        <v>447.21625</v>
      </c>
      <c r="J26" s="32"/>
    </row>
    <row r="27" spans="1:13" ht="15.75" customHeight="1">
      <c r="A27" s="38">
        <v>12</v>
      </c>
      <c r="B27" s="139" t="s">
        <v>23</v>
      </c>
      <c r="C27" s="132" t="s">
        <v>24</v>
      </c>
      <c r="D27" s="139" t="s">
        <v>179</v>
      </c>
      <c r="E27" s="133">
        <v>6980.3</v>
      </c>
      <c r="F27" s="134">
        <f>SUM(E27*12)</f>
        <v>83763.600000000006</v>
      </c>
      <c r="G27" s="134">
        <v>4.4000000000000004</v>
      </c>
      <c r="H27" s="135">
        <f>SUM(F27*G27/1000)</f>
        <v>368.55984000000007</v>
      </c>
      <c r="I27" s="16">
        <f>F27/12*G27</f>
        <v>30713.320000000003</v>
      </c>
      <c r="J27" s="32"/>
    </row>
    <row r="28" spans="1:13" ht="15" customHeight="1">
      <c r="A28" s="173" t="s">
        <v>95</v>
      </c>
      <c r="B28" s="173"/>
      <c r="C28" s="173"/>
      <c r="D28" s="173"/>
      <c r="E28" s="173"/>
      <c r="F28" s="173"/>
      <c r="G28" s="173"/>
      <c r="H28" s="173"/>
      <c r="I28" s="173"/>
      <c r="J28" s="31"/>
      <c r="K28" s="8"/>
      <c r="L28" s="8"/>
      <c r="M28" s="8"/>
    </row>
    <row r="29" spans="1:13" ht="15.75" customHeight="1">
      <c r="A29" s="38"/>
      <c r="B29" s="155" t="s">
        <v>28</v>
      </c>
      <c r="C29" s="132"/>
      <c r="D29" s="131"/>
      <c r="E29" s="133"/>
      <c r="F29" s="134"/>
      <c r="G29" s="134"/>
      <c r="H29" s="135"/>
      <c r="I29" s="16"/>
      <c r="J29" s="31"/>
      <c r="K29" s="8"/>
      <c r="L29" s="8"/>
      <c r="M29" s="8"/>
    </row>
    <row r="30" spans="1:13" ht="31.5" customHeight="1">
      <c r="A30" s="38">
        <v>13</v>
      </c>
      <c r="B30" s="131" t="s">
        <v>121</v>
      </c>
      <c r="C30" s="132" t="s">
        <v>104</v>
      </c>
      <c r="D30" s="131" t="s">
        <v>118</v>
      </c>
      <c r="E30" s="134">
        <v>1168.05</v>
      </c>
      <c r="F30" s="134">
        <f>SUM(E30*52/1000)</f>
        <v>60.738599999999998</v>
      </c>
      <c r="G30" s="134">
        <v>155.88999999999999</v>
      </c>
      <c r="H30" s="135">
        <f t="shared" ref="H30:H36" si="1">SUM(F30*G30/1000)</f>
        <v>9.4685403539999982</v>
      </c>
      <c r="I30" s="16">
        <f>F30/6*G30</f>
        <v>1578.0900589999997</v>
      </c>
      <c r="J30" s="31"/>
      <c r="K30" s="8"/>
      <c r="L30" s="8"/>
      <c r="M30" s="8"/>
    </row>
    <row r="31" spans="1:13" ht="31.5" customHeight="1">
      <c r="A31" s="38">
        <v>14</v>
      </c>
      <c r="B31" s="131" t="s">
        <v>142</v>
      </c>
      <c r="C31" s="132" t="s">
        <v>104</v>
      </c>
      <c r="D31" s="131" t="s">
        <v>119</v>
      </c>
      <c r="E31" s="134">
        <v>1039.2</v>
      </c>
      <c r="F31" s="134">
        <f>SUM(E31*78/1000)</f>
        <v>81.057600000000008</v>
      </c>
      <c r="G31" s="134">
        <v>258.63</v>
      </c>
      <c r="H31" s="135">
        <f t="shared" si="1"/>
        <v>20.963927088000002</v>
      </c>
      <c r="I31" s="16">
        <f t="shared" ref="I31:I34" si="2">F31/6*G31</f>
        <v>3493.9878480000002</v>
      </c>
      <c r="J31" s="31"/>
      <c r="K31" s="8"/>
      <c r="L31" s="8"/>
      <c r="M31" s="8"/>
    </row>
    <row r="32" spans="1:13" ht="15.75" customHeight="1">
      <c r="A32" s="38">
        <v>15</v>
      </c>
      <c r="B32" s="131" t="s">
        <v>27</v>
      </c>
      <c r="C32" s="132" t="s">
        <v>104</v>
      </c>
      <c r="D32" s="131" t="s">
        <v>56</v>
      </c>
      <c r="E32" s="134">
        <v>584.03</v>
      </c>
      <c r="F32" s="134">
        <f>SUM(E32/1000)</f>
        <v>0.58402999999999994</v>
      </c>
      <c r="G32" s="134">
        <v>3020.33</v>
      </c>
      <c r="H32" s="135">
        <f t="shared" si="1"/>
        <v>1.7639633298999997</v>
      </c>
      <c r="I32" s="16">
        <f>F32*G32</f>
        <v>1763.9633298999997</v>
      </c>
      <c r="J32" s="31"/>
      <c r="K32" s="8"/>
      <c r="L32" s="8"/>
      <c r="M32" s="8"/>
    </row>
    <row r="33" spans="1:14" ht="15.75" customHeight="1">
      <c r="A33" s="38">
        <v>16</v>
      </c>
      <c r="B33" s="131" t="s">
        <v>141</v>
      </c>
      <c r="C33" s="132" t="s">
        <v>39</v>
      </c>
      <c r="D33" s="131" t="s">
        <v>68</v>
      </c>
      <c r="E33" s="134">
        <v>6</v>
      </c>
      <c r="F33" s="134">
        <f>E33*155/100</f>
        <v>9.3000000000000007</v>
      </c>
      <c r="G33" s="134">
        <v>1302.02</v>
      </c>
      <c r="H33" s="135">
        <f>G33*F33/1000</f>
        <v>12.108786</v>
      </c>
      <c r="I33" s="16">
        <f t="shared" si="2"/>
        <v>2018.1310000000001</v>
      </c>
      <c r="J33" s="31"/>
      <c r="K33" s="8"/>
      <c r="L33" s="8"/>
      <c r="M33" s="8"/>
    </row>
    <row r="34" spans="1:14" ht="15.75" customHeight="1">
      <c r="A34" s="38">
        <v>17</v>
      </c>
      <c r="B34" s="131" t="s">
        <v>120</v>
      </c>
      <c r="C34" s="132" t="s">
        <v>31</v>
      </c>
      <c r="D34" s="131" t="s">
        <v>68</v>
      </c>
      <c r="E34" s="138">
        <v>0.33333333333333331</v>
      </c>
      <c r="F34" s="134">
        <f>155/3</f>
        <v>51.666666666666664</v>
      </c>
      <c r="G34" s="134">
        <v>56.69</v>
      </c>
      <c r="H34" s="135">
        <f>SUM(G34*155/3/1000)</f>
        <v>2.9289833333333331</v>
      </c>
      <c r="I34" s="16">
        <f t="shared" si="2"/>
        <v>488.16388888888883</v>
      </c>
      <c r="J34" s="31"/>
      <c r="K34" s="8"/>
    </row>
    <row r="35" spans="1:14" ht="15.75" hidden="1" customHeight="1">
      <c r="A35" s="38"/>
      <c r="B35" s="131" t="s">
        <v>70</v>
      </c>
      <c r="C35" s="132" t="s">
        <v>33</v>
      </c>
      <c r="D35" s="131" t="s">
        <v>72</v>
      </c>
      <c r="E35" s="133"/>
      <c r="F35" s="134">
        <v>4</v>
      </c>
      <c r="G35" s="134">
        <v>180.15</v>
      </c>
      <c r="H35" s="135">
        <f t="shared" si="1"/>
        <v>0.72060000000000002</v>
      </c>
      <c r="I35" s="16">
        <v>0</v>
      </c>
      <c r="J35" s="32"/>
    </row>
    <row r="36" spans="1:14" ht="15.75" hidden="1" customHeight="1">
      <c r="A36" s="38"/>
      <c r="B36" s="131" t="s">
        <v>71</v>
      </c>
      <c r="C36" s="132" t="s">
        <v>32</v>
      </c>
      <c r="D36" s="131" t="s">
        <v>72</v>
      </c>
      <c r="E36" s="133"/>
      <c r="F36" s="134">
        <v>3</v>
      </c>
      <c r="G36" s="134">
        <v>1136.33</v>
      </c>
      <c r="H36" s="135">
        <f t="shared" si="1"/>
        <v>3.4089899999999997</v>
      </c>
      <c r="I36" s="16">
        <v>0</v>
      </c>
      <c r="J36" s="32"/>
    </row>
    <row r="37" spans="1:14" ht="15.75" hidden="1" customHeight="1">
      <c r="A37" s="38"/>
      <c r="B37" s="155" t="s">
        <v>5</v>
      </c>
      <c r="C37" s="132"/>
      <c r="D37" s="131"/>
      <c r="E37" s="133"/>
      <c r="F37" s="134"/>
      <c r="G37" s="134"/>
      <c r="H37" s="135" t="s">
        <v>179</v>
      </c>
      <c r="I37" s="16"/>
      <c r="J37" s="32"/>
    </row>
    <row r="38" spans="1:14" ht="15.75" hidden="1" customHeight="1">
      <c r="A38" s="38">
        <v>10</v>
      </c>
      <c r="B38" s="131" t="s">
        <v>26</v>
      </c>
      <c r="C38" s="132" t="s">
        <v>32</v>
      </c>
      <c r="D38" s="131"/>
      <c r="E38" s="133"/>
      <c r="F38" s="134">
        <v>10</v>
      </c>
      <c r="G38" s="134">
        <v>1527.22</v>
      </c>
      <c r="H38" s="135">
        <f t="shared" ref="H38:H45" si="3">SUM(F38*G38/1000)</f>
        <v>15.272200000000002</v>
      </c>
      <c r="I38" s="16">
        <f>F38/6*G38</f>
        <v>2545.3666666666668</v>
      </c>
      <c r="J38" s="32"/>
    </row>
    <row r="39" spans="1:14" ht="15.75" hidden="1" customHeight="1">
      <c r="A39" s="38">
        <v>11</v>
      </c>
      <c r="B39" s="131" t="s">
        <v>143</v>
      </c>
      <c r="C39" s="132" t="s">
        <v>33</v>
      </c>
      <c r="D39" s="131"/>
      <c r="E39" s="133"/>
      <c r="F39" s="134">
        <v>10</v>
      </c>
      <c r="G39" s="134">
        <v>77.94</v>
      </c>
      <c r="H39" s="135">
        <f>G39*F39/1000</f>
        <v>0.77939999999999998</v>
      </c>
      <c r="I39" s="16">
        <f>F39/6*G39</f>
        <v>129.9</v>
      </c>
      <c r="J39" s="32"/>
      <c r="L39" s="25"/>
      <c r="M39" s="26"/>
      <c r="N39" s="27"/>
    </row>
    <row r="40" spans="1:14" ht="15.75" hidden="1" customHeight="1">
      <c r="A40" s="38">
        <v>12</v>
      </c>
      <c r="B40" s="131" t="s">
        <v>122</v>
      </c>
      <c r="C40" s="132" t="s">
        <v>29</v>
      </c>
      <c r="D40" s="131" t="s">
        <v>144</v>
      </c>
      <c r="E40" s="133">
        <v>1039.2</v>
      </c>
      <c r="F40" s="134">
        <f>E40*25/1000</f>
        <v>25.98</v>
      </c>
      <c r="G40" s="134">
        <v>2102.71</v>
      </c>
      <c r="H40" s="135">
        <f>G40*F40/1000</f>
        <v>54.628405800000003</v>
      </c>
      <c r="I40" s="16">
        <f>F40/6*G40</f>
        <v>9104.7343000000001</v>
      </c>
      <c r="J40" s="32"/>
      <c r="L40" s="25"/>
      <c r="M40" s="26"/>
      <c r="N40" s="27"/>
    </row>
    <row r="41" spans="1:14" ht="15.75" hidden="1" customHeight="1">
      <c r="A41" s="38"/>
      <c r="B41" s="131" t="s">
        <v>145</v>
      </c>
      <c r="C41" s="132" t="s">
        <v>146</v>
      </c>
      <c r="D41" s="131" t="s">
        <v>72</v>
      </c>
      <c r="E41" s="133"/>
      <c r="F41" s="134">
        <v>50</v>
      </c>
      <c r="G41" s="134">
        <v>213.2</v>
      </c>
      <c r="H41" s="135">
        <f>G41*F41/1000</f>
        <v>10.66</v>
      </c>
      <c r="I41" s="16">
        <v>0</v>
      </c>
      <c r="J41" s="32"/>
      <c r="L41" s="25"/>
      <c r="M41" s="26"/>
      <c r="N41" s="27"/>
    </row>
    <row r="42" spans="1:14" ht="15.75" hidden="1" customHeight="1">
      <c r="A42" s="38">
        <v>13</v>
      </c>
      <c r="B42" s="131" t="s">
        <v>73</v>
      </c>
      <c r="C42" s="132" t="s">
        <v>29</v>
      </c>
      <c r="D42" s="131" t="s">
        <v>103</v>
      </c>
      <c r="E42" s="134">
        <v>153</v>
      </c>
      <c r="F42" s="134">
        <f>SUM(E42*155/1000)</f>
        <v>23.715</v>
      </c>
      <c r="G42" s="134">
        <v>350.75</v>
      </c>
      <c r="H42" s="135">
        <f t="shared" si="3"/>
        <v>8.3180362499999987</v>
      </c>
      <c r="I42" s="16">
        <f>F42/6*G42</f>
        <v>1386.339375</v>
      </c>
      <c r="J42" s="32"/>
      <c r="L42" s="25"/>
      <c r="M42" s="26"/>
      <c r="N42" s="27"/>
    </row>
    <row r="43" spans="1:14" ht="47.25" hidden="1" customHeight="1">
      <c r="A43" s="38">
        <v>14</v>
      </c>
      <c r="B43" s="131" t="s">
        <v>91</v>
      </c>
      <c r="C43" s="132" t="s">
        <v>104</v>
      </c>
      <c r="D43" s="131" t="s">
        <v>147</v>
      </c>
      <c r="E43" s="134">
        <v>24</v>
      </c>
      <c r="F43" s="134">
        <f>SUM(E43*50/1000)</f>
        <v>1.2</v>
      </c>
      <c r="G43" s="134">
        <v>5803.28</v>
      </c>
      <c r="H43" s="135">
        <f t="shared" si="3"/>
        <v>6.9639359999999995</v>
      </c>
      <c r="I43" s="16">
        <f>F43/6*G43</f>
        <v>1160.6559999999999</v>
      </c>
      <c r="J43" s="32"/>
      <c r="L43" s="25"/>
      <c r="M43" s="26"/>
      <c r="N43" s="27"/>
    </row>
    <row r="44" spans="1:14" ht="15.75" hidden="1" customHeight="1">
      <c r="A44" s="38">
        <v>15</v>
      </c>
      <c r="B44" s="131" t="s">
        <v>105</v>
      </c>
      <c r="C44" s="132" t="s">
        <v>104</v>
      </c>
      <c r="D44" s="131" t="s">
        <v>74</v>
      </c>
      <c r="E44" s="134">
        <v>153</v>
      </c>
      <c r="F44" s="134">
        <f>SUM(E44*45/1000)</f>
        <v>6.8849999999999998</v>
      </c>
      <c r="G44" s="134">
        <v>428.7</v>
      </c>
      <c r="H44" s="135">
        <f t="shared" si="3"/>
        <v>2.9515994999999999</v>
      </c>
      <c r="I44" s="16">
        <f>F44/6*G44</f>
        <v>491.93324999999999</v>
      </c>
      <c r="J44" s="32"/>
      <c r="L44" s="25"/>
      <c r="M44" s="26"/>
      <c r="N44" s="27"/>
    </row>
    <row r="45" spans="1:14" ht="15.75" hidden="1" customHeight="1">
      <c r="A45" s="38">
        <v>16</v>
      </c>
      <c r="B45" s="131" t="s">
        <v>75</v>
      </c>
      <c r="C45" s="132" t="s">
        <v>33</v>
      </c>
      <c r="D45" s="131"/>
      <c r="E45" s="133"/>
      <c r="F45" s="134">
        <v>0.9</v>
      </c>
      <c r="G45" s="134">
        <v>798</v>
      </c>
      <c r="H45" s="135">
        <f t="shared" si="3"/>
        <v>0.71820000000000006</v>
      </c>
      <c r="I45" s="16">
        <f>F45/6*G45</f>
        <v>119.69999999999999</v>
      </c>
      <c r="J45" s="32"/>
      <c r="L45" s="25"/>
      <c r="M45" s="26"/>
      <c r="N45" s="27"/>
    </row>
    <row r="46" spans="1:14" ht="15" customHeight="1">
      <c r="A46" s="174" t="s">
        <v>175</v>
      </c>
      <c r="B46" s="175"/>
      <c r="C46" s="175"/>
      <c r="D46" s="175"/>
      <c r="E46" s="175"/>
      <c r="F46" s="175"/>
      <c r="G46" s="175"/>
      <c r="H46" s="175"/>
      <c r="I46" s="176"/>
      <c r="J46" s="32"/>
      <c r="L46" s="25"/>
      <c r="M46" s="26"/>
      <c r="N46" s="27"/>
    </row>
    <row r="47" spans="1:14" ht="15.75" customHeight="1">
      <c r="A47" s="38">
        <v>18</v>
      </c>
      <c r="B47" s="131" t="s">
        <v>148</v>
      </c>
      <c r="C47" s="132" t="s">
        <v>104</v>
      </c>
      <c r="D47" s="131" t="s">
        <v>42</v>
      </c>
      <c r="E47" s="133">
        <v>1895</v>
      </c>
      <c r="F47" s="134">
        <f>SUM(E47*2/1000)</f>
        <v>3.79</v>
      </c>
      <c r="G47" s="16">
        <v>849.49</v>
      </c>
      <c r="H47" s="135">
        <f t="shared" ref="H47:H55" si="4">SUM(F47*G47/1000)</f>
        <v>3.2195671000000003</v>
      </c>
      <c r="I47" s="16">
        <f>F47/2*G47</f>
        <v>1609.7835500000001</v>
      </c>
      <c r="J47" s="32"/>
      <c r="L47" s="25"/>
      <c r="M47" s="26"/>
      <c r="N47" s="27"/>
    </row>
    <row r="48" spans="1:14" ht="15.75" customHeight="1">
      <c r="A48" s="38">
        <v>19</v>
      </c>
      <c r="B48" s="131" t="s">
        <v>34</v>
      </c>
      <c r="C48" s="132" t="s">
        <v>104</v>
      </c>
      <c r="D48" s="131" t="s">
        <v>42</v>
      </c>
      <c r="E48" s="133">
        <v>118.2</v>
      </c>
      <c r="F48" s="134">
        <f>E48*2/1000</f>
        <v>0.2364</v>
      </c>
      <c r="G48" s="16">
        <v>579.48</v>
      </c>
      <c r="H48" s="135">
        <f t="shared" si="4"/>
        <v>0.13698907199999999</v>
      </c>
      <c r="I48" s="16">
        <f t="shared" ref="I48:I50" si="5">F48/2*G48</f>
        <v>68.494535999999997</v>
      </c>
      <c r="J48" s="32"/>
      <c r="L48" s="25"/>
      <c r="M48" s="26"/>
      <c r="N48" s="27"/>
    </row>
    <row r="49" spans="1:22" ht="15.75" customHeight="1">
      <c r="A49" s="38">
        <v>20</v>
      </c>
      <c r="B49" s="131" t="s">
        <v>35</v>
      </c>
      <c r="C49" s="132" t="s">
        <v>104</v>
      </c>
      <c r="D49" s="131" t="s">
        <v>42</v>
      </c>
      <c r="E49" s="133">
        <v>4675</v>
      </c>
      <c r="F49" s="134">
        <f>SUM(E49*2/1000)</f>
        <v>9.35</v>
      </c>
      <c r="G49" s="16">
        <v>579.48</v>
      </c>
      <c r="H49" s="135">
        <f t="shared" si="4"/>
        <v>5.4181379999999999</v>
      </c>
      <c r="I49" s="16">
        <f t="shared" si="5"/>
        <v>2709.069</v>
      </c>
      <c r="J49" s="32"/>
      <c r="L49" s="25"/>
      <c r="M49" s="26"/>
      <c r="N49" s="27"/>
    </row>
    <row r="50" spans="1:22" ht="15.75" customHeight="1">
      <c r="A50" s="38">
        <v>21</v>
      </c>
      <c r="B50" s="131" t="s">
        <v>36</v>
      </c>
      <c r="C50" s="132" t="s">
        <v>104</v>
      </c>
      <c r="D50" s="131" t="s">
        <v>42</v>
      </c>
      <c r="E50" s="133">
        <v>4675</v>
      </c>
      <c r="F50" s="134">
        <f>SUM(E50*2/1000)</f>
        <v>9.35</v>
      </c>
      <c r="G50" s="16">
        <v>606.77</v>
      </c>
      <c r="H50" s="135">
        <f t="shared" si="4"/>
        <v>5.6732994999999988</v>
      </c>
      <c r="I50" s="16">
        <f t="shared" si="5"/>
        <v>2836.6497499999996</v>
      </c>
      <c r="J50" s="32"/>
      <c r="L50" s="25"/>
      <c r="M50" s="26"/>
      <c r="N50" s="27"/>
    </row>
    <row r="51" spans="1:22" ht="15.75" customHeight="1">
      <c r="A51" s="38">
        <v>22</v>
      </c>
      <c r="B51" s="131" t="s">
        <v>60</v>
      </c>
      <c r="C51" s="132" t="s">
        <v>104</v>
      </c>
      <c r="D51" s="131" t="s">
        <v>241</v>
      </c>
      <c r="E51" s="133">
        <v>3988</v>
      </c>
      <c r="F51" s="134">
        <f>SUM(E51*5/1000)</f>
        <v>19.940000000000001</v>
      </c>
      <c r="G51" s="16">
        <v>1142.7</v>
      </c>
      <c r="H51" s="135">
        <f t="shared" si="4"/>
        <v>22.785438000000003</v>
      </c>
      <c r="I51" s="16">
        <f>F51/5*G51</f>
        <v>4557.0876000000007</v>
      </c>
      <c r="J51" s="32"/>
      <c r="L51" s="25"/>
      <c r="M51" s="26"/>
      <c r="N51" s="27"/>
    </row>
    <row r="52" spans="1:22" ht="31.5" hidden="1" customHeight="1">
      <c r="A52" s="38"/>
      <c r="B52" s="131" t="s">
        <v>106</v>
      </c>
      <c r="C52" s="132" t="s">
        <v>104</v>
      </c>
      <c r="D52" s="131" t="s">
        <v>42</v>
      </c>
      <c r="E52" s="133">
        <v>3988</v>
      </c>
      <c r="F52" s="134">
        <f>SUM(E52*2/1000)</f>
        <v>7.976</v>
      </c>
      <c r="G52" s="16">
        <v>1213.55</v>
      </c>
      <c r="H52" s="135">
        <f t="shared" si="4"/>
        <v>9.6792748</v>
      </c>
      <c r="I52" s="16">
        <v>0</v>
      </c>
      <c r="J52" s="32"/>
      <c r="L52" s="25"/>
      <c r="M52" s="26"/>
      <c r="N52" s="27"/>
    </row>
    <row r="53" spans="1:22" ht="31.5" hidden="1" customHeight="1">
      <c r="A53" s="38"/>
      <c r="B53" s="131" t="s">
        <v>107</v>
      </c>
      <c r="C53" s="132" t="s">
        <v>37</v>
      </c>
      <c r="D53" s="131" t="s">
        <v>42</v>
      </c>
      <c r="E53" s="133">
        <v>30</v>
      </c>
      <c r="F53" s="134">
        <f>SUM(E53*2/100)</f>
        <v>0.6</v>
      </c>
      <c r="G53" s="16">
        <v>2730.49</v>
      </c>
      <c r="H53" s="135">
        <f>SUM(F53*G53/1000)</f>
        <v>1.6382939999999999</v>
      </c>
      <c r="I53" s="16">
        <v>0</v>
      </c>
      <c r="J53" s="32"/>
      <c r="L53" s="25"/>
      <c r="M53" s="26"/>
      <c r="N53" s="27"/>
    </row>
    <row r="54" spans="1:22" ht="15.75" hidden="1" customHeight="1">
      <c r="A54" s="38"/>
      <c r="B54" s="131" t="s">
        <v>38</v>
      </c>
      <c r="C54" s="132" t="s">
        <v>39</v>
      </c>
      <c r="D54" s="131" t="s">
        <v>42</v>
      </c>
      <c r="E54" s="133">
        <v>1</v>
      </c>
      <c r="F54" s="134">
        <v>0.02</v>
      </c>
      <c r="G54" s="16">
        <v>5652.13</v>
      </c>
      <c r="H54" s="135">
        <f t="shared" si="4"/>
        <v>0.11304260000000001</v>
      </c>
      <c r="I54" s="16">
        <v>0</v>
      </c>
      <c r="J54" s="32"/>
      <c r="L54" s="25"/>
      <c r="M54" s="26"/>
      <c r="N54" s="27"/>
    </row>
    <row r="55" spans="1:22" ht="15.75" hidden="1" customHeight="1">
      <c r="A55" s="38">
        <v>18</v>
      </c>
      <c r="B55" s="131" t="s">
        <v>41</v>
      </c>
      <c r="C55" s="132" t="s">
        <v>124</v>
      </c>
      <c r="D55" s="131" t="s">
        <v>76</v>
      </c>
      <c r="E55" s="133">
        <v>236</v>
      </c>
      <c r="F55" s="134">
        <f>SUM(E55)*3</f>
        <v>708</v>
      </c>
      <c r="G55" s="16">
        <v>65.67</v>
      </c>
      <c r="H55" s="135">
        <f t="shared" si="4"/>
        <v>46.49436</v>
      </c>
      <c r="I55" s="16">
        <f>E55*G55</f>
        <v>15498.12</v>
      </c>
      <c r="J55" s="32"/>
      <c r="L55" s="25"/>
      <c r="M55" s="26"/>
      <c r="N55" s="27"/>
    </row>
    <row r="56" spans="1:22" ht="15.75" customHeight="1">
      <c r="A56" s="174" t="s">
        <v>176</v>
      </c>
      <c r="B56" s="175"/>
      <c r="C56" s="175"/>
      <c r="D56" s="175"/>
      <c r="E56" s="175"/>
      <c r="F56" s="175"/>
      <c r="G56" s="175"/>
      <c r="H56" s="175"/>
      <c r="I56" s="176"/>
      <c r="J56" s="32"/>
      <c r="L56" s="25"/>
      <c r="M56" s="26"/>
      <c r="N56" s="27"/>
    </row>
    <row r="57" spans="1:22" ht="15.75" hidden="1" customHeight="1">
      <c r="A57" s="38"/>
      <c r="B57" s="155" t="s">
        <v>45</v>
      </c>
      <c r="C57" s="132"/>
      <c r="D57" s="131"/>
      <c r="E57" s="133"/>
      <c r="F57" s="134"/>
      <c r="G57" s="134"/>
      <c r="H57" s="135"/>
      <c r="I57" s="16"/>
      <c r="J57" s="32"/>
      <c r="L57" s="25"/>
      <c r="M57" s="26"/>
      <c r="N57" s="27"/>
    </row>
    <row r="58" spans="1:22" ht="31.5" hidden="1" customHeight="1">
      <c r="A58" s="38">
        <v>19</v>
      </c>
      <c r="B58" s="131" t="s">
        <v>149</v>
      </c>
      <c r="C58" s="132" t="s">
        <v>100</v>
      </c>
      <c r="D58" s="131" t="s">
        <v>125</v>
      </c>
      <c r="E58" s="133">
        <v>30</v>
      </c>
      <c r="F58" s="134">
        <f>SUM(E58*6/100)</f>
        <v>1.8</v>
      </c>
      <c r="G58" s="16">
        <v>1547.28</v>
      </c>
      <c r="H58" s="135">
        <f>SUM(F58*G58/1000)</f>
        <v>2.785104</v>
      </c>
      <c r="I58" s="16">
        <f>F58/6*G58</f>
        <v>464.18399999999997</v>
      </c>
      <c r="J58" s="32"/>
      <c r="L58" s="25"/>
    </row>
    <row r="59" spans="1:22" ht="15.75" hidden="1" customHeight="1">
      <c r="A59" s="38">
        <v>20</v>
      </c>
      <c r="B59" s="140" t="s">
        <v>150</v>
      </c>
      <c r="C59" s="141" t="s">
        <v>151</v>
      </c>
      <c r="D59" s="140" t="s">
        <v>42</v>
      </c>
      <c r="E59" s="142">
        <v>6</v>
      </c>
      <c r="F59" s="143">
        <v>12</v>
      </c>
      <c r="G59" s="16">
        <v>180.78</v>
      </c>
      <c r="H59" s="144">
        <f>G59*F59/1000</f>
        <v>2.1693600000000002</v>
      </c>
      <c r="I59" s="16">
        <f>F59/2*G59</f>
        <v>1084.68</v>
      </c>
    </row>
    <row r="60" spans="1:22" ht="15.75" hidden="1" customHeight="1">
      <c r="A60" s="38">
        <v>21</v>
      </c>
      <c r="B60" s="140" t="s">
        <v>152</v>
      </c>
      <c r="C60" s="141" t="s">
        <v>55</v>
      </c>
      <c r="D60" s="140" t="s">
        <v>40</v>
      </c>
      <c r="E60" s="142">
        <v>6</v>
      </c>
      <c r="F60" s="143">
        <f>E60*4/100</f>
        <v>0.24</v>
      </c>
      <c r="G60" s="16">
        <v>1547.28</v>
      </c>
      <c r="H60" s="144">
        <f>G60*F60/1000</f>
        <v>0.37134719999999999</v>
      </c>
      <c r="I60" s="16">
        <f>F60/4*G60</f>
        <v>92.836799999999997</v>
      </c>
    </row>
    <row r="61" spans="1:22" ht="15.75" customHeight="1">
      <c r="A61" s="38"/>
      <c r="B61" s="156" t="s">
        <v>46</v>
      </c>
      <c r="C61" s="141"/>
      <c r="D61" s="140"/>
      <c r="E61" s="142"/>
      <c r="F61" s="143"/>
      <c r="G61" s="16"/>
      <c r="H61" s="144"/>
      <c r="I61" s="16"/>
    </row>
    <row r="62" spans="1:22" ht="15.75" hidden="1" customHeight="1">
      <c r="A62" s="38">
        <v>22</v>
      </c>
      <c r="B62" s="140" t="s">
        <v>153</v>
      </c>
      <c r="C62" s="141" t="s">
        <v>55</v>
      </c>
      <c r="D62" s="140" t="s">
        <v>56</v>
      </c>
      <c r="E62" s="142">
        <v>997</v>
      </c>
      <c r="F62" s="143">
        <v>9.9700000000000006</v>
      </c>
      <c r="G62" s="16">
        <v>793.61</v>
      </c>
      <c r="H62" s="144">
        <f>F62*G62/1000</f>
        <v>7.9122917000000008</v>
      </c>
      <c r="I62" s="16">
        <f>G62*F62</f>
        <v>7912.2917000000007</v>
      </c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9"/>
    </row>
    <row r="63" spans="1:22" ht="15.75" customHeight="1">
      <c r="A63" s="38">
        <v>23</v>
      </c>
      <c r="B63" s="140" t="s">
        <v>154</v>
      </c>
      <c r="C63" s="141" t="s">
        <v>25</v>
      </c>
      <c r="D63" s="140" t="s">
        <v>30</v>
      </c>
      <c r="E63" s="142">
        <v>394</v>
      </c>
      <c r="F63" s="145">
        <f>E63*12</f>
        <v>4728</v>
      </c>
      <c r="G63" s="126">
        <v>2.6</v>
      </c>
      <c r="H63" s="143">
        <f>F63*G63/1000</f>
        <v>12.292800000000002</v>
      </c>
      <c r="I63" s="16">
        <f>F63/12*G63</f>
        <v>1024.4000000000001</v>
      </c>
      <c r="J63" s="34"/>
      <c r="K63" s="34"/>
      <c r="L63" s="3"/>
      <c r="M63" s="3"/>
      <c r="N63" s="3"/>
      <c r="O63" s="3"/>
      <c r="P63" s="3"/>
      <c r="Q63" s="3"/>
      <c r="R63" s="3"/>
      <c r="S63" s="3"/>
      <c r="T63" s="3"/>
      <c r="U63" s="3"/>
    </row>
    <row r="64" spans="1:22" ht="15.75" customHeight="1">
      <c r="A64" s="38"/>
      <c r="B64" s="156" t="s">
        <v>47</v>
      </c>
      <c r="C64" s="141"/>
      <c r="D64" s="140"/>
      <c r="E64" s="142"/>
      <c r="F64" s="145"/>
      <c r="G64" s="145"/>
      <c r="H64" s="143" t="s">
        <v>179</v>
      </c>
      <c r="I64" s="16"/>
      <c r="J64" s="3"/>
      <c r="K64" s="3"/>
      <c r="L64" s="3"/>
      <c r="M64" s="3"/>
      <c r="N64" s="3"/>
      <c r="O64" s="3"/>
      <c r="P64" s="3"/>
      <c r="Q64" s="3"/>
      <c r="S64" s="3"/>
      <c r="T64" s="3"/>
      <c r="U64" s="3"/>
    </row>
    <row r="65" spans="1:21" ht="15.75" customHeight="1">
      <c r="A65" s="38">
        <v>24</v>
      </c>
      <c r="B65" s="18" t="s">
        <v>48</v>
      </c>
      <c r="C65" s="20" t="s">
        <v>124</v>
      </c>
      <c r="D65" s="131" t="s">
        <v>72</v>
      </c>
      <c r="E65" s="23">
        <v>15</v>
      </c>
      <c r="F65" s="134">
        <v>15</v>
      </c>
      <c r="G65" s="16">
        <v>222.4</v>
      </c>
      <c r="H65" s="146">
        <f t="shared" ref="H65:H78" si="6">SUM(F65*G65/1000)</f>
        <v>3.3359999999999999</v>
      </c>
      <c r="I65" s="16">
        <f>G65*3</f>
        <v>667.2</v>
      </c>
      <c r="J65" s="5"/>
      <c r="K65" s="5"/>
      <c r="L65" s="5"/>
      <c r="M65" s="5"/>
      <c r="N65" s="5"/>
      <c r="O65" s="5"/>
      <c r="P65" s="5"/>
      <c r="Q65" s="5"/>
      <c r="R65" s="166"/>
      <c r="S65" s="166"/>
      <c r="T65" s="166"/>
      <c r="U65" s="166"/>
    </row>
    <row r="66" spans="1:21" ht="15.75" hidden="1" customHeight="1">
      <c r="A66" s="38">
        <v>25</v>
      </c>
      <c r="B66" s="18" t="s">
        <v>49</v>
      </c>
      <c r="C66" s="20" t="s">
        <v>124</v>
      </c>
      <c r="D66" s="131" t="s">
        <v>72</v>
      </c>
      <c r="E66" s="23">
        <v>10</v>
      </c>
      <c r="F66" s="134">
        <v>10</v>
      </c>
      <c r="G66" s="16">
        <v>76.25</v>
      </c>
      <c r="H66" s="146">
        <f t="shared" si="6"/>
        <v>0.76249999999999996</v>
      </c>
      <c r="I66" s="16">
        <f>G66</f>
        <v>76.25</v>
      </c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</row>
    <row r="67" spans="1:21" ht="15.75" customHeight="1">
      <c r="A67" s="38">
        <v>25</v>
      </c>
      <c r="B67" s="18" t="s">
        <v>50</v>
      </c>
      <c r="C67" s="20" t="s">
        <v>126</v>
      </c>
      <c r="D67" s="18" t="s">
        <v>56</v>
      </c>
      <c r="E67" s="133">
        <v>28608</v>
      </c>
      <c r="F67" s="16">
        <f>SUM(E67/100)</f>
        <v>286.08</v>
      </c>
      <c r="G67" s="16">
        <v>199.77</v>
      </c>
      <c r="H67" s="146">
        <f t="shared" si="6"/>
        <v>57.150201600000003</v>
      </c>
      <c r="I67" s="16">
        <f>F67*G67</f>
        <v>57150.2016</v>
      </c>
    </row>
    <row r="68" spans="1:21" ht="15.75" customHeight="1">
      <c r="A68" s="38">
        <v>26</v>
      </c>
      <c r="B68" s="18" t="s">
        <v>51</v>
      </c>
      <c r="C68" s="20" t="s">
        <v>127</v>
      </c>
      <c r="D68" s="18"/>
      <c r="E68" s="133">
        <v>28608</v>
      </c>
      <c r="F68" s="16">
        <f>SUM(E68/1000)</f>
        <v>28.608000000000001</v>
      </c>
      <c r="G68" s="16">
        <v>155.57</v>
      </c>
      <c r="H68" s="146">
        <f t="shared" si="6"/>
        <v>4.4505465599999994</v>
      </c>
      <c r="I68" s="16">
        <f t="shared" ref="I68:I72" si="7">F68*G68</f>
        <v>4450.5465599999998</v>
      </c>
    </row>
    <row r="69" spans="1:21" ht="15.75" customHeight="1">
      <c r="A69" s="38">
        <v>27</v>
      </c>
      <c r="B69" s="18" t="s">
        <v>52</v>
      </c>
      <c r="C69" s="20" t="s">
        <v>83</v>
      </c>
      <c r="D69" s="18" t="s">
        <v>56</v>
      </c>
      <c r="E69" s="133">
        <v>4550</v>
      </c>
      <c r="F69" s="16">
        <f>SUM(E69/100)</f>
        <v>45.5</v>
      </c>
      <c r="G69" s="16">
        <v>2074.63</v>
      </c>
      <c r="H69" s="146">
        <f t="shared" si="6"/>
        <v>94.395665000000008</v>
      </c>
      <c r="I69" s="16">
        <f t="shared" si="7"/>
        <v>94395.665000000008</v>
      </c>
    </row>
    <row r="70" spans="1:21" ht="15.75" customHeight="1">
      <c r="A70" s="38">
        <v>28</v>
      </c>
      <c r="B70" s="147" t="s">
        <v>128</v>
      </c>
      <c r="C70" s="20" t="s">
        <v>33</v>
      </c>
      <c r="D70" s="18"/>
      <c r="E70" s="133">
        <v>58.5</v>
      </c>
      <c r="F70" s="16">
        <f>SUM(E70)</f>
        <v>58.5</v>
      </c>
      <c r="G70" s="16">
        <v>45.32</v>
      </c>
      <c r="H70" s="146">
        <f t="shared" si="6"/>
        <v>2.6512199999999999</v>
      </c>
      <c r="I70" s="16">
        <f t="shared" si="7"/>
        <v>2651.22</v>
      </c>
    </row>
    <row r="71" spans="1:21" ht="15.75" customHeight="1">
      <c r="A71" s="38">
        <v>29</v>
      </c>
      <c r="B71" s="147" t="s">
        <v>129</v>
      </c>
      <c r="C71" s="20" t="s">
        <v>33</v>
      </c>
      <c r="D71" s="18"/>
      <c r="E71" s="133">
        <v>58.5</v>
      </c>
      <c r="F71" s="16">
        <f>SUM(E71)</f>
        <v>58.5</v>
      </c>
      <c r="G71" s="16">
        <v>42.28</v>
      </c>
      <c r="H71" s="146">
        <f t="shared" si="6"/>
        <v>2.4733800000000001</v>
      </c>
      <c r="I71" s="16">
        <f t="shared" si="7"/>
        <v>2473.38</v>
      </c>
    </row>
    <row r="72" spans="1:21" ht="15.75" hidden="1" customHeight="1">
      <c r="A72" s="38"/>
      <c r="B72" s="18" t="s">
        <v>61</v>
      </c>
      <c r="C72" s="20" t="s">
        <v>62</v>
      </c>
      <c r="D72" s="18" t="s">
        <v>56</v>
      </c>
      <c r="E72" s="23">
        <v>5</v>
      </c>
      <c r="F72" s="134">
        <v>5</v>
      </c>
      <c r="G72" s="16">
        <v>49.88</v>
      </c>
      <c r="H72" s="146">
        <f t="shared" si="6"/>
        <v>0.24940000000000001</v>
      </c>
      <c r="I72" s="16">
        <f t="shared" si="7"/>
        <v>249.4</v>
      </c>
    </row>
    <row r="73" spans="1:21" ht="15.75" hidden="1" customHeight="1">
      <c r="A73" s="38"/>
      <c r="B73" s="115" t="s">
        <v>77</v>
      </c>
      <c r="C73" s="20"/>
      <c r="D73" s="18"/>
      <c r="E73" s="23"/>
      <c r="F73" s="16"/>
      <c r="G73" s="16"/>
      <c r="H73" s="146" t="s">
        <v>179</v>
      </c>
      <c r="I73" s="16"/>
    </row>
    <row r="74" spans="1:21" ht="15.75" hidden="1" customHeight="1">
      <c r="A74" s="38"/>
      <c r="B74" s="18" t="s">
        <v>78</v>
      </c>
      <c r="C74" s="20" t="s">
        <v>80</v>
      </c>
      <c r="D74" s="18"/>
      <c r="E74" s="23">
        <v>10</v>
      </c>
      <c r="F74" s="16">
        <v>1</v>
      </c>
      <c r="G74" s="16">
        <v>501.62</v>
      </c>
      <c r="H74" s="146">
        <f t="shared" si="6"/>
        <v>0.50161999999999995</v>
      </c>
      <c r="I74" s="16">
        <v>0</v>
      </c>
    </row>
    <row r="75" spans="1:21" ht="15.75" hidden="1" customHeight="1">
      <c r="A75" s="38"/>
      <c r="B75" s="18" t="s">
        <v>79</v>
      </c>
      <c r="C75" s="20" t="s">
        <v>31</v>
      </c>
      <c r="D75" s="18"/>
      <c r="E75" s="23">
        <v>3</v>
      </c>
      <c r="F75" s="126">
        <v>3</v>
      </c>
      <c r="G75" s="16">
        <v>852.99</v>
      </c>
      <c r="H75" s="146">
        <f>F75*G75/1000</f>
        <v>2.5589700000000004</v>
      </c>
      <c r="I75" s="16">
        <v>0</v>
      </c>
    </row>
    <row r="76" spans="1:21" ht="15.75" hidden="1" customHeight="1">
      <c r="A76" s="38"/>
      <c r="B76" s="18" t="s">
        <v>131</v>
      </c>
      <c r="C76" s="20" t="s">
        <v>31</v>
      </c>
      <c r="D76" s="18"/>
      <c r="E76" s="23">
        <v>1</v>
      </c>
      <c r="F76" s="16">
        <v>1</v>
      </c>
      <c r="G76" s="16">
        <v>358.51</v>
      </c>
      <c r="H76" s="146">
        <f>G76*F76/1000</f>
        <v>0.35851</v>
      </c>
      <c r="I76" s="16">
        <v>0</v>
      </c>
    </row>
    <row r="77" spans="1:21" ht="15.75" hidden="1" customHeight="1">
      <c r="A77" s="38"/>
      <c r="B77" s="149" t="s">
        <v>81</v>
      </c>
      <c r="C77" s="20"/>
      <c r="D77" s="18"/>
      <c r="E77" s="23"/>
      <c r="F77" s="16"/>
      <c r="G77" s="16" t="s">
        <v>179</v>
      </c>
      <c r="H77" s="146" t="s">
        <v>179</v>
      </c>
      <c r="I77" s="16"/>
    </row>
    <row r="78" spans="1:21" ht="15.75" hidden="1" customHeight="1">
      <c r="A78" s="38"/>
      <c r="B78" s="68" t="s">
        <v>242</v>
      </c>
      <c r="C78" s="20" t="s">
        <v>83</v>
      </c>
      <c r="D78" s="18"/>
      <c r="E78" s="23"/>
      <c r="F78" s="16">
        <v>1.2</v>
      </c>
      <c r="G78" s="16">
        <v>2759.44</v>
      </c>
      <c r="H78" s="146">
        <f t="shared" si="6"/>
        <v>3.311328</v>
      </c>
      <c r="I78" s="16">
        <v>0</v>
      </c>
    </row>
    <row r="79" spans="1:21" ht="15.75" hidden="1" customHeight="1">
      <c r="A79" s="38"/>
      <c r="B79" s="125" t="s">
        <v>108</v>
      </c>
      <c r="C79" s="125"/>
      <c r="D79" s="125"/>
      <c r="E79" s="125"/>
      <c r="F79" s="125"/>
      <c r="G79" s="137"/>
      <c r="H79" s="150">
        <f>SUM(H58:H78)</f>
        <v>197.73024405999999</v>
      </c>
      <c r="I79" s="137"/>
    </row>
    <row r="80" spans="1:21" ht="15.75" hidden="1" customHeight="1">
      <c r="A80" s="38"/>
      <c r="B80" s="157" t="s">
        <v>130</v>
      </c>
      <c r="C80" s="29"/>
      <c r="D80" s="28"/>
      <c r="E80" s="127"/>
      <c r="F80" s="158">
        <v>1</v>
      </c>
      <c r="G80" s="16">
        <v>23072.1</v>
      </c>
      <c r="H80" s="146">
        <f>G80*F80/1000</f>
        <v>23.072099999999999</v>
      </c>
      <c r="I80" s="16">
        <v>0</v>
      </c>
    </row>
    <row r="81" spans="1:9" ht="15.75" customHeight="1">
      <c r="A81" s="167" t="s">
        <v>177</v>
      </c>
      <c r="B81" s="168"/>
      <c r="C81" s="168"/>
      <c r="D81" s="168"/>
      <c r="E81" s="168"/>
      <c r="F81" s="168"/>
      <c r="G81" s="168"/>
      <c r="H81" s="168"/>
      <c r="I81" s="169"/>
    </row>
    <row r="82" spans="1:9" ht="15.75" customHeight="1">
      <c r="A82" s="38">
        <v>30</v>
      </c>
      <c r="B82" s="131" t="s">
        <v>132</v>
      </c>
      <c r="C82" s="20" t="s">
        <v>58</v>
      </c>
      <c r="D82" s="92" t="s">
        <v>59</v>
      </c>
      <c r="E82" s="16">
        <v>6980.3</v>
      </c>
      <c r="F82" s="16">
        <f>SUM(E82*12)</f>
        <v>83763.600000000006</v>
      </c>
      <c r="G82" s="16">
        <v>2.1</v>
      </c>
      <c r="H82" s="146">
        <f>SUM(F82*G82/1000)</f>
        <v>175.90356000000003</v>
      </c>
      <c r="I82" s="16">
        <f>F82/12*G82</f>
        <v>14658.630000000001</v>
      </c>
    </row>
    <row r="83" spans="1:9" ht="31.5" customHeight="1">
      <c r="A83" s="38">
        <v>31</v>
      </c>
      <c r="B83" s="18" t="s">
        <v>84</v>
      </c>
      <c r="C83" s="20"/>
      <c r="D83" s="92" t="s">
        <v>59</v>
      </c>
      <c r="E83" s="133">
        <f>E82</f>
        <v>6980.3</v>
      </c>
      <c r="F83" s="16">
        <f>E83*12</f>
        <v>83763.600000000006</v>
      </c>
      <c r="G83" s="16">
        <v>1.63</v>
      </c>
      <c r="H83" s="146">
        <f>F83*G83/1000</f>
        <v>136.53466800000001</v>
      </c>
      <c r="I83" s="16">
        <f>F83/12*G83</f>
        <v>11377.888999999999</v>
      </c>
    </row>
    <row r="84" spans="1:9" ht="15.75" customHeight="1">
      <c r="A84" s="38"/>
      <c r="B84" s="55" t="s">
        <v>88</v>
      </c>
      <c r="C84" s="149"/>
      <c r="D84" s="148"/>
      <c r="E84" s="137"/>
      <c r="F84" s="137"/>
      <c r="G84" s="137"/>
      <c r="H84" s="150">
        <f>H83</f>
        <v>136.53466800000001</v>
      </c>
      <c r="I84" s="137">
        <f>I16+I17+I18+I19+I20+I21+I22+I23+I24+I25+I26+I27+I30+I31+I32+I33+I34+I47+I48+I49+I50+I51+I63+I65+I67+I68+I69+I70+I71+I82+I83</f>
        <v>271763.90813978889</v>
      </c>
    </row>
    <row r="85" spans="1:9" ht="15.75" customHeight="1">
      <c r="A85" s="38"/>
      <c r="B85" s="88" t="s">
        <v>64</v>
      </c>
      <c r="C85" s="20"/>
      <c r="D85" s="68"/>
      <c r="E85" s="16"/>
      <c r="F85" s="16"/>
      <c r="G85" s="16"/>
      <c r="H85" s="16"/>
      <c r="I85" s="16"/>
    </row>
    <row r="86" spans="1:9" ht="15.75" customHeight="1">
      <c r="A86" s="38">
        <v>32</v>
      </c>
      <c r="B86" s="89" t="s">
        <v>155</v>
      </c>
      <c r="C86" s="110" t="s">
        <v>124</v>
      </c>
      <c r="D86" s="18"/>
      <c r="E86" s="23"/>
      <c r="F86" s="16">
        <v>1440</v>
      </c>
      <c r="G86" s="16">
        <v>50.68</v>
      </c>
      <c r="H86" s="146">
        <f t="shared" ref="H86:H95" si="8">G86*F86/1000</f>
        <v>72.979199999999992</v>
      </c>
      <c r="I86" s="16">
        <f>G86*120</f>
        <v>6081.6</v>
      </c>
    </row>
    <row r="87" spans="1:9" ht="15.75" customHeight="1">
      <c r="A87" s="38">
        <v>33</v>
      </c>
      <c r="B87" s="89" t="s">
        <v>90</v>
      </c>
      <c r="C87" s="110" t="s">
        <v>124</v>
      </c>
      <c r="D87" s="18"/>
      <c r="E87" s="23"/>
      <c r="F87" s="16">
        <v>19</v>
      </c>
      <c r="G87" s="16">
        <v>180.15</v>
      </c>
      <c r="H87" s="146">
        <f t="shared" si="8"/>
        <v>3.4228499999999999</v>
      </c>
      <c r="I87" s="16">
        <f>G87</f>
        <v>180.15</v>
      </c>
    </row>
    <row r="88" spans="1:9" ht="15.75" customHeight="1">
      <c r="A88" s="38">
        <v>34</v>
      </c>
      <c r="B88" s="89" t="s">
        <v>162</v>
      </c>
      <c r="C88" s="110" t="s">
        <v>92</v>
      </c>
      <c r="D88" s="18"/>
      <c r="E88" s="23"/>
      <c r="F88" s="16">
        <v>9</v>
      </c>
      <c r="G88" s="16">
        <v>185.81</v>
      </c>
      <c r="H88" s="146">
        <f>G88*F88/1000</f>
        <v>1.6722900000000001</v>
      </c>
      <c r="I88" s="16">
        <f>G88*2</f>
        <v>371.62</v>
      </c>
    </row>
    <row r="89" spans="1:9" ht="15.75" customHeight="1">
      <c r="A89" s="38">
        <v>35</v>
      </c>
      <c r="B89" s="111" t="s">
        <v>93</v>
      </c>
      <c r="C89" s="152" t="s">
        <v>80</v>
      </c>
      <c r="D89" s="18"/>
      <c r="E89" s="23"/>
      <c r="F89" s="16">
        <f>3/10</f>
        <v>0.3</v>
      </c>
      <c r="G89" s="16">
        <v>3800</v>
      </c>
      <c r="H89" s="146">
        <f t="shared" si="8"/>
        <v>1.1399999999999999</v>
      </c>
      <c r="I89" s="16">
        <f>G89*0.2</f>
        <v>760</v>
      </c>
    </row>
    <row r="90" spans="1:9" ht="15.75" customHeight="1">
      <c r="A90" s="38">
        <v>36</v>
      </c>
      <c r="B90" s="89" t="s">
        <v>204</v>
      </c>
      <c r="C90" s="110" t="s">
        <v>183</v>
      </c>
      <c r="D90" s="18"/>
      <c r="E90" s="23"/>
      <c r="F90" s="16">
        <v>2</v>
      </c>
      <c r="G90" s="16">
        <v>476.76</v>
      </c>
      <c r="H90" s="146">
        <f t="shared" si="8"/>
        <v>0.95352000000000003</v>
      </c>
      <c r="I90" s="16">
        <f>G90</f>
        <v>476.76</v>
      </c>
    </row>
    <row r="91" spans="1:9" ht="15.75" customHeight="1">
      <c r="A91" s="38">
        <v>37</v>
      </c>
      <c r="B91" s="89" t="s">
        <v>205</v>
      </c>
      <c r="C91" s="110" t="s">
        <v>183</v>
      </c>
      <c r="D91" s="18"/>
      <c r="E91" s="23"/>
      <c r="F91" s="16">
        <v>1</v>
      </c>
      <c r="G91" s="16">
        <v>150.63999999999999</v>
      </c>
      <c r="H91" s="146">
        <f t="shared" si="8"/>
        <v>0.15064</v>
      </c>
      <c r="I91" s="16">
        <f>G91</f>
        <v>150.63999999999999</v>
      </c>
    </row>
    <row r="92" spans="1:9" ht="31.5" customHeight="1">
      <c r="A92" s="38">
        <v>38</v>
      </c>
      <c r="B92" s="109" t="s">
        <v>206</v>
      </c>
      <c r="C92" s="38" t="s">
        <v>58</v>
      </c>
      <c r="D92" s="18"/>
      <c r="E92" s="23"/>
      <c r="F92" s="16">
        <v>4</v>
      </c>
      <c r="G92" s="16">
        <v>2057</v>
      </c>
      <c r="H92" s="146">
        <f t="shared" si="8"/>
        <v>8.2279999999999998</v>
      </c>
      <c r="I92" s="16">
        <f>G92*4</f>
        <v>8228</v>
      </c>
    </row>
    <row r="93" spans="1:9" ht="15.75" customHeight="1">
      <c r="A93" s="38">
        <v>39</v>
      </c>
      <c r="B93" s="89" t="s">
        <v>207</v>
      </c>
      <c r="C93" s="110" t="s">
        <v>208</v>
      </c>
      <c r="D93" s="18"/>
      <c r="E93" s="23"/>
      <c r="F93" s="16">
        <f>1/100</f>
        <v>0.01</v>
      </c>
      <c r="G93" s="16">
        <v>7033.13</v>
      </c>
      <c r="H93" s="146">
        <f t="shared" si="8"/>
        <v>7.0331299999999999E-2</v>
      </c>
      <c r="I93" s="16">
        <f>G93*0.01</f>
        <v>70.331299999999999</v>
      </c>
    </row>
    <row r="94" spans="1:9" ht="15.75" customHeight="1">
      <c r="A94" s="38">
        <v>40</v>
      </c>
      <c r="B94" s="89" t="s">
        <v>209</v>
      </c>
      <c r="C94" s="110" t="s">
        <v>210</v>
      </c>
      <c r="D94" s="18"/>
      <c r="E94" s="23"/>
      <c r="F94" s="16">
        <f>6/100</f>
        <v>0.06</v>
      </c>
      <c r="G94" s="16">
        <v>257.89999999999998</v>
      </c>
      <c r="H94" s="146">
        <f t="shared" si="8"/>
        <v>1.5473999999999998E-2</v>
      </c>
      <c r="I94" s="16">
        <f>G94*0.06</f>
        <v>15.473999999999998</v>
      </c>
    </row>
    <row r="95" spans="1:9" ht="15.75" customHeight="1">
      <c r="A95" s="38">
        <v>41</v>
      </c>
      <c r="B95" s="18" t="s">
        <v>211</v>
      </c>
      <c r="C95" s="20" t="s">
        <v>212</v>
      </c>
      <c r="D95" s="18"/>
      <c r="E95" s="23"/>
      <c r="F95" s="16">
        <v>1.5</v>
      </c>
      <c r="G95" s="16">
        <v>1501</v>
      </c>
      <c r="H95" s="146">
        <f t="shared" si="8"/>
        <v>2.2515000000000001</v>
      </c>
      <c r="I95" s="16">
        <f>G95*1.5</f>
        <v>2251.5</v>
      </c>
    </row>
    <row r="96" spans="1:9" ht="15.75" customHeight="1">
      <c r="A96" s="38"/>
      <c r="B96" s="62" t="s">
        <v>53</v>
      </c>
      <c r="C96" s="58"/>
      <c r="D96" s="72"/>
      <c r="E96" s="58">
        <v>1</v>
      </c>
      <c r="F96" s="58"/>
      <c r="G96" s="58"/>
      <c r="H96" s="58"/>
      <c r="I96" s="40">
        <f>SUM(I86:I95)</f>
        <v>18586.0753</v>
      </c>
    </row>
    <row r="97" spans="1:9">
      <c r="A97" s="38"/>
      <c r="B97" s="68" t="s">
        <v>85</v>
      </c>
      <c r="C97" s="19"/>
      <c r="D97" s="19"/>
      <c r="E97" s="59"/>
      <c r="F97" s="59"/>
      <c r="G97" s="60"/>
      <c r="H97" s="60"/>
      <c r="I97" s="22">
        <v>0</v>
      </c>
    </row>
    <row r="98" spans="1:9">
      <c r="A98" s="73"/>
      <c r="B98" s="63" t="s">
        <v>54</v>
      </c>
      <c r="C98" s="46"/>
      <c r="D98" s="46"/>
      <c r="E98" s="46"/>
      <c r="F98" s="46"/>
      <c r="G98" s="46"/>
      <c r="H98" s="46"/>
      <c r="I98" s="61">
        <f>I84+I96</f>
        <v>290349.98343978892</v>
      </c>
    </row>
    <row r="99" spans="1:9" ht="15.75">
      <c r="A99" s="170" t="s">
        <v>259</v>
      </c>
      <c r="B99" s="170"/>
      <c r="C99" s="170"/>
      <c r="D99" s="170"/>
      <c r="E99" s="170"/>
      <c r="F99" s="170"/>
      <c r="G99" s="170"/>
      <c r="H99" s="170"/>
      <c r="I99" s="170"/>
    </row>
    <row r="100" spans="1:9" ht="15.75" customHeight="1">
      <c r="A100" s="108"/>
      <c r="B100" s="171" t="s">
        <v>260</v>
      </c>
      <c r="C100" s="171"/>
      <c r="D100" s="171"/>
      <c r="E100" s="171"/>
      <c r="F100" s="171"/>
      <c r="G100" s="171"/>
      <c r="H100" s="130"/>
      <c r="I100" s="3"/>
    </row>
    <row r="101" spans="1:9">
      <c r="A101" s="120"/>
      <c r="B101" s="164" t="s">
        <v>6</v>
      </c>
      <c r="C101" s="164"/>
      <c r="D101" s="164"/>
      <c r="E101" s="164"/>
      <c r="F101" s="164"/>
      <c r="G101" s="164"/>
      <c r="H101" s="33"/>
      <c r="I101" s="5"/>
    </row>
    <row r="102" spans="1:9">
      <c r="A102" s="10"/>
      <c r="B102" s="10"/>
      <c r="C102" s="10"/>
      <c r="D102" s="10"/>
      <c r="E102" s="10"/>
      <c r="F102" s="10"/>
      <c r="G102" s="10"/>
      <c r="H102" s="10"/>
      <c r="I102" s="10"/>
    </row>
    <row r="103" spans="1:9" ht="15.75">
      <c r="A103" s="172" t="s">
        <v>7</v>
      </c>
      <c r="B103" s="172"/>
      <c r="C103" s="172"/>
      <c r="D103" s="172"/>
      <c r="E103" s="172"/>
      <c r="F103" s="172"/>
      <c r="G103" s="172"/>
      <c r="H103" s="172"/>
      <c r="I103" s="172"/>
    </row>
    <row r="104" spans="1:9" ht="15.75">
      <c r="A104" s="172" t="s">
        <v>8</v>
      </c>
      <c r="B104" s="172"/>
      <c r="C104" s="172"/>
      <c r="D104" s="172"/>
      <c r="E104" s="172"/>
      <c r="F104" s="172"/>
      <c r="G104" s="172"/>
      <c r="H104" s="172"/>
      <c r="I104" s="172"/>
    </row>
    <row r="105" spans="1:9" ht="15.75">
      <c r="A105" s="161" t="s">
        <v>65</v>
      </c>
      <c r="B105" s="161"/>
      <c r="C105" s="161"/>
      <c r="D105" s="161"/>
      <c r="E105" s="161"/>
      <c r="F105" s="161"/>
      <c r="G105" s="161"/>
      <c r="H105" s="161"/>
      <c r="I105" s="161"/>
    </row>
    <row r="106" spans="1:9" ht="15.75">
      <c r="A106" s="11"/>
    </row>
    <row r="107" spans="1:9" ht="15.75">
      <c r="A107" s="162" t="s">
        <v>9</v>
      </c>
      <c r="B107" s="162"/>
      <c r="C107" s="162"/>
      <c r="D107" s="162"/>
      <c r="E107" s="162"/>
      <c r="F107" s="162"/>
      <c r="G107" s="162"/>
      <c r="H107" s="162"/>
      <c r="I107" s="162"/>
    </row>
    <row r="108" spans="1:9" ht="15.75" customHeight="1">
      <c r="A108" s="4"/>
    </row>
    <row r="109" spans="1:9" ht="15.75" customHeight="1">
      <c r="B109" s="117" t="s">
        <v>10</v>
      </c>
      <c r="C109" s="163" t="s">
        <v>170</v>
      </c>
      <c r="D109" s="163"/>
      <c r="E109" s="163"/>
      <c r="F109" s="128"/>
      <c r="I109" s="119"/>
    </row>
    <row r="110" spans="1:9" ht="15.75" customHeight="1">
      <c r="A110" s="120"/>
      <c r="C110" s="164" t="s">
        <v>11</v>
      </c>
      <c r="D110" s="164"/>
      <c r="E110" s="164"/>
      <c r="F110" s="33"/>
      <c r="I110" s="118" t="s">
        <v>12</v>
      </c>
    </row>
    <row r="111" spans="1:9" ht="15.75" customHeight="1">
      <c r="A111" s="34"/>
      <c r="C111" s="12"/>
      <c r="D111" s="12"/>
      <c r="G111" s="12"/>
      <c r="H111" s="12"/>
    </row>
    <row r="112" spans="1:9" ht="15.75">
      <c r="B112" s="117" t="s">
        <v>13</v>
      </c>
      <c r="C112" s="165"/>
      <c r="D112" s="165"/>
      <c r="E112" s="165"/>
      <c r="F112" s="129"/>
      <c r="I112" s="119"/>
    </row>
    <row r="113" spans="1:9">
      <c r="A113" s="120"/>
      <c r="C113" s="166" t="s">
        <v>11</v>
      </c>
      <c r="D113" s="166"/>
      <c r="E113" s="166"/>
      <c r="F113" s="120"/>
      <c r="I113" s="118" t="s">
        <v>12</v>
      </c>
    </row>
    <row r="114" spans="1:9" ht="15.75">
      <c r="A114" s="4" t="s">
        <v>14</v>
      </c>
    </row>
    <row r="115" spans="1:9">
      <c r="A115" s="159" t="s">
        <v>15</v>
      </c>
      <c r="B115" s="159"/>
      <c r="C115" s="159"/>
      <c r="D115" s="159"/>
      <c r="E115" s="159"/>
      <c r="F115" s="159"/>
      <c r="G115" s="159"/>
      <c r="H115" s="159"/>
      <c r="I115" s="159"/>
    </row>
    <row r="116" spans="1:9" ht="45" customHeight="1">
      <c r="A116" s="160" t="s">
        <v>16</v>
      </c>
      <c r="B116" s="160"/>
      <c r="C116" s="160"/>
      <c r="D116" s="160"/>
      <c r="E116" s="160"/>
      <c r="F116" s="160"/>
      <c r="G116" s="160"/>
      <c r="H116" s="160"/>
      <c r="I116" s="160"/>
    </row>
    <row r="117" spans="1:9" ht="30" customHeight="1">
      <c r="A117" s="160" t="s">
        <v>17</v>
      </c>
      <c r="B117" s="160"/>
      <c r="C117" s="160"/>
      <c r="D117" s="160"/>
      <c r="E117" s="160"/>
      <c r="F117" s="160"/>
      <c r="G117" s="160"/>
      <c r="H117" s="160"/>
      <c r="I117" s="160"/>
    </row>
    <row r="118" spans="1:9" ht="30" customHeight="1">
      <c r="A118" s="160" t="s">
        <v>21</v>
      </c>
      <c r="B118" s="160"/>
      <c r="C118" s="160"/>
      <c r="D118" s="160"/>
      <c r="E118" s="160"/>
      <c r="F118" s="160"/>
      <c r="G118" s="160"/>
      <c r="H118" s="160"/>
      <c r="I118" s="160"/>
    </row>
    <row r="119" spans="1:9" ht="15" customHeight="1">
      <c r="A119" s="160" t="s">
        <v>20</v>
      </c>
      <c r="B119" s="160"/>
      <c r="C119" s="160"/>
      <c r="D119" s="160"/>
      <c r="E119" s="160"/>
      <c r="F119" s="160"/>
      <c r="G119" s="160"/>
      <c r="H119" s="160"/>
      <c r="I119" s="160"/>
    </row>
  </sheetData>
  <autoFilter ref="I12:I60"/>
  <mergeCells count="28">
    <mergeCell ref="A116:I116"/>
    <mergeCell ref="A117:I117"/>
    <mergeCell ref="A118:I118"/>
    <mergeCell ref="A119:I119"/>
    <mergeCell ref="A107:I107"/>
    <mergeCell ref="C109:E109"/>
    <mergeCell ref="C110:E110"/>
    <mergeCell ref="C112:E112"/>
    <mergeCell ref="C113:E113"/>
    <mergeCell ref="A115:I115"/>
    <mergeCell ref="A99:I99"/>
    <mergeCell ref="B100:G100"/>
    <mergeCell ref="B101:G101"/>
    <mergeCell ref="A103:I103"/>
    <mergeCell ref="A104:I104"/>
    <mergeCell ref="A105:I105"/>
    <mergeCell ref="A15:I15"/>
    <mergeCell ref="A28:I28"/>
    <mergeCell ref="A46:I46"/>
    <mergeCell ref="A56:I56"/>
    <mergeCell ref="R65:U65"/>
    <mergeCell ref="A81:I81"/>
    <mergeCell ref="A3:I3"/>
    <mergeCell ref="A4:I4"/>
    <mergeCell ref="A5:I5"/>
    <mergeCell ref="A8:I8"/>
    <mergeCell ref="A10:I10"/>
    <mergeCell ref="A14:I14"/>
  </mergeCells>
  <pageMargins left="0.70866141732283472" right="0.23622047244094491" top="0.27559055118110237" bottom="0.27559055118110237" header="0.31496062992125984" footer="0.31496062992125984"/>
  <pageSetup paperSize="9" scale="60" orientation="portrait" r:id="rId1"/>
  <colBreaks count="1" manualBreakCount="1">
    <brk id="9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>
  <dimension ref="A1:V123"/>
  <sheetViews>
    <sheetView workbookViewId="0">
      <selection activeCell="A3" sqref="A3:I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36" t="s">
        <v>96</v>
      </c>
      <c r="I1" s="35"/>
      <c r="J1" s="1"/>
      <c r="K1" s="1"/>
      <c r="L1" s="1"/>
      <c r="M1" s="1"/>
    </row>
    <row r="2" spans="1:13" ht="15.75">
      <c r="A2" s="37" t="s">
        <v>67</v>
      </c>
      <c r="J2" s="2"/>
      <c r="K2" s="2"/>
      <c r="L2" s="2"/>
      <c r="M2" s="2"/>
    </row>
    <row r="3" spans="1:13" ht="15.75" customHeight="1">
      <c r="A3" s="177" t="s">
        <v>261</v>
      </c>
      <c r="B3" s="177"/>
      <c r="C3" s="177"/>
      <c r="D3" s="177"/>
      <c r="E3" s="177"/>
      <c r="F3" s="177"/>
      <c r="G3" s="177"/>
      <c r="H3" s="177"/>
      <c r="I3" s="177"/>
      <c r="J3" s="3"/>
      <c r="K3" s="3"/>
      <c r="L3" s="3"/>
    </row>
    <row r="4" spans="1:13" ht="31.5" customHeight="1">
      <c r="A4" s="178" t="s">
        <v>159</v>
      </c>
      <c r="B4" s="178"/>
      <c r="C4" s="178"/>
      <c r="D4" s="178"/>
      <c r="E4" s="178"/>
      <c r="F4" s="178"/>
      <c r="G4" s="178"/>
      <c r="H4" s="178"/>
      <c r="I4" s="178"/>
    </row>
    <row r="5" spans="1:13" ht="15.75">
      <c r="A5" s="177" t="s">
        <v>262</v>
      </c>
      <c r="B5" s="179"/>
      <c r="C5" s="179"/>
      <c r="D5" s="179"/>
      <c r="E5" s="179"/>
      <c r="F5" s="179"/>
      <c r="G5" s="179"/>
      <c r="H5" s="179"/>
      <c r="I5" s="179"/>
      <c r="J5" s="2"/>
      <c r="K5" s="2"/>
      <c r="L5" s="2"/>
      <c r="M5" s="2"/>
    </row>
    <row r="6" spans="1:13" ht="15.75">
      <c r="A6" s="2"/>
      <c r="B6" s="116"/>
      <c r="C6" s="116"/>
      <c r="D6" s="116"/>
      <c r="E6" s="116"/>
      <c r="F6" s="116"/>
      <c r="G6" s="116"/>
      <c r="H6" s="116"/>
      <c r="I6" s="39">
        <v>42551</v>
      </c>
      <c r="J6" s="2"/>
      <c r="K6" s="2"/>
      <c r="L6" s="2"/>
      <c r="M6" s="2"/>
    </row>
    <row r="7" spans="1:13" ht="15.75">
      <c r="B7" s="117"/>
      <c r="C7" s="117"/>
      <c r="D7" s="117"/>
      <c r="E7" s="3"/>
      <c r="F7" s="3"/>
      <c r="G7" s="3"/>
      <c r="H7" s="3"/>
      <c r="J7" s="3"/>
      <c r="K7" s="3"/>
      <c r="L7" s="3"/>
      <c r="M7" s="3"/>
    </row>
    <row r="8" spans="1:13" ht="87" customHeight="1">
      <c r="A8" s="180" t="s">
        <v>174</v>
      </c>
      <c r="B8" s="180"/>
      <c r="C8" s="180"/>
      <c r="D8" s="180"/>
      <c r="E8" s="180"/>
      <c r="F8" s="180"/>
      <c r="G8" s="180"/>
      <c r="H8" s="180"/>
      <c r="I8" s="180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55.5" customHeight="1">
      <c r="A10" s="181" t="s">
        <v>173</v>
      </c>
      <c r="B10" s="181"/>
      <c r="C10" s="181"/>
      <c r="D10" s="181"/>
      <c r="E10" s="181"/>
      <c r="F10" s="181"/>
      <c r="G10" s="181"/>
      <c r="H10" s="181"/>
      <c r="I10" s="181"/>
      <c r="J10" s="2"/>
      <c r="K10" s="2"/>
      <c r="L10" s="2"/>
      <c r="M10" s="2"/>
    </row>
    <row r="11" spans="1:13" ht="15.75">
      <c r="A11" s="4"/>
    </row>
    <row r="12" spans="1:13" ht="4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182" t="s">
        <v>63</v>
      </c>
      <c r="B14" s="182"/>
      <c r="C14" s="182"/>
      <c r="D14" s="182"/>
      <c r="E14" s="182"/>
      <c r="F14" s="182"/>
      <c r="G14" s="182"/>
      <c r="H14" s="182"/>
      <c r="I14" s="182"/>
      <c r="J14" s="8"/>
      <c r="K14" s="8"/>
      <c r="L14" s="8"/>
      <c r="M14" s="8"/>
    </row>
    <row r="15" spans="1:13" ht="15" customHeight="1">
      <c r="A15" s="173" t="s">
        <v>4</v>
      </c>
      <c r="B15" s="173"/>
      <c r="C15" s="173"/>
      <c r="D15" s="173"/>
      <c r="E15" s="173"/>
      <c r="F15" s="173"/>
      <c r="G15" s="173"/>
      <c r="H15" s="173"/>
      <c r="I15" s="173"/>
      <c r="J15" s="8"/>
      <c r="K15" s="8"/>
      <c r="L15" s="8"/>
      <c r="M15" s="8"/>
    </row>
    <row r="16" spans="1:13" ht="31.5" customHeight="1">
      <c r="A16" s="38">
        <v>1</v>
      </c>
      <c r="B16" s="131" t="s">
        <v>99</v>
      </c>
      <c r="C16" s="132" t="s">
        <v>100</v>
      </c>
      <c r="D16" s="131" t="s">
        <v>101</v>
      </c>
      <c r="E16" s="133">
        <v>208.08</v>
      </c>
      <c r="F16" s="134">
        <f>SUM(E16*156/100)</f>
        <v>324.60480000000001</v>
      </c>
      <c r="G16" s="134">
        <v>175.38</v>
      </c>
      <c r="H16" s="135">
        <f t="shared" ref="H16:H25" si="0">SUM(F16*G16/1000)</f>
        <v>56.929189823999998</v>
      </c>
      <c r="I16" s="16">
        <f>F16/12*G16</f>
        <v>4744.0991519999998</v>
      </c>
      <c r="J16" s="30"/>
      <c r="K16" s="8"/>
      <c r="L16" s="8"/>
      <c r="M16" s="8"/>
    </row>
    <row r="17" spans="1:13" ht="31.5" customHeight="1">
      <c r="A17" s="38">
        <v>2</v>
      </c>
      <c r="B17" s="131" t="s">
        <v>135</v>
      </c>
      <c r="C17" s="132" t="s">
        <v>100</v>
      </c>
      <c r="D17" s="131" t="s">
        <v>102</v>
      </c>
      <c r="E17" s="133">
        <v>832.32</v>
      </c>
      <c r="F17" s="134">
        <f>SUM(E17*104/100)</f>
        <v>865.61279999999999</v>
      </c>
      <c r="G17" s="134">
        <v>175.38</v>
      </c>
      <c r="H17" s="135">
        <f t="shared" si="0"/>
        <v>151.81117286399999</v>
      </c>
      <c r="I17" s="16">
        <f>F17/12*G17</f>
        <v>12650.931071999999</v>
      </c>
      <c r="J17" s="31"/>
      <c r="K17" s="8"/>
      <c r="L17" s="8"/>
      <c r="M17" s="8"/>
    </row>
    <row r="18" spans="1:13" ht="31.5" customHeight="1">
      <c r="A18" s="38">
        <v>3</v>
      </c>
      <c r="B18" s="131" t="s">
        <v>136</v>
      </c>
      <c r="C18" s="132" t="s">
        <v>100</v>
      </c>
      <c r="D18" s="131" t="s">
        <v>240</v>
      </c>
      <c r="E18" s="133">
        <v>1040.4000000000001</v>
      </c>
      <c r="F18" s="134">
        <f>SUM(E18*24/100)</f>
        <v>249.69600000000003</v>
      </c>
      <c r="G18" s="134">
        <v>504.5</v>
      </c>
      <c r="H18" s="135">
        <f t="shared" si="0"/>
        <v>125.97163200000001</v>
      </c>
      <c r="I18" s="16">
        <f>F18/12*G18</f>
        <v>10497.636000000002</v>
      </c>
      <c r="J18" s="31"/>
      <c r="K18" s="8"/>
      <c r="L18" s="8"/>
      <c r="M18" s="8"/>
    </row>
    <row r="19" spans="1:13" ht="15.75" hidden="1" customHeight="1">
      <c r="A19" s="38"/>
      <c r="B19" s="131" t="s">
        <v>109</v>
      </c>
      <c r="C19" s="132" t="s">
        <v>110</v>
      </c>
      <c r="D19" s="131" t="s">
        <v>111</v>
      </c>
      <c r="E19" s="133">
        <v>48</v>
      </c>
      <c r="F19" s="134">
        <f>SUM(E19/10)</f>
        <v>4.8</v>
      </c>
      <c r="G19" s="134">
        <v>170.16</v>
      </c>
      <c r="H19" s="135">
        <f t="shared" si="0"/>
        <v>0.81676799999999994</v>
      </c>
      <c r="I19" s="16">
        <v>0</v>
      </c>
      <c r="J19" s="31"/>
      <c r="K19" s="8"/>
      <c r="L19" s="8"/>
      <c r="M19" s="8"/>
    </row>
    <row r="20" spans="1:13" ht="15.75" customHeight="1">
      <c r="A20" s="38">
        <v>4</v>
      </c>
      <c r="B20" s="131" t="s">
        <v>112</v>
      </c>
      <c r="C20" s="132" t="s">
        <v>100</v>
      </c>
      <c r="D20" s="131" t="s">
        <v>138</v>
      </c>
      <c r="E20" s="133">
        <v>30.6</v>
      </c>
      <c r="F20" s="134">
        <f>SUM(E20*12/100)</f>
        <v>3.6720000000000006</v>
      </c>
      <c r="G20" s="134">
        <v>217.88</v>
      </c>
      <c r="H20" s="135">
        <f t="shared" si="0"/>
        <v>0.8000553600000001</v>
      </c>
      <c r="I20" s="16">
        <f>F20/12*G20</f>
        <v>66.67128000000001</v>
      </c>
      <c r="J20" s="31"/>
      <c r="K20" s="8"/>
      <c r="L20" s="8"/>
      <c r="M20" s="8"/>
    </row>
    <row r="21" spans="1:13" ht="15.75" customHeight="1">
      <c r="A21" s="38">
        <v>5</v>
      </c>
      <c r="B21" s="131" t="s">
        <v>113</v>
      </c>
      <c r="C21" s="132" t="s">
        <v>100</v>
      </c>
      <c r="D21" s="131" t="s">
        <v>30</v>
      </c>
      <c r="E21" s="133">
        <v>10.06</v>
      </c>
      <c r="F21" s="134">
        <f>SUM(E21*12/100)</f>
        <v>1.2072000000000001</v>
      </c>
      <c r="G21" s="134">
        <v>216.12</v>
      </c>
      <c r="H21" s="135">
        <f t="shared" si="0"/>
        <v>0.26090006400000004</v>
      </c>
      <c r="I21" s="16">
        <f>F21/12*G21</f>
        <v>21.741672000000001</v>
      </c>
      <c r="J21" s="31"/>
      <c r="K21" s="8"/>
      <c r="L21" s="8"/>
      <c r="M21" s="8"/>
    </row>
    <row r="22" spans="1:13" ht="15.75" hidden="1" customHeight="1">
      <c r="A22" s="38"/>
      <c r="B22" s="131" t="s">
        <v>114</v>
      </c>
      <c r="C22" s="132" t="s">
        <v>55</v>
      </c>
      <c r="D22" s="131" t="s">
        <v>111</v>
      </c>
      <c r="E22" s="133">
        <v>769.2</v>
      </c>
      <c r="F22" s="134">
        <f>SUM(E22/100)</f>
        <v>7.6920000000000002</v>
      </c>
      <c r="G22" s="134">
        <v>269.26</v>
      </c>
      <c r="H22" s="135">
        <f t="shared" si="0"/>
        <v>2.07114792</v>
      </c>
      <c r="I22" s="16">
        <v>0</v>
      </c>
      <c r="J22" s="31"/>
      <c r="K22" s="8"/>
      <c r="L22" s="8"/>
      <c r="M22" s="8"/>
    </row>
    <row r="23" spans="1:13" ht="15.75" hidden="1" customHeight="1">
      <c r="A23" s="38"/>
      <c r="B23" s="131" t="s">
        <v>115</v>
      </c>
      <c r="C23" s="132" t="s">
        <v>55</v>
      </c>
      <c r="D23" s="131" t="s">
        <v>111</v>
      </c>
      <c r="E23" s="136">
        <v>35.28</v>
      </c>
      <c r="F23" s="134">
        <f>SUM(E23/100)</f>
        <v>0.3528</v>
      </c>
      <c r="G23" s="134">
        <v>44.29</v>
      </c>
      <c r="H23" s="135">
        <f t="shared" si="0"/>
        <v>1.5625512000000001E-2</v>
      </c>
      <c r="I23" s="16">
        <v>0</v>
      </c>
      <c r="J23" s="31"/>
      <c r="K23" s="8"/>
      <c r="L23" s="8"/>
      <c r="M23" s="8"/>
    </row>
    <row r="24" spans="1:13" ht="15.75" customHeight="1">
      <c r="A24" s="38">
        <v>6</v>
      </c>
      <c r="B24" s="131" t="s">
        <v>116</v>
      </c>
      <c r="C24" s="132" t="s">
        <v>55</v>
      </c>
      <c r="D24" s="131" t="s">
        <v>30</v>
      </c>
      <c r="E24" s="133">
        <v>10.8</v>
      </c>
      <c r="F24" s="134">
        <f>E24*12/100</f>
        <v>1.2960000000000003</v>
      </c>
      <c r="G24" s="134">
        <v>389.72</v>
      </c>
      <c r="H24" s="135">
        <f t="shared" si="0"/>
        <v>0.50507712000000016</v>
      </c>
      <c r="I24" s="16">
        <f>F24/12*G24</f>
        <v>42.089760000000012</v>
      </c>
      <c r="J24" s="31"/>
      <c r="K24" s="8"/>
      <c r="L24" s="8"/>
      <c r="M24" s="8"/>
    </row>
    <row r="25" spans="1:13" ht="15.75" customHeight="1">
      <c r="A25" s="38">
        <v>7</v>
      </c>
      <c r="B25" s="131" t="s">
        <v>117</v>
      </c>
      <c r="C25" s="132" t="s">
        <v>55</v>
      </c>
      <c r="D25" s="131" t="s">
        <v>139</v>
      </c>
      <c r="E25" s="133">
        <v>21.6</v>
      </c>
      <c r="F25" s="134">
        <f>SUM(E25*12/100)</f>
        <v>2.5920000000000005</v>
      </c>
      <c r="G25" s="134">
        <v>520.79999999999995</v>
      </c>
      <c r="H25" s="135">
        <f t="shared" si="0"/>
        <v>1.3499136</v>
      </c>
      <c r="I25" s="16">
        <f>F25/12*G25</f>
        <v>112.49280000000002</v>
      </c>
      <c r="J25" s="31"/>
      <c r="K25" s="8"/>
      <c r="L25" s="8"/>
      <c r="M25" s="8"/>
    </row>
    <row r="26" spans="1:13" ht="15.75" customHeight="1">
      <c r="A26" s="38">
        <v>8</v>
      </c>
      <c r="B26" s="131" t="s">
        <v>69</v>
      </c>
      <c r="C26" s="132" t="s">
        <v>33</v>
      </c>
      <c r="D26" s="131" t="s">
        <v>140</v>
      </c>
      <c r="E26" s="133">
        <v>0.1</v>
      </c>
      <c r="F26" s="134">
        <f>SUM(E26*365)</f>
        <v>36.5</v>
      </c>
      <c r="G26" s="134">
        <v>147.03</v>
      </c>
      <c r="H26" s="135">
        <f>SUM(F26*G26/1000)</f>
        <v>5.3665950000000002</v>
      </c>
      <c r="I26" s="16">
        <f>F26/12*G26</f>
        <v>447.21625</v>
      </c>
      <c r="J26" s="32"/>
    </row>
    <row r="27" spans="1:13" ht="15.75" customHeight="1">
      <c r="A27" s="38">
        <v>9</v>
      </c>
      <c r="B27" s="139" t="s">
        <v>23</v>
      </c>
      <c r="C27" s="132" t="s">
        <v>24</v>
      </c>
      <c r="D27" s="139" t="s">
        <v>179</v>
      </c>
      <c r="E27" s="133">
        <v>6980.3</v>
      </c>
      <c r="F27" s="134">
        <f>SUM(E27*12)</f>
        <v>83763.600000000006</v>
      </c>
      <c r="G27" s="134">
        <v>4.4000000000000004</v>
      </c>
      <c r="H27" s="135">
        <f>SUM(F27*G27/1000)</f>
        <v>368.55984000000007</v>
      </c>
      <c r="I27" s="16">
        <f>F27/12*G27</f>
        <v>30713.320000000003</v>
      </c>
      <c r="J27" s="32"/>
    </row>
    <row r="28" spans="1:13" ht="15" customHeight="1">
      <c r="A28" s="173" t="s">
        <v>95</v>
      </c>
      <c r="B28" s="173"/>
      <c r="C28" s="173"/>
      <c r="D28" s="173"/>
      <c r="E28" s="173"/>
      <c r="F28" s="173"/>
      <c r="G28" s="173"/>
      <c r="H28" s="173"/>
      <c r="I28" s="173"/>
      <c r="J28" s="31"/>
      <c r="K28" s="8"/>
      <c r="L28" s="8"/>
      <c r="M28" s="8"/>
    </row>
    <row r="29" spans="1:13" ht="15.75" customHeight="1">
      <c r="A29" s="38"/>
      <c r="B29" s="155" t="s">
        <v>28</v>
      </c>
      <c r="C29" s="132"/>
      <c r="D29" s="131"/>
      <c r="E29" s="133"/>
      <c r="F29" s="134"/>
      <c r="G29" s="134"/>
      <c r="H29" s="135"/>
      <c r="I29" s="16"/>
      <c r="J29" s="31"/>
      <c r="K29" s="8"/>
      <c r="L29" s="8"/>
      <c r="M29" s="8"/>
    </row>
    <row r="30" spans="1:13" ht="31.5" customHeight="1">
      <c r="A30" s="38">
        <v>10</v>
      </c>
      <c r="B30" s="131" t="s">
        <v>121</v>
      </c>
      <c r="C30" s="132" t="s">
        <v>104</v>
      </c>
      <c r="D30" s="131" t="s">
        <v>118</v>
      </c>
      <c r="E30" s="134">
        <v>1168.05</v>
      </c>
      <c r="F30" s="134">
        <f>SUM(E30*52/1000)</f>
        <v>60.738599999999998</v>
      </c>
      <c r="G30" s="134">
        <v>155.88999999999999</v>
      </c>
      <c r="H30" s="135">
        <f t="shared" ref="H30:H36" si="1">SUM(F30*G30/1000)</f>
        <v>9.4685403539999982</v>
      </c>
      <c r="I30" s="16">
        <f>F30/6*G30</f>
        <v>1578.0900589999997</v>
      </c>
      <c r="J30" s="31"/>
      <c r="K30" s="8"/>
      <c r="L30" s="8"/>
      <c r="M30" s="8"/>
    </row>
    <row r="31" spans="1:13" ht="31.5" customHeight="1">
      <c r="A31" s="38">
        <v>11</v>
      </c>
      <c r="B31" s="131" t="s">
        <v>142</v>
      </c>
      <c r="C31" s="132" t="s">
        <v>104</v>
      </c>
      <c r="D31" s="131" t="s">
        <v>119</v>
      </c>
      <c r="E31" s="134">
        <v>1039.2</v>
      </c>
      <c r="F31" s="134">
        <f>SUM(E31*78/1000)</f>
        <v>81.057600000000008</v>
      </c>
      <c r="G31" s="134">
        <v>258.63</v>
      </c>
      <c r="H31" s="135">
        <f t="shared" si="1"/>
        <v>20.963927088000002</v>
      </c>
      <c r="I31" s="16">
        <f t="shared" ref="I31:I34" si="2">F31/6*G31</f>
        <v>3493.9878480000002</v>
      </c>
      <c r="J31" s="31"/>
      <c r="K31" s="8"/>
      <c r="L31" s="8"/>
      <c r="M31" s="8"/>
    </row>
    <row r="32" spans="1:13" ht="15.75" hidden="1" customHeight="1">
      <c r="A32" s="38">
        <v>16</v>
      </c>
      <c r="B32" s="131" t="s">
        <v>27</v>
      </c>
      <c r="C32" s="132" t="s">
        <v>104</v>
      </c>
      <c r="D32" s="131" t="s">
        <v>56</v>
      </c>
      <c r="E32" s="134">
        <v>584.03</v>
      </c>
      <c r="F32" s="134">
        <f>SUM(E32/1000)</f>
        <v>0.58402999999999994</v>
      </c>
      <c r="G32" s="134">
        <v>3020.33</v>
      </c>
      <c r="H32" s="135">
        <f t="shared" si="1"/>
        <v>1.7639633298999997</v>
      </c>
      <c r="I32" s="16">
        <f>F32*G32</f>
        <v>1763.9633298999997</v>
      </c>
      <c r="J32" s="31"/>
      <c r="K32" s="8"/>
      <c r="L32" s="8"/>
      <c r="M32" s="8"/>
    </row>
    <row r="33" spans="1:14" ht="15.75" customHeight="1">
      <c r="A33" s="38">
        <v>12</v>
      </c>
      <c r="B33" s="131" t="s">
        <v>141</v>
      </c>
      <c r="C33" s="132" t="s">
        <v>39</v>
      </c>
      <c r="D33" s="131" t="s">
        <v>68</v>
      </c>
      <c r="E33" s="134">
        <v>6</v>
      </c>
      <c r="F33" s="134">
        <f>E33*155/100</f>
        <v>9.3000000000000007</v>
      </c>
      <c r="G33" s="134">
        <v>1302.02</v>
      </c>
      <c r="H33" s="135">
        <f>G33*F33/1000</f>
        <v>12.108786</v>
      </c>
      <c r="I33" s="16">
        <f t="shared" si="2"/>
        <v>2018.1310000000001</v>
      </c>
      <c r="J33" s="31"/>
      <c r="K33" s="8"/>
      <c r="L33" s="8"/>
      <c r="M33" s="8"/>
    </row>
    <row r="34" spans="1:14" ht="15.75" customHeight="1">
      <c r="A34" s="38">
        <v>13</v>
      </c>
      <c r="B34" s="131" t="s">
        <v>120</v>
      </c>
      <c r="C34" s="132" t="s">
        <v>31</v>
      </c>
      <c r="D34" s="131" t="s">
        <v>68</v>
      </c>
      <c r="E34" s="138">
        <v>0.33333333333333331</v>
      </c>
      <c r="F34" s="134">
        <f>155/3</f>
        <v>51.666666666666664</v>
      </c>
      <c r="G34" s="134">
        <v>56.69</v>
      </c>
      <c r="H34" s="135">
        <f>SUM(G34*155/3/1000)</f>
        <v>2.9289833333333331</v>
      </c>
      <c r="I34" s="16">
        <f t="shared" si="2"/>
        <v>488.16388888888883</v>
      </c>
      <c r="J34" s="31"/>
      <c r="K34" s="8"/>
    </row>
    <row r="35" spans="1:14" ht="15.75" hidden="1" customHeight="1">
      <c r="A35" s="38"/>
      <c r="B35" s="131" t="s">
        <v>70</v>
      </c>
      <c r="C35" s="132" t="s">
        <v>33</v>
      </c>
      <c r="D35" s="131" t="s">
        <v>72</v>
      </c>
      <c r="E35" s="133"/>
      <c r="F35" s="134">
        <v>4</v>
      </c>
      <c r="G35" s="134">
        <v>180.15</v>
      </c>
      <c r="H35" s="135">
        <f t="shared" si="1"/>
        <v>0.72060000000000002</v>
      </c>
      <c r="I35" s="16">
        <v>0</v>
      </c>
      <c r="J35" s="32"/>
    </row>
    <row r="36" spans="1:14" ht="15.75" hidden="1" customHeight="1">
      <c r="A36" s="38"/>
      <c r="B36" s="131" t="s">
        <v>71</v>
      </c>
      <c r="C36" s="132" t="s">
        <v>32</v>
      </c>
      <c r="D36" s="131" t="s">
        <v>72</v>
      </c>
      <c r="E36" s="133"/>
      <c r="F36" s="134">
        <v>3</v>
      </c>
      <c r="G36" s="134">
        <v>1136.33</v>
      </c>
      <c r="H36" s="135">
        <f t="shared" si="1"/>
        <v>3.4089899999999997</v>
      </c>
      <c r="I36" s="16">
        <v>0</v>
      </c>
      <c r="J36" s="32"/>
    </row>
    <row r="37" spans="1:14" ht="15.75" hidden="1" customHeight="1">
      <c r="A37" s="38"/>
      <c r="B37" s="155" t="s">
        <v>5</v>
      </c>
      <c r="C37" s="132"/>
      <c r="D37" s="131"/>
      <c r="E37" s="133"/>
      <c r="F37" s="134"/>
      <c r="G37" s="134"/>
      <c r="H37" s="135" t="s">
        <v>179</v>
      </c>
      <c r="I37" s="16"/>
      <c r="J37" s="32"/>
    </row>
    <row r="38" spans="1:14" ht="15.75" hidden="1" customHeight="1">
      <c r="A38" s="38">
        <v>10</v>
      </c>
      <c r="B38" s="131" t="s">
        <v>26</v>
      </c>
      <c r="C38" s="132" t="s">
        <v>32</v>
      </c>
      <c r="D38" s="131"/>
      <c r="E38" s="133"/>
      <c r="F38" s="134">
        <v>10</v>
      </c>
      <c r="G38" s="134">
        <v>1527.22</v>
      </c>
      <c r="H38" s="135">
        <f t="shared" ref="H38:H45" si="3">SUM(F38*G38/1000)</f>
        <v>15.272200000000002</v>
      </c>
      <c r="I38" s="16">
        <f>F38/6*G38</f>
        <v>2545.3666666666668</v>
      </c>
      <c r="J38" s="32"/>
    </row>
    <row r="39" spans="1:14" ht="15.75" hidden="1" customHeight="1">
      <c r="A39" s="38">
        <v>11</v>
      </c>
      <c r="B39" s="131" t="s">
        <v>143</v>
      </c>
      <c r="C39" s="132" t="s">
        <v>33</v>
      </c>
      <c r="D39" s="131"/>
      <c r="E39" s="133"/>
      <c r="F39" s="134">
        <v>10</v>
      </c>
      <c r="G39" s="134">
        <v>77.94</v>
      </c>
      <c r="H39" s="135">
        <f>G39*F39/1000</f>
        <v>0.77939999999999998</v>
      </c>
      <c r="I39" s="16">
        <f>F39/6*G39</f>
        <v>129.9</v>
      </c>
      <c r="J39" s="32"/>
      <c r="L39" s="25"/>
      <c r="M39" s="26"/>
      <c r="N39" s="27"/>
    </row>
    <row r="40" spans="1:14" ht="15.75" hidden="1" customHeight="1">
      <c r="A40" s="38">
        <v>12</v>
      </c>
      <c r="B40" s="131" t="s">
        <v>122</v>
      </c>
      <c r="C40" s="132" t="s">
        <v>29</v>
      </c>
      <c r="D40" s="131" t="s">
        <v>144</v>
      </c>
      <c r="E40" s="133">
        <v>1039.2</v>
      </c>
      <c r="F40" s="134">
        <f>E40*25/1000</f>
        <v>25.98</v>
      </c>
      <c r="G40" s="134">
        <v>2102.71</v>
      </c>
      <c r="H40" s="135">
        <f>G40*F40/1000</f>
        <v>54.628405800000003</v>
      </c>
      <c r="I40" s="16">
        <f>F40/6*G40</f>
        <v>9104.7343000000001</v>
      </c>
      <c r="J40" s="32"/>
      <c r="L40" s="25"/>
      <c r="M40" s="26"/>
      <c r="N40" s="27"/>
    </row>
    <row r="41" spans="1:14" ht="15.75" hidden="1" customHeight="1">
      <c r="A41" s="38"/>
      <c r="B41" s="131" t="s">
        <v>145</v>
      </c>
      <c r="C41" s="132" t="s">
        <v>146</v>
      </c>
      <c r="D41" s="131" t="s">
        <v>72</v>
      </c>
      <c r="E41" s="133"/>
      <c r="F41" s="134">
        <v>50</v>
      </c>
      <c r="G41" s="134">
        <v>213.2</v>
      </c>
      <c r="H41" s="135">
        <f>G41*F41/1000</f>
        <v>10.66</v>
      </c>
      <c r="I41" s="16">
        <v>0</v>
      </c>
      <c r="J41" s="32"/>
      <c r="L41" s="25"/>
      <c r="M41" s="26"/>
      <c r="N41" s="27"/>
    </row>
    <row r="42" spans="1:14" ht="15.75" hidden="1" customHeight="1">
      <c r="A42" s="38">
        <v>13</v>
      </c>
      <c r="B42" s="131" t="s">
        <v>73</v>
      </c>
      <c r="C42" s="132" t="s">
        <v>29</v>
      </c>
      <c r="D42" s="131" t="s">
        <v>103</v>
      </c>
      <c r="E42" s="134">
        <v>153</v>
      </c>
      <c r="F42" s="134">
        <f>SUM(E42*155/1000)</f>
        <v>23.715</v>
      </c>
      <c r="G42" s="134">
        <v>350.75</v>
      </c>
      <c r="H42" s="135">
        <f t="shared" si="3"/>
        <v>8.3180362499999987</v>
      </c>
      <c r="I42" s="16">
        <f>F42/6*G42</f>
        <v>1386.339375</v>
      </c>
      <c r="J42" s="32"/>
      <c r="L42" s="25"/>
      <c r="M42" s="26"/>
      <c r="N42" s="27"/>
    </row>
    <row r="43" spans="1:14" ht="47.25" hidden="1" customHeight="1">
      <c r="A43" s="38">
        <v>14</v>
      </c>
      <c r="B43" s="131" t="s">
        <v>91</v>
      </c>
      <c r="C43" s="132" t="s">
        <v>104</v>
      </c>
      <c r="D43" s="131" t="s">
        <v>147</v>
      </c>
      <c r="E43" s="134">
        <v>24</v>
      </c>
      <c r="F43" s="134">
        <f>SUM(E43*50/1000)</f>
        <v>1.2</v>
      </c>
      <c r="G43" s="134">
        <v>5803.28</v>
      </c>
      <c r="H43" s="135">
        <f t="shared" si="3"/>
        <v>6.9639359999999995</v>
      </c>
      <c r="I43" s="16">
        <f>F43/6*G43</f>
        <v>1160.6559999999999</v>
      </c>
      <c r="J43" s="32"/>
      <c r="L43" s="25"/>
      <c r="M43" s="26"/>
      <c r="N43" s="27"/>
    </row>
    <row r="44" spans="1:14" ht="15.75" hidden="1" customHeight="1">
      <c r="A44" s="38">
        <v>15</v>
      </c>
      <c r="B44" s="131" t="s">
        <v>105</v>
      </c>
      <c r="C44" s="132" t="s">
        <v>104</v>
      </c>
      <c r="D44" s="131" t="s">
        <v>74</v>
      </c>
      <c r="E44" s="134">
        <v>153</v>
      </c>
      <c r="F44" s="134">
        <f>SUM(E44*45/1000)</f>
        <v>6.8849999999999998</v>
      </c>
      <c r="G44" s="134">
        <v>428.7</v>
      </c>
      <c r="H44" s="135">
        <f t="shared" si="3"/>
        <v>2.9515994999999999</v>
      </c>
      <c r="I44" s="16">
        <f>F44/6*G44</f>
        <v>491.93324999999999</v>
      </c>
      <c r="J44" s="32"/>
      <c r="L44" s="25"/>
      <c r="M44" s="26"/>
      <c r="N44" s="27"/>
    </row>
    <row r="45" spans="1:14" ht="15.75" hidden="1" customHeight="1">
      <c r="A45" s="38">
        <v>16</v>
      </c>
      <c r="B45" s="131" t="s">
        <v>75</v>
      </c>
      <c r="C45" s="132" t="s">
        <v>33</v>
      </c>
      <c r="D45" s="131"/>
      <c r="E45" s="133"/>
      <c r="F45" s="134">
        <v>0.9</v>
      </c>
      <c r="G45" s="134">
        <v>798</v>
      </c>
      <c r="H45" s="135">
        <f t="shared" si="3"/>
        <v>0.71820000000000006</v>
      </c>
      <c r="I45" s="16">
        <f>F45/6*G45</f>
        <v>119.69999999999999</v>
      </c>
      <c r="J45" s="32"/>
      <c r="L45" s="25"/>
      <c r="M45" s="26"/>
      <c r="N45" s="27"/>
    </row>
    <row r="46" spans="1:14" ht="15" hidden="1" customHeight="1">
      <c r="A46" s="174" t="s">
        <v>175</v>
      </c>
      <c r="B46" s="175"/>
      <c r="C46" s="175"/>
      <c r="D46" s="175"/>
      <c r="E46" s="175"/>
      <c r="F46" s="175"/>
      <c r="G46" s="175"/>
      <c r="H46" s="175"/>
      <c r="I46" s="176"/>
      <c r="J46" s="32"/>
      <c r="L46" s="25"/>
      <c r="M46" s="26"/>
      <c r="N46" s="27"/>
    </row>
    <row r="47" spans="1:14" ht="15.75" hidden="1" customHeight="1">
      <c r="A47" s="38"/>
      <c r="B47" s="131" t="s">
        <v>148</v>
      </c>
      <c r="C47" s="132" t="s">
        <v>104</v>
      </c>
      <c r="D47" s="131" t="s">
        <v>42</v>
      </c>
      <c r="E47" s="133">
        <v>1895</v>
      </c>
      <c r="F47" s="134">
        <f>SUM(E47*2/1000)</f>
        <v>3.79</v>
      </c>
      <c r="G47" s="16">
        <v>849.49</v>
      </c>
      <c r="H47" s="135">
        <f t="shared" ref="H47:H55" si="4">SUM(F47*G47/1000)</f>
        <v>3.2195671000000003</v>
      </c>
      <c r="I47" s="16">
        <v>0</v>
      </c>
      <c r="J47" s="32"/>
      <c r="L47" s="25"/>
      <c r="M47" s="26"/>
      <c r="N47" s="27"/>
    </row>
    <row r="48" spans="1:14" ht="15.75" hidden="1" customHeight="1">
      <c r="A48" s="38"/>
      <c r="B48" s="131" t="s">
        <v>34</v>
      </c>
      <c r="C48" s="132" t="s">
        <v>104</v>
      </c>
      <c r="D48" s="131" t="s">
        <v>42</v>
      </c>
      <c r="E48" s="133">
        <v>118.2</v>
      </c>
      <c r="F48" s="134">
        <f>E48*2/1000</f>
        <v>0.2364</v>
      </c>
      <c r="G48" s="16">
        <v>579.48</v>
      </c>
      <c r="H48" s="135">
        <f t="shared" si="4"/>
        <v>0.13698907199999999</v>
      </c>
      <c r="I48" s="16">
        <v>0</v>
      </c>
      <c r="J48" s="32"/>
      <c r="L48" s="25"/>
      <c r="M48" s="26"/>
      <c r="N48" s="27"/>
    </row>
    <row r="49" spans="1:22" ht="15.75" hidden="1" customHeight="1">
      <c r="A49" s="38"/>
      <c r="B49" s="131" t="s">
        <v>35</v>
      </c>
      <c r="C49" s="132" t="s">
        <v>104</v>
      </c>
      <c r="D49" s="131" t="s">
        <v>42</v>
      </c>
      <c r="E49" s="133">
        <v>4675</v>
      </c>
      <c r="F49" s="134">
        <f>SUM(E49*2/1000)</f>
        <v>9.35</v>
      </c>
      <c r="G49" s="16">
        <v>579.48</v>
      </c>
      <c r="H49" s="135">
        <f t="shared" si="4"/>
        <v>5.4181379999999999</v>
      </c>
      <c r="I49" s="16">
        <v>0</v>
      </c>
      <c r="J49" s="32"/>
      <c r="L49" s="25"/>
      <c r="M49" s="26"/>
      <c r="N49" s="27"/>
    </row>
    <row r="50" spans="1:22" ht="15.75" hidden="1" customHeight="1">
      <c r="A50" s="38"/>
      <c r="B50" s="131" t="s">
        <v>36</v>
      </c>
      <c r="C50" s="132" t="s">
        <v>104</v>
      </c>
      <c r="D50" s="131" t="s">
        <v>42</v>
      </c>
      <c r="E50" s="133">
        <v>4675</v>
      </c>
      <c r="F50" s="134">
        <f>SUM(E50*2/1000)</f>
        <v>9.35</v>
      </c>
      <c r="G50" s="16">
        <v>606.77</v>
      </c>
      <c r="H50" s="135">
        <f t="shared" si="4"/>
        <v>5.6732994999999988</v>
      </c>
      <c r="I50" s="16">
        <v>0</v>
      </c>
      <c r="J50" s="32"/>
      <c r="L50" s="25"/>
      <c r="M50" s="26"/>
      <c r="N50" s="27"/>
    </row>
    <row r="51" spans="1:22" ht="15.75" hidden="1" customHeight="1">
      <c r="A51" s="38">
        <v>17</v>
      </c>
      <c r="B51" s="131" t="s">
        <v>60</v>
      </c>
      <c r="C51" s="132" t="s">
        <v>104</v>
      </c>
      <c r="D51" s="131" t="s">
        <v>241</v>
      </c>
      <c r="E51" s="133">
        <v>3988</v>
      </c>
      <c r="F51" s="134">
        <f>SUM(E51*5/1000)</f>
        <v>19.940000000000001</v>
      </c>
      <c r="G51" s="16">
        <v>1142.7</v>
      </c>
      <c r="H51" s="135">
        <f t="shared" si="4"/>
        <v>22.785438000000003</v>
      </c>
      <c r="I51" s="16">
        <f>F51/5*G51</f>
        <v>4557.0876000000007</v>
      </c>
      <c r="J51" s="32"/>
      <c r="L51" s="25"/>
      <c r="M51" s="26"/>
      <c r="N51" s="27"/>
    </row>
    <row r="52" spans="1:22" ht="31.5" hidden="1" customHeight="1">
      <c r="A52" s="38"/>
      <c r="B52" s="131" t="s">
        <v>106</v>
      </c>
      <c r="C52" s="132" t="s">
        <v>104</v>
      </c>
      <c r="D52" s="131" t="s">
        <v>42</v>
      </c>
      <c r="E52" s="133">
        <v>3988</v>
      </c>
      <c r="F52" s="134">
        <f>SUM(E52*2/1000)</f>
        <v>7.976</v>
      </c>
      <c r="G52" s="16">
        <v>1213.55</v>
      </c>
      <c r="H52" s="135">
        <f t="shared" si="4"/>
        <v>9.6792748</v>
      </c>
      <c r="I52" s="16">
        <v>0</v>
      </c>
      <c r="J52" s="32"/>
      <c r="L52" s="25"/>
      <c r="M52" s="26"/>
      <c r="N52" s="27"/>
    </row>
    <row r="53" spans="1:22" ht="31.5" hidden="1" customHeight="1">
      <c r="A53" s="38"/>
      <c r="B53" s="131" t="s">
        <v>107</v>
      </c>
      <c r="C53" s="132" t="s">
        <v>37</v>
      </c>
      <c r="D53" s="131" t="s">
        <v>42</v>
      </c>
      <c r="E53" s="133">
        <v>30</v>
      </c>
      <c r="F53" s="134">
        <f>SUM(E53*2/100)</f>
        <v>0.6</v>
      </c>
      <c r="G53" s="16">
        <v>2730.49</v>
      </c>
      <c r="H53" s="135">
        <f>SUM(F53*G53/1000)</f>
        <v>1.6382939999999999</v>
      </c>
      <c r="I53" s="16">
        <v>0</v>
      </c>
      <c r="J53" s="32"/>
      <c r="L53" s="25"/>
      <c r="M53" s="26"/>
      <c r="N53" s="27"/>
    </row>
    <row r="54" spans="1:22" ht="15.75" hidden="1" customHeight="1">
      <c r="A54" s="38"/>
      <c r="B54" s="131" t="s">
        <v>38</v>
      </c>
      <c r="C54" s="132" t="s">
        <v>39</v>
      </c>
      <c r="D54" s="131" t="s">
        <v>42</v>
      </c>
      <c r="E54" s="133">
        <v>1</v>
      </c>
      <c r="F54" s="134">
        <v>0.02</v>
      </c>
      <c r="G54" s="16">
        <v>5652.13</v>
      </c>
      <c r="H54" s="135">
        <f t="shared" si="4"/>
        <v>0.11304260000000001</v>
      </c>
      <c r="I54" s="16">
        <v>0</v>
      </c>
      <c r="J54" s="32"/>
      <c r="L54" s="25"/>
      <c r="M54" s="26"/>
      <c r="N54" s="27"/>
    </row>
    <row r="55" spans="1:22" ht="15.75" hidden="1" customHeight="1">
      <c r="A55" s="38">
        <v>18</v>
      </c>
      <c r="B55" s="131" t="s">
        <v>41</v>
      </c>
      <c r="C55" s="132" t="s">
        <v>124</v>
      </c>
      <c r="D55" s="131" t="s">
        <v>76</v>
      </c>
      <c r="E55" s="133">
        <v>236</v>
      </c>
      <c r="F55" s="134">
        <f>SUM(E55)*3</f>
        <v>708</v>
      </c>
      <c r="G55" s="16">
        <v>65.67</v>
      </c>
      <c r="H55" s="135">
        <f t="shared" si="4"/>
        <v>46.49436</v>
      </c>
      <c r="I55" s="16">
        <f>E55*G55</f>
        <v>15498.12</v>
      </c>
      <c r="J55" s="32"/>
      <c r="L55" s="25"/>
      <c r="M55" s="26"/>
      <c r="N55" s="27"/>
    </row>
    <row r="56" spans="1:22" ht="15.75" customHeight="1">
      <c r="A56" s="174" t="s">
        <v>172</v>
      </c>
      <c r="B56" s="175"/>
      <c r="C56" s="175"/>
      <c r="D56" s="175"/>
      <c r="E56" s="175"/>
      <c r="F56" s="175"/>
      <c r="G56" s="175"/>
      <c r="H56" s="175"/>
      <c r="I56" s="176"/>
      <c r="J56" s="32"/>
      <c r="L56" s="25"/>
      <c r="M56" s="26"/>
      <c r="N56" s="27"/>
    </row>
    <row r="57" spans="1:22" ht="15.75" hidden="1" customHeight="1">
      <c r="A57" s="38"/>
      <c r="B57" s="155" t="s">
        <v>45</v>
      </c>
      <c r="C57" s="132"/>
      <c r="D57" s="131"/>
      <c r="E57" s="133"/>
      <c r="F57" s="134"/>
      <c r="G57" s="134"/>
      <c r="H57" s="135"/>
      <c r="I57" s="16"/>
      <c r="J57" s="32"/>
      <c r="L57" s="25"/>
      <c r="M57" s="26"/>
      <c r="N57" s="27"/>
    </row>
    <row r="58" spans="1:22" ht="31.5" hidden="1" customHeight="1">
      <c r="A58" s="38">
        <v>19</v>
      </c>
      <c r="B58" s="131" t="s">
        <v>149</v>
      </c>
      <c r="C58" s="132" t="s">
        <v>100</v>
      </c>
      <c r="D58" s="131" t="s">
        <v>125</v>
      </c>
      <c r="E58" s="133">
        <v>30</v>
      </c>
      <c r="F58" s="134">
        <f>SUM(E58*6/100)</f>
        <v>1.8</v>
      </c>
      <c r="G58" s="16">
        <v>1547.28</v>
      </c>
      <c r="H58" s="135">
        <f>SUM(F58*G58/1000)</f>
        <v>2.785104</v>
      </c>
      <c r="I58" s="16">
        <f>F58/6*G58</f>
        <v>464.18399999999997</v>
      </c>
      <c r="J58" s="32"/>
      <c r="L58" s="25"/>
    </row>
    <row r="59" spans="1:22" ht="15.75" hidden="1" customHeight="1">
      <c r="A59" s="38">
        <v>20</v>
      </c>
      <c r="B59" s="140" t="s">
        <v>150</v>
      </c>
      <c r="C59" s="141" t="s">
        <v>151</v>
      </c>
      <c r="D59" s="140" t="s">
        <v>42</v>
      </c>
      <c r="E59" s="142">
        <v>6</v>
      </c>
      <c r="F59" s="143">
        <v>12</v>
      </c>
      <c r="G59" s="16">
        <v>180.78</v>
      </c>
      <c r="H59" s="144">
        <f>G59*F59/1000</f>
        <v>2.1693600000000002</v>
      </c>
      <c r="I59" s="16">
        <f>F59/2*G59</f>
        <v>1084.68</v>
      </c>
    </row>
    <row r="60" spans="1:22" ht="15.75" hidden="1" customHeight="1">
      <c r="A60" s="38">
        <v>21</v>
      </c>
      <c r="B60" s="140" t="s">
        <v>152</v>
      </c>
      <c r="C60" s="141" t="s">
        <v>55</v>
      </c>
      <c r="D60" s="140" t="s">
        <v>40</v>
      </c>
      <c r="E60" s="142">
        <v>6</v>
      </c>
      <c r="F60" s="143">
        <f>E60*4/100</f>
        <v>0.24</v>
      </c>
      <c r="G60" s="16">
        <v>1547.28</v>
      </c>
      <c r="H60" s="144">
        <f>G60*F60/1000</f>
        <v>0.37134719999999999</v>
      </c>
      <c r="I60" s="16">
        <f>F60/4*G60</f>
        <v>92.836799999999997</v>
      </c>
    </row>
    <row r="61" spans="1:22" ht="15.75" customHeight="1">
      <c r="A61" s="38"/>
      <c r="B61" s="156" t="s">
        <v>46</v>
      </c>
      <c r="C61" s="141"/>
      <c r="D61" s="140"/>
      <c r="E61" s="142"/>
      <c r="F61" s="143"/>
      <c r="G61" s="16"/>
      <c r="H61" s="144"/>
      <c r="I61" s="16"/>
    </row>
    <row r="62" spans="1:22" ht="15.75" hidden="1" customHeight="1">
      <c r="A62" s="38">
        <v>22</v>
      </c>
      <c r="B62" s="140" t="s">
        <v>153</v>
      </c>
      <c r="C62" s="141" t="s">
        <v>55</v>
      </c>
      <c r="D62" s="140" t="s">
        <v>56</v>
      </c>
      <c r="E62" s="142">
        <v>997</v>
      </c>
      <c r="F62" s="143">
        <v>9.9700000000000006</v>
      </c>
      <c r="G62" s="16">
        <v>793.61</v>
      </c>
      <c r="H62" s="144">
        <f>F62*G62/1000</f>
        <v>7.9122917000000008</v>
      </c>
      <c r="I62" s="16">
        <f>G62*F62</f>
        <v>7912.2917000000007</v>
      </c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9"/>
    </row>
    <row r="63" spans="1:22" ht="15.75" customHeight="1">
      <c r="A63" s="38">
        <v>14</v>
      </c>
      <c r="B63" s="140" t="s">
        <v>154</v>
      </c>
      <c r="C63" s="141" t="s">
        <v>25</v>
      </c>
      <c r="D63" s="140" t="s">
        <v>30</v>
      </c>
      <c r="E63" s="142">
        <v>394</v>
      </c>
      <c r="F63" s="145">
        <f>E63*12</f>
        <v>4728</v>
      </c>
      <c r="G63" s="126">
        <v>2.6</v>
      </c>
      <c r="H63" s="143">
        <f>F63*G63/1000</f>
        <v>12.292800000000002</v>
      </c>
      <c r="I63" s="16">
        <f>F63/12*G63</f>
        <v>1024.4000000000001</v>
      </c>
      <c r="J63" s="34"/>
      <c r="K63" s="34"/>
      <c r="L63" s="3"/>
      <c r="M63" s="3"/>
      <c r="N63" s="3"/>
      <c r="O63" s="3"/>
      <c r="P63" s="3"/>
      <c r="Q63" s="3"/>
      <c r="R63" s="3"/>
      <c r="S63" s="3"/>
      <c r="T63" s="3"/>
      <c r="U63" s="3"/>
    </row>
    <row r="64" spans="1:22" ht="15.75" customHeight="1">
      <c r="A64" s="38"/>
      <c r="B64" s="156" t="s">
        <v>47</v>
      </c>
      <c r="C64" s="141"/>
      <c r="D64" s="140"/>
      <c r="E64" s="142"/>
      <c r="F64" s="145"/>
      <c r="G64" s="145"/>
      <c r="H64" s="143" t="s">
        <v>179</v>
      </c>
      <c r="I64" s="16"/>
      <c r="J64" s="3"/>
      <c r="K64" s="3"/>
      <c r="L64" s="3"/>
      <c r="M64" s="3"/>
      <c r="N64" s="3"/>
      <c r="O64" s="3"/>
      <c r="P64" s="3"/>
      <c r="Q64" s="3"/>
      <c r="S64" s="3"/>
      <c r="T64" s="3"/>
      <c r="U64" s="3"/>
    </row>
    <row r="65" spans="1:21" ht="15.75" customHeight="1">
      <c r="A65" s="38">
        <v>15</v>
      </c>
      <c r="B65" s="18" t="s">
        <v>48</v>
      </c>
      <c r="C65" s="20" t="s">
        <v>124</v>
      </c>
      <c r="D65" s="131" t="s">
        <v>72</v>
      </c>
      <c r="E65" s="23">
        <v>15</v>
      </c>
      <c r="F65" s="134">
        <v>15</v>
      </c>
      <c r="G65" s="16">
        <v>222.4</v>
      </c>
      <c r="H65" s="146">
        <f t="shared" ref="H65:H78" si="5">SUM(F65*G65/1000)</f>
        <v>3.3359999999999999</v>
      </c>
      <c r="I65" s="16">
        <f>G65</f>
        <v>222.4</v>
      </c>
      <c r="J65" s="5"/>
      <c r="K65" s="5"/>
      <c r="L65" s="5"/>
      <c r="M65" s="5"/>
      <c r="N65" s="5"/>
      <c r="O65" s="5"/>
      <c r="P65" s="5"/>
      <c r="Q65" s="5"/>
      <c r="R65" s="166"/>
      <c r="S65" s="166"/>
      <c r="T65" s="166"/>
      <c r="U65" s="166"/>
    </row>
    <row r="66" spans="1:21" ht="15.75" hidden="1" customHeight="1">
      <c r="A66" s="38">
        <v>25</v>
      </c>
      <c r="B66" s="18" t="s">
        <v>49</v>
      </c>
      <c r="C66" s="20" t="s">
        <v>124</v>
      </c>
      <c r="D66" s="131" t="s">
        <v>72</v>
      </c>
      <c r="E66" s="23">
        <v>10</v>
      </c>
      <c r="F66" s="134">
        <v>10</v>
      </c>
      <c r="G66" s="16">
        <v>76.25</v>
      </c>
      <c r="H66" s="146">
        <f t="shared" si="5"/>
        <v>0.76249999999999996</v>
      </c>
      <c r="I66" s="16">
        <f>G66</f>
        <v>76.25</v>
      </c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</row>
    <row r="67" spans="1:21" ht="15.75" hidden="1" customHeight="1">
      <c r="A67" s="38"/>
      <c r="B67" s="18" t="s">
        <v>50</v>
      </c>
      <c r="C67" s="20" t="s">
        <v>126</v>
      </c>
      <c r="D67" s="18" t="s">
        <v>56</v>
      </c>
      <c r="E67" s="133">
        <v>28608</v>
      </c>
      <c r="F67" s="16">
        <f>SUM(E67/100)</f>
        <v>286.08</v>
      </c>
      <c r="G67" s="16">
        <v>199.77</v>
      </c>
      <c r="H67" s="146">
        <f t="shared" si="5"/>
        <v>57.150201600000003</v>
      </c>
      <c r="I67" s="16">
        <f>F67*G67</f>
        <v>57150.2016</v>
      </c>
    </row>
    <row r="68" spans="1:21" ht="15.75" hidden="1" customHeight="1">
      <c r="A68" s="38"/>
      <c r="B68" s="18" t="s">
        <v>51</v>
      </c>
      <c r="C68" s="20" t="s">
        <v>127</v>
      </c>
      <c r="D68" s="18"/>
      <c r="E68" s="133">
        <v>28608</v>
      </c>
      <c r="F68" s="16">
        <f>SUM(E68/1000)</f>
        <v>28.608000000000001</v>
      </c>
      <c r="G68" s="16">
        <v>155.57</v>
      </c>
      <c r="H68" s="146">
        <f t="shared" si="5"/>
        <v>4.4505465599999994</v>
      </c>
      <c r="I68" s="16">
        <f t="shared" ref="I68:I72" si="6">F68*G68</f>
        <v>4450.5465599999998</v>
      </c>
    </row>
    <row r="69" spans="1:21" ht="15.75" hidden="1" customHeight="1">
      <c r="A69" s="38"/>
      <c r="B69" s="18" t="s">
        <v>52</v>
      </c>
      <c r="C69" s="20" t="s">
        <v>83</v>
      </c>
      <c r="D69" s="18" t="s">
        <v>56</v>
      </c>
      <c r="E69" s="133">
        <v>4550</v>
      </c>
      <c r="F69" s="16">
        <f>SUM(E69/100)</f>
        <v>45.5</v>
      </c>
      <c r="G69" s="16">
        <v>2074.63</v>
      </c>
      <c r="H69" s="146">
        <f t="shared" si="5"/>
        <v>94.395665000000008</v>
      </c>
      <c r="I69" s="16">
        <f t="shared" si="6"/>
        <v>94395.665000000008</v>
      </c>
    </row>
    <row r="70" spans="1:21" ht="15.75" hidden="1" customHeight="1">
      <c r="A70" s="38"/>
      <c r="B70" s="147" t="s">
        <v>128</v>
      </c>
      <c r="C70" s="20" t="s">
        <v>33</v>
      </c>
      <c r="D70" s="18"/>
      <c r="E70" s="133">
        <v>58.5</v>
      </c>
      <c r="F70" s="16">
        <f>SUM(E70)</f>
        <v>58.5</v>
      </c>
      <c r="G70" s="16">
        <v>45.32</v>
      </c>
      <c r="H70" s="146">
        <f t="shared" si="5"/>
        <v>2.6512199999999999</v>
      </c>
      <c r="I70" s="16">
        <f t="shared" si="6"/>
        <v>2651.22</v>
      </c>
    </row>
    <row r="71" spans="1:21" ht="15.75" hidden="1" customHeight="1">
      <c r="A71" s="38"/>
      <c r="B71" s="147" t="s">
        <v>129</v>
      </c>
      <c r="C71" s="20" t="s">
        <v>33</v>
      </c>
      <c r="D71" s="18"/>
      <c r="E71" s="133">
        <v>58.5</v>
      </c>
      <c r="F71" s="16">
        <f>SUM(E71)</f>
        <v>58.5</v>
      </c>
      <c r="G71" s="16">
        <v>42.28</v>
      </c>
      <c r="H71" s="146">
        <f t="shared" si="5"/>
        <v>2.4733800000000001</v>
      </c>
      <c r="I71" s="16">
        <f t="shared" si="6"/>
        <v>2473.38</v>
      </c>
    </row>
    <row r="72" spans="1:21" ht="15.75" hidden="1" customHeight="1">
      <c r="A72" s="38"/>
      <c r="B72" s="18" t="s">
        <v>61</v>
      </c>
      <c r="C72" s="20" t="s">
        <v>62</v>
      </c>
      <c r="D72" s="18" t="s">
        <v>56</v>
      </c>
      <c r="E72" s="23">
        <v>5</v>
      </c>
      <c r="F72" s="134">
        <v>5</v>
      </c>
      <c r="G72" s="16">
        <v>49.88</v>
      </c>
      <c r="H72" s="146">
        <f t="shared" si="5"/>
        <v>0.24940000000000001</v>
      </c>
      <c r="I72" s="16">
        <f t="shared" si="6"/>
        <v>249.4</v>
      </c>
    </row>
    <row r="73" spans="1:21" ht="15.75" hidden="1" customHeight="1">
      <c r="A73" s="38"/>
      <c r="B73" s="115" t="s">
        <v>77</v>
      </c>
      <c r="C73" s="20"/>
      <c r="D73" s="18"/>
      <c r="E73" s="23"/>
      <c r="F73" s="16"/>
      <c r="G73" s="16"/>
      <c r="H73" s="146" t="s">
        <v>179</v>
      </c>
      <c r="I73" s="16"/>
    </row>
    <row r="74" spans="1:21" ht="15.75" hidden="1" customHeight="1">
      <c r="A74" s="38"/>
      <c r="B74" s="18" t="s">
        <v>78</v>
      </c>
      <c r="C74" s="20" t="s">
        <v>80</v>
      </c>
      <c r="D74" s="18"/>
      <c r="E74" s="23">
        <v>10</v>
      </c>
      <c r="F74" s="16">
        <v>1</v>
      </c>
      <c r="G74" s="16">
        <v>501.62</v>
      </c>
      <c r="H74" s="146">
        <f t="shared" si="5"/>
        <v>0.50161999999999995</v>
      </c>
      <c r="I74" s="16">
        <v>0</v>
      </c>
    </row>
    <row r="75" spans="1:21" ht="15.75" hidden="1" customHeight="1">
      <c r="A75" s="38"/>
      <c r="B75" s="18" t="s">
        <v>79</v>
      </c>
      <c r="C75" s="20" t="s">
        <v>31</v>
      </c>
      <c r="D75" s="18"/>
      <c r="E75" s="23">
        <v>3</v>
      </c>
      <c r="F75" s="126">
        <v>3</v>
      </c>
      <c r="G75" s="16">
        <v>852.99</v>
      </c>
      <c r="H75" s="146">
        <f>F75*G75/1000</f>
        <v>2.5589700000000004</v>
      </c>
      <c r="I75" s="16">
        <v>0</v>
      </c>
    </row>
    <row r="76" spans="1:21" ht="15.75" hidden="1" customHeight="1">
      <c r="A76" s="38"/>
      <c r="B76" s="18" t="s">
        <v>131</v>
      </c>
      <c r="C76" s="20" t="s">
        <v>31</v>
      </c>
      <c r="D76" s="18"/>
      <c r="E76" s="23">
        <v>1</v>
      </c>
      <c r="F76" s="16">
        <v>1</v>
      </c>
      <c r="G76" s="16">
        <v>358.51</v>
      </c>
      <c r="H76" s="146">
        <f>G76*F76/1000</f>
        <v>0.35851</v>
      </c>
      <c r="I76" s="16">
        <v>0</v>
      </c>
    </row>
    <row r="77" spans="1:21" ht="15.75" hidden="1" customHeight="1">
      <c r="A77" s="38"/>
      <c r="B77" s="149" t="s">
        <v>81</v>
      </c>
      <c r="C77" s="20"/>
      <c r="D77" s="18"/>
      <c r="E77" s="23"/>
      <c r="F77" s="16"/>
      <c r="G77" s="16" t="s">
        <v>179</v>
      </c>
      <c r="H77" s="146" t="s">
        <v>179</v>
      </c>
      <c r="I77" s="16"/>
    </row>
    <row r="78" spans="1:21" ht="15.75" hidden="1" customHeight="1">
      <c r="A78" s="38"/>
      <c r="B78" s="68" t="s">
        <v>242</v>
      </c>
      <c r="C78" s="20" t="s">
        <v>83</v>
      </c>
      <c r="D78" s="18"/>
      <c r="E78" s="23"/>
      <c r="F78" s="16">
        <v>1.2</v>
      </c>
      <c r="G78" s="16">
        <v>2759.44</v>
      </c>
      <c r="H78" s="146">
        <f t="shared" si="5"/>
        <v>3.311328</v>
      </c>
      <c r="I78" s="16">
        <v>0</v>
      </c>
    </row>
    <row r="79" spans="1:21" ht="15.75" hidden="1" customHeight="1">
      <c r="A79" s="38"/>
      <c r="B79" s="125" t="s">
        <v>108</v>
      </c>
      <c r="C79" s="125"/>
      <c r="D79" s="125"/>
      <c r="E79" s="125"/>
      <c r="F79" s="125"/>
      <c r="G79" s="137"/>
      <c r="H79" s="150">
        <f>SUM(H58:H78)</f>
        <v>197.73024405999999</v>
      </c>
      <c r="I79" s="137"/>
    </row>
    <row r="80" spans="1:21" ht="15.75" hidden="1" customHeight="1">
      <c r="A80" s="38"/>
      <c r="B80" s="157" t="s">
        <v>130</v>
      </c>
      <c r="C80" s="29"/>
      <c r="D80" s="28"/>
      <c r="E80" s="127"/>
      <c r="F80" s="158">
        <v>1</v>
      </c>
      <c r="G80" s="16">
        <v>23072.1</v>
      </c>
      <c r="H80" s="146">
        <f>G80*F80/1000</f>
        <v>23.072099999999999</v>
      </c>
      <c r="I80" s="16">
        <v>0</v>
      </c>
    </row>
    <row r="81" spans="1:9" ht="15.75" customHeight="1">
      <c r="A81" s="167" t="s">
        <v>171</v>
      </c>
      <c r="B81" s="168"/>
      <c r="C81" s="168"/>
      <c r="D81" s="168"/>
      <c r="E81" s="168"/>
      <c r="F81" s="168"/>
      <c r="G81" s="168"/>
      <c r="H81" s="168"/>
      <c r="I81" s="169"/>
    </row>
    <row r="82" spans="1:9" ht="15.75" customHeight="1">
      <c r="A82" s="38">
        <v>16</v>
      </c>
      <c r="B82" s="131" t="s">
        <v>132</v>
      </c>
      <c r="C82" s="20" t="s">
        <v>58</v>
      </c>
      <c r="D82" s="92" t="s">
        <v>59</v>
      </c>
      <c r="E82" s="16">
        <v>6980.3</v>
      </c>
      <c r="F82" s="16">
        <f>SUM(E82*12)</f>
        <v>83763.600000000006</v>
      </c>
      <c r="G82" s="16">
        <v>2.1</v>
      </c>
      <c r="H82" s="146">
        <f>SUM(F82*G82/1000)</f>
        <v>175.90356000000003</v>
      </c>
      <c r="I82" s="16">
        <f>F82/12*G82</f>
        <v>14658.630000000001</v>
      </c>
    </row>
    <row r="83" spans="1:9" ht="31.5" customHeight="1">
      <c r="A83" s="38">
        <v>17</v>
      </c>
      <c r="B83" s="18" t="s">
        <v>84</v>
      </c>
      <c r="C83" s="20"/>
      <c r="D83" s="92" t="s">
        <v>59</v>
      </c>
      <c r="E83" s="133">
        <f>E82</f>
        <v>6980.3</v>
      </c>
      <c r="F83" s="16">
        <f>E83*12</f>
        <v>83763.600000000006</v>
      </c>
      <c r="G83" s="16">
        <v>1.63</v>
      </c>
      <c r="H83" s="146">
        <f>F83*G83/1000</f>
        <v>136.53466800000001</v>
      </c>
      <c r="I83" s="16">
        <f>F83/12*G83</f>
        <v>11377.888999999999</v>
      </c>
    </row>
    <row r="84" spans="1:9" ht="15.75" customHeight="1">
      <c r="A84" s="38"/>
      <c r="B84" s="55" t="s">
        <v>88</v>
      </c>
      <c r="C84" s="149"/>
      <c r="D84" s="148"/>
      <c r="E84" s="137"/>
      <c r="F84" s="137"/>
      <c r="G84" s="137"/>
      <c r="H84" s="150">
        <f>H83</f>
        <v>136.53466800000001</v>
      </c>
      <c r="I84" s="137">
        <f>I16+I17+I18+I20+I21+I24+I25+I26+I27+I30+I31+I33+I34+I63+I65+I82+I83</f>
        <v>94157.889781888865</v>
      </c>
    </row>
    <row r="85" spans="1:9" ht="15.75" customHeight="1">
      <c r="A85" s="38"/>
      <c r="B85" s="88" t="s">
        <v>64</v>
      </c>
      <c r="C85" s="20"/>
      <c r="D85" s="68"/>
      <c r="E85" s="16"/>
      <c r="F85" s="16"/>
      <c r="G85" s="16"/>
      <c r="H85" s="16"/>
      <c r="I85" s="16"/>
    </row>
    <row r="86" spans="1:9" ht="15.75" customHeight="1">
      <c r="A86" s="38">
        <v>18</v>
      </c>
      <c r="B86" s="89" t="s">
        <v>155</v>
      </c>
      <c r="C86" s="110" t="s">
        <v>124</v>
      </c>
      <c r="D86" s="18"/>
      <c r="E86" s="23"/>
      <c r="F86" s="16">
        <v>1440</v>
      </c>
      <c r="G86" s="16">
        <v>50.68</v>
      </c>
      <c r="H86" s="146">
        <f t="shared" ref="H86:H97" si="7">G86*F86/1000</f>
        <v>72.979199999999992</v>
      </c>
      <c r="I86" s="16">
        <f>G86*120</f>
        <v>6081.6</v>
      </c>
    </row>
    <row r="87" spans="1:9" ht="15.75" customHeight="1">
      <c r="A87" s="38">
        <v>19</v>
      </c>
      <c r="B87" s="89" t="s">
        <v>90</v>
      </c>
      <c r="C87" s="110" t="s">
        <v>124</v>
      </c>
      <c r="D87" s="18"/>
      <c r="E87" s="23"/>
      <c r="F87" s="16">
        <v>19</v>
      </c>
      <c r="G87" s="16">
        <v>180.15</v>
      </c>
      <c r="H87" s="146">
        <f t="shared" si="7"/>
        <v>3.4228499999999999</v>
      </c>
      <c r="I87" s="16">
        <f>G87*6</f>
        <v>1080.9000000000001</v>
      </c>
    </row>
    <row r="88" spans="1:9" ht="15.75" customHeight="1">
      <c r="A88" s="38">
        <v>20</v>
      </c>
      <c r="B88" s="89" t="s">
        <v>162</v>
      </c>
      <c r="C88" s="110" t="s">
        <v>92</v>
      </c>
      <c r="D88" s="18"/>
      <c r="E88" s="23"/>
      <c r="F88" s="16">
        <v>9</v>
      </c>
      <c r="G88" s="16">
        <v>185.81</v>
      </c>
      <c r="H88" s="146">
        <f>G88*F88/1000</f>
        <v>1.6722900000000001</v>
      </c>
      <c r="I88" s="16">
        <f>G88*2</f>
        <v>371.62</v>
      </c>
    </row>
    <row r="89" spans="1:9" ht="15.75" customHeight="1">
      <c r="A89" s="38">
        <v>21</v>
      </c>
      <c r="B89" s="89" t="s">
        <v>204</v>
      </c>
      <c r="C89" s="110" t="s">
        <v>183</v>
      </c>
      <c r="D89" s="18"/>
      <c r="E89" s="23"/>
      <c r="F89" s="16">
        <v>2</v>
      </c>
      <c r="G89" s="16">
        <v>476.76</v>
      </c>
      <c r="H89" s="146">
        <f t="shared" si="7"/>
        <v>0.95352000000000003</v>
      </c>
      <c r="I89" s="16">
        <f>G89</f>
        <v>476.76</v>
      </c>
    </row>
    <row r="90" spans="1:9" ht="15.75" customHeight="1">
      <c r="A90" s="38">
        <v>22</v>
      </c>
      <c r="B90" s="153" t="s">
        <v>160</v>
      </c>
      <c r="C90" s="154" t="s">
        <v>161</v>
      </c>
      <c r="D90" s="68"/>
      <c r="E90" s="16"/>
      <c r="F90" s="16">
        <f>24/3</f>
        <v>8</v>
      </c>
      <c r="G90" s="16">
        <v>1063.47</v>
      </c>
      <c r="H90" s="146">
        <f>G90*F90/1000</f>
        <v>8.5077600000000011</v>
      </c>
      <c r="I90" s="16">
        <f>G90*3</f>
        <v>3190.41</v>
      </c>
    </row>
    <row r="91" spans="1:9" ht="15.75" customHeight="1">
      <c r="A91" s="38">
        <v>23</v>
      </c>
      <c r="B91" s="89" t="s">
        <v>213</v>
      </c>
      <c r="C91" s="110" t="s">
        <v>89</v>
      </c>
      <c r="D91" s="68"/>
      <c r="E91" s="16"/>
      <c r="F91" s="16">
        <v>5</v>
      </c>
      <c r="G91" s="16">
        <v>771.29</v>
      </c>
      <c r="H91" s="146">
        <f t="shared" si="7"/>
        <v>3.8564499999999997</v>
      </c>
      <c r="I91" s="16">
        <f>G91</f>
        <v>771.29</v>
      </c>
    </row>
    <row r="92" spans="1:9" ht="15.75" customHeight="1">
      <c r="A92" s="38">
        <v>24</v>
      </c>
      <c r="B92" s="89" t="s">
        <v>214</v>
      </c>
      <c r="C92" s="110" t="s">
        <v>183</v>
      </c>
      <c r="D92" s="68"/>
      <c r="E92" s="16"/>
      <c r="F92" s="16">
        <v>10</v>
      </c>
      <c r="G92" s="16">
        <v>960.74</v>
      </c>
      <c r="H92" s="146">
        <f t="shared" si="7"/>
        <v>9.6074000000000002</v>
      </c>
      <c r="I92" s="16">
        <f>G92*2</f>
        <v>1921.48</v>
      </c>
    </row>
    <row r="93" spans="1:9" ht="15.75" customHeight="1">
      <c r="A93" s="38">
        <v>25</v>
      </c>
      <c r="B93" s="89" t="s">
        <v>215</v>
      </c>
      <c r="C93" s="110" t="s">
        <v>124</v>
      </c>
      <c r="D93" s="68"/>
      <c r="E93" s="16"/>
      <c r="F93" s="16">
        <v>1</v>
      </c>
      <c r="G93" s="16">
        <v>162.32</v>
      </c>
      <c r="H93" s="146">
        <f t="shared" si="7"/>
        <v>0.16231999999999999</v>
      </c>
      <c r="I93" s="16">
        <f>G93</f>
        <v>162.32</v>
      </c>
    </row>
    <row r="94" spans="1:9" ht="15.75" customHeight="1">
      <c r="A94" s="38">
        <v>26</v>
      </c>
      <c r="B94" s="89" t="s">
        <v>216</v>
      </c>
      <c r="C94" s="110" t="s">
        <v>124</v>
      </c>
      <c r="D94" s="68"/>
      <c r="E94" s="16"/>
      <c r="F94" s="16">
        <v>7</v>
      </c>
      <c r="G94" s="16">
        <v>109.73</v>
      </c>
      <c r="H94" s="146">
        <f t="shared" si="7"/>
        <v>0.76810999999999996</v>
      </c>
      <c r="I94" s="16">
        <f>G94*3</f>
        <v>329.19</v>
      </c>
    </row>
    <row r="95" spans="1:9" ht="15.75" customHeight="1">
      <c r="A95" s="38">
        <v>27</v>
      </c>
      <c r="B95" s="89" t="s">
        <v>217</v>
      </c>
      <c r="C95" s="110" t="s">
        <v>124</v>
      </c>
      <c r="D95" s="68"/>
      <c r="E95" s="16"/>
      <c r="F95" s="16">
        <v>1</v>
      </c>
      <c r="G95" s="16">
        <v>48.69</v>
      </c>
      <c r="H95" s="146">
        <f t="shared" si="7"/>
        <v>4.8689999999999997E-2</v>
      </c>
      <c r="I95" s="16">
        <f>G95</f>
        <v>48.69</v>
      </c>
    </row>
    <row r="96" spans="1:9" ht="15.75" customHeight="1">
      <c r="A96" s="38">
        <v>28</v>
      </c>
      <c r="B96" s="89" t="s">
        <v>218</v>
      </c>
      <c r="C96" s="110" t="s">
        <v>124</v>
      </c>
      <c r="D96" s="68"/>
      <c r="E96" s="16"/>
      <c r="F96" s="16">
        <v>1</v>
      </c>
      <c r="G96" s="16">
        <v>27.36</v>
      </c>
      <c r="H96" s="146">
        <f t="shared" si="7"/>
        <v>2.7359999999999999E-2</v>
      </c>
      <c r="I96" s="16">
        <f t="shared" ref="I96:I97" si="8">G96</f>
        <v>27.36</v>
      </c>
    </row>
    <row r="97" spans="1:9" ht="15.75" customHeight="1">
      <c r="A97" s="38">
        <v>29</v>
      </c>
      <c r="B97" s="89" t="s">
        <v>219</v>
      </c>
      <c r="C97" s="110" t="s">
        <v>124</v>
      </c>
      <c r="D97" s="68"/>
      <c r="E97" s="16"/>
      <c r="F97" s="16">
        <v>3</v>
      </c>
      <c r="G97" s="16">
        <v>89.15</v>
      </c>
      <c r="H97" s="146">
        <f t="shared" si="7"/>
        <v>0.26745000000000002</v>
      </c>
      <c r="I97" s="16">
        <f t="shared" si="8"/>
        <v>89.15</v>
      </c>
    </row>
    <row r="98" spans="1:9" ht="15.75" customHeight="1">
      <c r="A98" s="38">
        <v>30</v>
      </c>
      <c r="B98" s="94" t="s">
        <v>279</v>
      </c>
      <c r="C98" s="95" t="s">
        <v>203</v>
      </c>
      <c r="D98" s="68"/>
      <c r="E98" s="16"/>
      <c r="F98" s="16"/>
      <c r="G98" s="48">
        <v>15086</v>
      </c>
      <c r="H98" s="146"/>
      <c r="I98" s="16">
        <f>G98</f>
        <v>15086</v>
      </c>
    </row>
    <row r="99" spans="1:9" ht="15.75" customHeight="1">
      <c r="A99" s="38">
        <v>31</v>
      </c>
      <c r="B99" s="94" t="s">
        <v>280</v>
      </c>
      <c r="C99" s="95" t="s">
        <v>212</v>
      </c>
      <c r="D99" s="68"/>
      <c r="E99" s="16"/>
      <c r="F99" s="16"/>
      <c r="G99" s="48">
        <v>1620</v>
      </c>
      <c r="H99" s="146"/>
      <c r="I99" s="16">
        <f>G99*5</f>
        <v>8100</v>
      </c>
    </row>
    <row r="100" spans="1:9" ht="15.75" customHeight="1">
      <c r="A100" s="38"/>
      <c r="B100" s="62" t="s">
        <v>53</v>
      </c>
      <c r="C100" s="58"/>
      <c r="D100" s="72"/>
      <c r="E100" s="58">
        <v>1</v>
      </c>
      <c r="F100" s="58"/>
      <c r="G100" s="58"/>
      <c r="H100" s="58"/>
      <c r="I100" s="40">
        <f>SUM(I86:I99)</f>
        <v>37736.770000000004</v>
      </c>
    </row>
    <row r="101" spans="1:9">
      <c r="A101" s="38"/>
      <c r="B101" s="68" t="s">
        <v>85</v>
      </c>
      <c r="C101" s="19"/>
      <c r="D101" s="19"/>
      <c r="E101" s="59"/>
      <c r="F101" s="59"/>
      <c r="G101" s="60"/>
      <c r="H101" s="60"/>
      <c r="I101" s="22">
        <v>0</v>
      </c>
    </row>
    <row r="102" spans="1:9">
      <c r="A102" s="73"/>
      <c r="B102" s="63" t="s">
        <v>54</v>
      </c>
      <c r="C102" s="46"/>
      <c r="D102" s="46"/>
      <c r="E102" s="46"/>
      <c r="F102" s="46"/>
      <c r="G102" s="46"/>
      <c r="H102" s="46"/>
      <c r="I102" s="61">
        <f>I84+I100</f>
        <v>131894.65978188888</v>
      </c>
    </row>
    <row r="103" spans="1:9" ht="15.75">
      <c r="A103" s="170" t="s">
        <v>281</v>
      </c>
      <c r="B103" s="170"/>
      <c r="C103" s="170"/>
      <c r="D103" s="170"/>
      <c r="E103" s="170"/>
      <c r="F103" s="170"/>
      <c r="G103" s="170"/>
      <c r="H103" s="170"/>
      <c r="I103" s="170"/>
    </row>
    <row r="104" spans="1:9" ht="15.75" customHeight="1">
      <c r="A104" s="108"/>
      <c r="B104" s="171" t="s">
        <v>282</v>
      </c>
      <c r="C104" s="171"/>
      <c r="D104" s="171"/>
      <c r="E104" s="171"/>
      <c r="F104" s="171"/>
      <c r="G104" s="171"/>
      <c r="H104" s="130"/>
      <c r="I104" s="3"/>
    </row>
    <row r="105" spans="1:9">
      <c r="A105" s="120"/>
      <c r="B105" s="164" t="s">
        <v>6</v>
      </c>
      <c r="C105" s="164"/>
      <c r="D105" s="164"/>
      <c r="E105" s="164"/>
      <c r="F105" s="164"/>
      <c r="G105" s="164"/>
      <c r="H105" s="33"/>
      <c r="I105" s="5"/>
    </row>
    <row r="106" spans="1:9">
      <c r="A106" s="10"/>
      <c r="B106" s="10"/>
      <c r="C106" s="10"/>
      <c r="D106" s="10"/>
      <c r="E106" s="10"/>
      <c r="F106" s="10"/>
      <c r="G106" s="10"/>
      <c r="H106" s="10"/>
      <c r="I106" s="10"/>
    </row>
    <row r="107" spans="1:9" ht="15.75">
      <c r="A107" s="172" t="s">
        <v>7</v>
      </c>
      <c r="B107" s="172"/>
      <c r="C107" s="172"/>
      <c r="D107" s="172"/>
      <c r="E107" s="172"/>
      <c r="F107" s="172"/>
      <c r="G107" s="172"/>
      <c r="H107" s="172"/>
      <c r="I107" s="172"/>
    </row>
    <row r="108" spans="1:9" ht="15.75">
      <c r="A108" s="172" t="s">
        <v>8</v>
      </c>
      <c r="B108" s="172"/>
      <c r="C108" s="172"/>
      <c r="D108" s="172"/>
      <c r="E108" s="172"/>
      <c r="F108" s="172"/>
      <c r="G108" s="172"/>
      <c r="H108" s="172"/>
      <c r="I108" s="172"/>
    </row>
    <row r="109" spans="1:9" ht="15.75">
      <c r="A109" s="161" t="s">
        <v>65</v>
      </c>
      <c r="B109" s="161"/>
      <c r="C109" s="161"/>
      <c r="D109" s="161"/>
      <c r="E109" s="161"/>
      <c r="F109" s="161"/>
      <c r="G109" s="161"/>
      <c r="H109" s="161"/>
      <c r="I109" s="161"/>
    </row>
    <row r="110" spans="1:9" ht="15.75">
      <c r="A110" s="11"/>
    </row>
    <row r="111" spans="1:9" ht="15.75">
      <c r="A111" s="162" t="s">
        <v>9</v>
      </c>
      <c r="B111" s="162"/>
      <c r="C111" s="162"/>
      <c r="D111" s="162"/>
      <c r="E111" s="162"/>
      <c r="F111" s="162"/>
      <c r="G111" s="162"/>
      <c r="H111" s="162"/>
      <c r="I111" s="162"/>
    </row>
    <row r="112" spans="1:9" ht="15.75" customHeight="1">
      <c r="A112" s="4"/>
    </row>
    <row r="113" spans="1:9" ht="15.75" customHeight="1">
      <c r="B113" s="117" t="s">
        <v>10</v>
      </c>
      <c r="C113" s="163" t="s">
        <v>170</v>
      </c>
      <c r="D113" s="163"/>
      <c r="E113" s="163"/>
      <c r="F113" s="128"/>
      <c r="I113" s="119"/>
    </row>
    <row r="114" spans="1:9" ht="15.75" customHeight="1">
      <c r="A114" s="120"/>
      <c r="C114" s="164" t="s">
        <v>11</v>
      </c>
      <c r="D114" s="164"/>
      <c r="E114" s="164"/>
      <c r="F114" s="33"/>
      <c r="I114" s="118" t="s">
        <v>12</v>
      </c>
    </row>
    <row r="115" spans="1:9" ht="15.75" customHeight="1">
      <c r="A115" s="34"/>
      <c r="C115" s="12"/>
      <c r="D115" s="12"/>
      <c r="G115" s="12"/>
      <c r="H115" s="12"/>
    </row>
    <row r="116" spans="1:9" ht="15.75">
      <c r="B116" s="117" t="s">
        <v>13</v>
      </c>
      <c r="C116" s="165"/>
      <c r="D116" s="165"/>
      <c r="E116" s="165"/>
      <c r="F116" s="129"/>
      <c r="I116" s="119"/>
    </row>
    <row r="117" spans="1:9">
      <c r="A117" s="120"/>
      <c r="C117" s="166" t="s">
        <v>11</v>
      </c>
      <c r="D117" s="166"/>
      <c r="E117" s="166"/>
      <c r="F117" s="120"/>
      <c r="I117" s="118" t="s">
        <v>12</v>
      </c>
    </row>
    <row r="118" spans="1:9" ht="15.75">
      <c r="A118" s="4" t="s">
        <v>14</v>
      </c>
    </row>
    <row r="119" spans="1:9">
      <c r="A119" s="159" t="s">
        <v>15</v>
      </c>
      <c r="B119" s="159"/>
      <c r="C119" s="159"/>
      <c r="D119" s="159"/>
      <c r="E119" s="159"/>
      <c r="F119" s="159"/>
      <c r="G119" s="159"/>
      <c r="H119" s="159"/>
      <c r="I119" s="159"/>
    </row>
    <row r="120" spans="1:9" ht="45" customHeight="1">
      <c r="A120" s="160" t="s">
        <v>16</v>
      </c>
      <c r="B120" s="160"/>
      <c r="C120" s="160"/>
      <c r="D120" s="160"/>
      <c r="E120" s="160"/>
      <c r="F120" s="160"/>
      <c r="G120" s="160"/>
      <c r="H120" s="160"/>
      <c r="I120" s="160"/>
    </row>
    <row r="121" spans="1:9" ht="30" customHeight="1">
      <c r="A121" s="160" t="s">
        <v>17</v>
      </c>
      <c r="B121" s="160"/>
      <c r="C121" s="160"/>
      <c r="D121" s="160"/>
      <c r="E121" s="160"/>
      <c r="F121" s="160"/>
      <c r="G121" s="160"/>
      <c r="H121" s="160"/>
      <c r="I121" s="160"/>
    </row>
    <row r="122" spans="1:9" ht="30" customHeight="1">
      <c r="A122" s="160" t="s">
        <v>21</v>
      </c>
      <c r="B122" s="160"/>
      <c r="C122" s="160"/>
      <c r="D122" s="160"/>
      <c r="E122" s="160"/>
      <c r="F122" s="160"/>
      <c r="G122" s="160"/>
      <c r="H122" s="160"/>
      <c r="I122" s="160"/>
    </row>
    <row r="123" spans="1:9" ht="15" customHeight="1">
      <c r="A123" s="160" t="s">
        <v>20</v>
      </c>
      <c r="B123" s="160"/>
      <c r="C123" s="160"/>
      <c r="D123" s="160"/>
      <c r="E123" s="160"/>
      <c r="F123" s="160"/>
      <c r="G123" s="160"/>
      <c r="H123" s="160"/>
      <c r="I123" s="160"/>
    </row>
  </sheetData>
  <autoFilter ref="I12:I60"/>
  <mergeCells count="28">
    <mergeCell ref="A120:I120"/>
    <mergeCell ref="A121:I121"/>
    <mergeCell ref="A122:I122"/>
    <mergeCell ref="A123:I123"/>
    <mergeCell ref="A111:I111"/>
    <mergeCell ref="C113:E113"/>
    <mergeCell ref="C114:E114"/>
    <mergeCell ref="C116:E116"/>
    <mergeCell ref="C117:E117"/>
    <mergeCell ref="A119:I119"/>
    <mergeCell ref="A103:I103"/>
    <mergeCell ref="B104:G104"/>
    <mergeCell ref="B105:G105"/>
    <mergeCell ref="A107:I107"/>
    <mergeCell ref="A108:I108"/>
    <mergeCell ref="A109:I109"/>
    <mergeCell ref="A15:I15"/>
    <mergeCell ref="A28:I28"/>
    <mergeCell ref="A46:I46"/>
    <mergeCell ref="A56:I56"/>
    <mergeCell ref="R65:U65"/>
    <mergeCell ref="A81:I81"/>
    <mergeCell ref="A3:I3"/>
    <mergeCell ref="A4:I4"/>
    <mergeCell ref="A5:I5"/>
    <mergeCell ref="A8:I8"/>
    <mergeCell ref="A10:I10"/>
    <mergeCell ref="A14:I14"/>
  </mergeCells>
  <pageMargins left="0.70866141732283472" right="0.23622047244094491" top="0.27559055118110237" bottom="0.27559055118110237" header="0.31496062992125984" footer="0.31496062992125984"/>
  <pageSetup paperSize="9" scale="60" orientation="portrait" r:id="rId1"/>
  <colBreaks count="1" manualBreakCount="1">
    <brk id="9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>
  <dimension ref="A1:V119"/>
  <sheetViews>
    <sheetView workbookViewId="0">
      <selection activeCell="A3" sqref="A3:I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36" t="s">
        <v>96</v>
      </c>
      <c r="I1" s="35"/>
      <c r="J1" s="1"/>
      <c r="K1" s="1"/>
      <c r="L1" s="1"/>
      <c r="M1" s="1"/>
    </row>
    <row r="2" spans="1:13" ht="15.75">
      <c r="A2" s="37" t="s">
        <v>67</v>
      </c>
      <c r="J2" s="2"/>
      <c r="K2" s="2"/>
      <c r="L2" s="2"/>
      <c r="M2" s="2"/>
    </row>
    <row r="3" spans="1:13" ht="15.75" customHeight="1">
      <c r="A3" s="177" t="s">
        <v>263</v>
      </c>
      <c r="B3" s="177"/>
      <c r="C3" s="177"/>
      <c r="D3" s="177"/>
      <c r="E3" s="177"/>
      <c r="F3" s="177"/>
      <c r="G3" s="177"/>
      <c r="H3" s="177"/>
      <c r="I3" s="177"/>
      <c r="J3" s="3"/>
      <c r="K3" s="3"/>
      <c r="L3" s="3"/>
    </row>
    <row r="4" spans="1:13" ht="31.5" customHeight="1">
      <c r="A4" s="178" t="s">
        <v>159</v>
      </c>
      <c r="B4" s="178"/>
      <c r="C4" s="178"/>
      <c r="D4" s="178"/>
      <c r="E4" s="178"/>
      <c r="F4" s="178"/>
      <c r="G4" s="178"/>
      <c r="H4" s="178"/>
      <c r="I4" s="178"/>
    </row>
    <row r="5" spans="1:13" ht="15.75">
      <c r="A5" s="177" t="s">
        <v>264</v>
      </c>
      <c r="B5" s="179"/>
      <c r="C5" s="179"/>
      <c r="D5" s="179"/>
      <c r="E5" s="179"/>
      <c r="F5" s="179"/>
      <c r="G5" s="179"/>
      <c r="H5" s="179"/>
      <c r="I5" s="179"/>
      <c r="J5" s="2"/>
      <c r="K5" s="2"/>
      <c r="L5" s="2"/>
      <c r="M5" s="2"/>
    </row>
    <row r="6" spans="1:13" ht="15.75">
      <c r="A6" s="2"/>
      <c r="B6" s="116"/>
      <c r="C6" s="116"/>
      <c r="D6" s="116"/>
      <c r="E6" s="116"/>
      <c r="F6" s="116"/>
      <c r="G6" s="116"/>
      <c r="H6" s="116"/>
      <c r="I6" s="39">
        <v>42582</v>
      </c>
      <c r="J6" s="2"/>
      <c r="K6" s="2"/>
      <c r="L6" s="2"/>
      <c r="M6" s="2"/>
    </row>
    <row r="7" spans="1:13" ht="15.75">
      <c r="B7" s="117"/>
      <c r="C7" s="117"/>
      <c r="D7" s="117"/>
      <c r="E7" s="3"/>
      <c r="F7" s="3"/>
      <c r="G7" s="3"/>
      <c r="H7" s="3"/>
      <c r="J7" s="3"/>
      <c r="K7" s="3"/>
      <c r="L7" s="3"/>
      <c r="M7" s="3"/>
    </row>
    <row r="8" spans="1:13" ht="87" customHeight="1">
      <c r="A8" s="180" t="s">
        <v>174</v>
      </c>
      <c r="B8" s="180"/>
      <c r="C8" s="180"/>
      <c r="D8" s="180"/>
      <c r="E8" s="180"/>
      <c r="F8" s="180"/>
      <c r="G8" s="180"/>
      <c r="H8" s="180"/>
      <c r="I8" s="180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55.5" customHeight="1">
      <c r="A10" s="181" t="s">
        <v>173</v>
      </c>
      <c r="B10" s="181"/>
      <c r="C10" s="181"/>
      <c r="D10" s="181"/>
      <c r="E10" s="181"/>
      <c r="F10" s="181"/>
      <c r="G10" s="181"/>
      <c r="H10" s="181"/>
      <c r="I10" s="181"/>
      <c r="J10" s="2"/>
      <c r="K10" s="2"/>
      <c r="L10" s="2"/>
      <c r="M10" s="2"/>
    </row>
    <row r="11" spans="1:13" ht="15.75">
      <c r="A11" s="4"/>
    </row>
    <row r="12" spans="1:13" ht="4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182" t="s">
        <v>63</v>
      </c>
      <c r="B14" s="182"/>
      <c r="C14" s="182"/>
      <c r="D14" s="182"/>
      <c r="E14" s="182"/>
      <c r="F14" s="182"/>
      <c r="G14" s="182"/>
      <c r="H14" s="182"/>
      <c r="I14" s="182"/>
      <c r="J14" s="8"/>
      <c r="K14" s="8"/>
      <c r="L14" s="8"/>
      <c r="M14" s="8"/>
    </row>
    <row r="15" spans="1:13" ht="15" customHeight="1">
      <c r="A15" s="173" t="s">
        <v>4</v>
      </c>
      <c r="B15" s="173"/>
      <c r="C15" s="173"/>
      <c r="D15" s="173"/>
      <c r="E15" s="173"/>
      <c r="F15" s="173"/>
      <c r="G15" s="173"/>
      <c r="H15" s="173"/>
      <c r="I15" s="173"/>
      <c r="J15" s="8"/>
      <c r="K15" s="8"/>
      <c r="L15" s="8"/>
      <c r="M15" s="8"/>
    </row>
    <row r="16" spans="1:13" ht="31.5" customHeight="1">
      <c r="A16" s="38">
        <v>1</v>
      </c>
      <c r="B16" s="131" t="s">
        <v>99</v>
      </c>
      <c r="C16" s="132" t="s">
        <v>100</v>
      </c>
      <c r="D16" s="131" t="s">
        <v>101</v>
      </c>
      <c r="E16" s="133">
        <v>208.08</v>
      </c>
      <c r="F16" s="134">
        <f>SUM(E16*156/100)</f>
        <v>324.60480000000001</v>
      </c>
      <c r="G16" s="134">
        <v>175.38</v>
      </c>
      <c r="H16" s="135">
        <f t="shared" ref="H16:H25" si="0">SUM(F16*G16/1000)</f>
        <v>56.929189823999998</v>
      </c>
      <c r="I16" s="16">
        <f>F16/12*G16</f>
        <v>4744.0991519999998</v>
      </c>
      <c r="J16" s="30"/>
      <c r="K16" s="8"/>
      <c r="L16" s="8"/>
      <c r="M16" s="8"/>
    </row>
    <row r="17" spans="1:13" ht="31.5" customHeight="1">
      <c r="A17" s="38">
        <v>2</v>
      </c>
      <c r="B17" s="131" t="s">
        <v>135</v>
      </c>
      <c r="C17" s="132" t="s">
        <v>100</v>
      </c>
      <c r="D17" s="131" t="s">
        <v>102</v>
      </c>
      <c r="E17" s="133">
        <v>832.32</v>
      </c>
      <c r="F17" s="134">
        <f>SUM(E17*104/100)</f>
        <v>865.61279999999999</v>
      </c>
      <c r="G17" s="134">
        <v>175.38</v>
      </c>
      <c r="H17" s="135">
        <f t="shared" si="0"/>
        <v>151.81117286399999</v>
      </c>
      <c r="I17" s="16">
        <f>F17/12*G17</f>
        <v>12650.931071999999</v>
      </c>
      <c r="J17" s="31"/>
      <c r="K17" s="8"/>
      <c r="L17" s="8"/>
      <c r="M17" s="8"/>
    </row>
    <row r="18" spans="1:13" ht="31.5" customHeight="1">
      <c r="A18" s="38">
        <v>3</v>
      </c>
      <c r="B18" s="131" t="s">
        <v>136</v>
      </c>
      <c r="C18" s="132" t="s">
        <v>100</v>
      </c>
      <c r="D18" s="131" t="s">
        <v>240</v>
      </c>
      <c r="E18" s="133">
        <v>1040.4000000000001</v>
      </c>
      <c r="F18" s="134">
        <f>SUM(E18*24/100)</f>
        <v>249.69600000000003</v>
      </c>
      <c r="G18" s="134">
        <v>504.5</v>
      </c>
      <c r="H18" s="135">
        <f t="shared" si="0"/>
        <v>125.97163200000001</v>
      </c>
      <c r="I18" s="16">
        <f>F18/12*G18</f>
        <v>10497.636000000002</v>
      </c>
      <c r="J18" s="31"/>
      <c r="K18" s="8"/>
      <c r="L18" s="8"/>
      <c r="M18" s="8"/>
    </row>
    <row r="19" spans="1:13" ht="15.75" hidden="1" customHeight="1">
      <c r="A19" s="38"/>
      <c r="B19" s="131" t="s">
        <v>109</v>
      </c>
      <c r="C19" s="132" t="s">
        <v>110</v>
      </c>
      <c r="D19" s="131" t="s">
        <v>111</v>
      </c>
      <c r="E19" s="133">
        <v>48</v>
      </c>
      <c r="F19" s="134">
        <f>SUM(E19/10)</f>
        <v>4.8</v>
      </c>
      <c r="G19" s="134">
        <v>170.16</v>
      </c>
      <c r="H19" s="135">
        <f t="shared" si="0"/>
        <v>0.81676799999999994</v>
      </c>
      <c r="I19" s="16">
        <v>0</v>
      </c>
      <c r="J19" s="31"/>
      <c r="K19" s="8"/>
      <c r="L19" s="8"/>
      <c r="M19" s="8"/>
    </row>
    <row r="20" spans="1:13" ht="15.75" customHeight="1">
      <c r="A20" s="38">
        <v>4</v>
      </c>
      <c r="B20" s="131" t="s">
        <v>112</v>
      </c>
      <c r="C20" s="132" t="s">
        <v>100</v>
      </c>
      <c r="D20" s="131" t="s">
        <v>138</v>
      </c>
      <c r="E20" s="133">
        <v>30.6</v>
      </c>
      <c r="F20" s="134">
        <f>SUM(E20*12/100)</f>
        <v>3.6720000000000006</v>
      </c>
      <c r="G20" s="134">
        <v>217.88</v>
      </c>
      <c r="H20" s="135">
        <f t="shared" si="0"/>
        <v>0.8000553600000001</v>
      </c>
      <c r="I20" s="16">
        <f>F20/12*G20</f>
        <v>66.67128000000001</v>
      </c>
      <c r="J20" s="31"/>
      <c r="K20" s="8"/>
      <c r="L20" s="8"/>
      <c r="M20" s="8"/>
    </row>
    <row r="21" spans="1:13" ht="15.75" customHeight="1">
      <c r="A21" s="38">
        <v>5</v>
      </c>
      <c r="B21" s="131" t="s">
        <v>113</v>
      </c>
      <c r="C21" s="132" t="s">
        <v>100</v>
      </c>
      <c r="D21" s="131" t="s">
        <v>30</v>
      </c>
      <c r="E21" s="133">
        <v>10.06</v>
      </c>
      <c r="F21" s="134">
        <f>SUM(E21*12/100)</f>
        <v>1.2072000000000001</v>
      </c>
      <c r="G21" s="134">
        <v>216.12</v>
      </c>
      <c r="H21" s="135">
        <f t="shared" si="0"/>
        <v>0.26090006400000004</v>
      </c>
      <c r="I21" s="16">
        <f>F21/12*G21</f>
        <v>21.741672000000001</v>
      </c>
      <c r="J21" s="31"/>
      <c r="K21" s="8"/>
      <c r="L21" s="8"/>
      <c r="M21" s="8"/>
    </row>
    <row r="22" spans="1:13" ht="15.75" hidden="1" customHeight="1">
      <c r="A22" s="38"/>
      <c r="B22" s="131" t="s">
        <v>114</v>
      </c>
      <c r="C22" s="132" t="s">
        <v>55</v>
      </c>
      <c r="D22" s="131" t="s">
        <v>111</v>
      </c>
      <c r="E22" s="133">
        <v>769.2</v>
      </c>
      <c r="F22" s="134">
        <f>SUM(E22/100)</f>
        <v>7.6920000000000002</v>
      </c>
      <c r="G22" s="134">
        <v>269.26</v>
      </c>
      <c r="H22" s="135">
        <f t="shared" si="0"/>
        <v>2.07114792</v>
      </c>
      <c r="I22" s="16">
        <v>0</v>
      </c>
      <c r="J22" s="31"/>
      <c r="K22" s="8"/>
      <c r="L22" s="8"/>
      <c r="M22" s="8"/>
    </row>
    <row r="23" spans="1:13" ht="15.75" hidden="1" customHeight="1">
      <c r="A23" s="38"/>
      <c r="B23" s="131" t="s">
        <v>115</v>
      </c>
      <c r="C23" s="132" t="s">
        <v>55</v>
      </c>
      <c r="D23" s="131" t="s">
        <v>111</v>
      </c>
      <c r="E23" s="136">
        <v>35.28</v>
      </c>
      <c r="F23" s="134">
        <f>SUM(E23/100)</f>
        <v>0.3528</v>
      </c>
      <c r="G23" s="134">
        <v>44.29</v>
      </c>
      <c r="H23" s="135">
        <f t="shared" si="0"/>
        <v>1.5625512000000001E-2</v>
      </c>
      <c r="I23" s="16">
        <v>0</v>
      </c>
      <c r="J23" s="31"/>
      <c r="K23" s="8"/>
      <c r="L23" s="8"/>
      <c r="M23" s="8"/>
    </row>
    <row r="24" spans="1:13" ht="15.75" customHeight="1">
      <c r="A24" s="38">
        <v>6</v>
      </c>
      <c r="B24" s="131" t="s">
        <v>116</v>
      </c>
      <c r="C24" s="132" t="s">
        <v>55</v>
      </c>
      <c r="D24" s="131" t="s">
        <v>30</v>
      </c>
      <c r="E24" s="133">
        <v>10.8</v>
      </c>
      <c r="F24" s="134">
        <f>E24*12/100</f>
        <v>1.2960000000000003</v>
      </c>
      <c r="G24" s="134">
        <v>389.72</v>
      </c>
      <c r="H24" s="135">
        <f t="shared" si="0"/>
        <v>0.50507712000000016</v>
      </c>
      <c r="I24" s="16">
        <f>F24/12*G24</f>
        <v>42.089760000000012</v>
      </c>
      <c r="J24" s="31"/>
      <c r="K24" s="8"/>
      <c r="L24" s="8"/>
      <c r="M24" s="8"/>
    </row>
    <row r="25" spans="1:13" ht="15.75" customHeight="1">
      <c r="A25" s="38">
        <v>7</v>
      </c>
      <c r="B25" s="131" t="s">
        <v>117</v>
      </c>
      <c r="C25" s="132" t="s">
        <v>55</v>
      </c>
      <c r="D25" s="131" t="s">
        <v>139</v>
      </c>
      <c r="E25" s="133">
        <v>21.6</v>
      </c>
      <c r="F25" s="134">
        <f>SUM(E25*12/100)</f>
        <v>2.5920000000000005</v>
      </c>
      <c r="G25" s="134">
        <v>520.79999999999995</v>
      </c>
      <c r="H25" s="135">
        <f t="shared" si="0"/>
        <v>1.3499136</v>
      </c>
      <c r="I25" s="16">
        <f>F25/12*G25</f>
        <v>112.49280000000002</v>
      </c>
      <c r="J25" s="31"/>
      <c r="K25" s="8"/>
      <c r="L25" s="8"/>
      <c r="M25" s="8"/>
    </row>
    <row r="26" spans="1:13" ht="15.75" customHeight="1">
      <c r="A26" s="38">
        <v>8</v>
      </c>
      <c r="B26" s="131" t="s">
        <v>69</v>
      </c>
      <c r="C26" s="132" t="s">
        <v>33</v>
      </c>
      <c r="D26" s="131" t="s">
        <v>140</v>
      </c>
      <c r="E26" s="133">
        <v>0.1</v>
      </c>
      <c r="F26" s="134">
        <f>SUM(E26*365)</f>
        <v>36.5</v>
      </c>
      <c r="G26" s="134">
        <v>147.03</v>
      </c>
      <c r="H26" s="135">
        <f>SUM(F26*G26/1000)</f>
        <v>5.3665950000000002</v>
      </c>
      <c r="I26" s="16">
        <f>F26/12*G26</f>
        <v>447.21625</v>
      </c>
      <c r="J26" s="32"/>
    </row>
    <row r="27" spans="1:13" ht="15.75" customHeight="1">
      <c r="A27" s="38">
        <v>9</v>
      </c>
      <c r="B27" s="139" t="s">
        <v>23</v>
      </c>
      <c r="C27" s="132" t="s">
        <v>24</v>
      </c>
      <c r="D27" s="139" t="s">
        <v>179</v>
      </c>
      <c r="E27" s="133">
        <v>6980.3</v>
      </c>
      <c r="F27" s="134">
        <f>SUM(E27*12)</f>
        <v>83763.600000000006</v>
      </c>
      <c r="G27" s="134">
        <v>4.4000000000000004</v>
      </c>
      <c r="H27" s="135">
        <f>SUM(F27*G27/1000)</f>
        <v>368.55984000000007</v>
      </c>
      <c r="I27" s="16">
        <f>F27/12*G27</f>
        <v>30713.320000000003</v>
      </c>
      <c r="J27" s="32"/>
    </row>
    <row r="28" spans="1:13" ht="15" customHeight="1">
      <c r="A28" s="173" t="s">
        <v>95</v>
      </c>
      <c r="B28" s="173"/>
      <c r="C28" s="173"/>
      <c r="D28" s="173"/>
      <c r="E28" s="173"/>
      <c r="F28" s="173"/>
      <c r="G28" s="173"/>
      <c r="H28" s="173"/>
      <c r="I28" s="173"/>
      <c r="J28" s="31"/>
      <c r="K28" s="8"/>
      <c r="L28" s="8"/>
      <c r="M28" s="8"/>
    </row>
    <row r="29" spans="1:13" ht="15.75" customHeight="1">
      <c r="A29" s="38"/>
      <c r="B29" s="155" t="s">
        <v>28</v>
      </c>
      <c r="C29" s="132"/>
      <c r="D29" s="131"/>
      <c r="E29" s="133"/>
      <c r="F29" s="134"/>
      <c r="G29" s="134"/>
      <c r="H29" s="135"/>
      <c r="I29" s="16"/>
      <c r="J29" s="31"/>
      <c r="K29" s="8"/>
      <c r="L29" s="8"/>
      <c r="M29" s="8"/>
    </row>
    <row r="30" spans="1:13" ht="31.5" customHeight="1">
      <c r="A30" s="38">
        <v>10</v>
      </c>
      <c r="B30" s="131" t="s">
        <v>121</v>
      </c>
      <c r="C30" s="132" t="s">
        <v>104</v>
      </c>
      <c r="D30" s="131" t="s">
        <v>118</v>
      </c>
      <c r="E30" s="134">
        <v>1168.05</v>
      </c>
      <c r="F30" s="134">
        <f>SUM(E30*52/1000)</f>
        <v>60.738599999999998</v>
      </c>
      <c r="G30" s="134">
        <v>155.88999999999999</v>
      </c>
      <c r="H30" s="135">
        <f t="shared" ref="H30:H36" si="1">SUM(F30*G30/1000)</f>
        <v>9.4685403539999982</v>
      </c>
      <c r="I30" s="16">
        <f>F30/6*G30</f>
        <v>1578.0900589999997</v>
      </c>
      <c r="J30" s="31"/>
      <c r="K30" s="8"/>
      <c r="L30" s="8"/>
      <c r="M30" s="8"/>
    </row>
    <row r="31" spans="1:13" ht="31.5" customHeight="1">
      <c r="A31" s="38">
        <v>11</v>
      </c>
      <c r="B31" s="131" t="s">
        <v>142</v>
      </c>
      <c r="C31" s="132" t="s">
        <v>104</v>
      </c>
      <c r="D31" s="131" t="s">
        <v>119</v>
      </c>
      <c r="E31" s="134">
        <v>1039.2</v>
      </c>
      <c r="F31" s="134">
        <f>SUM(E31*78/1000)</f>
        <v>81.057600000000008</v>
      </c>
      <c r="G31" s="134">
        <v>258.63</v>
      </c>
      <c r="H31" s="135">
        <f t="shared" si="1"/>
        <v>20.963927088000002</v>
      </c>
      <c r="I31" s="16">
        <f t="shared" ref="I31:I34" si="2">F31/6*G31</f>
        <v>3493.9878480000002</v>
      </c>
      <c r="J31" s="31"/>
      <c r="K31" s="8"/>
      <c r="L31" s="8"/>
      <c r="M31" s="8"/>
    </row>
    <row r="32" spans="1:13" ht="15.75" hidden="1" customHeight="1">
      <c r="A32" s="38">
        <v>16</v>
      </c>
      <c r="B32" s="131" t="s">
        <v>27</v>
      </c>
      <c r="C32" s="132" t="s">
        <v>104</v>
      </c>
      <c r="D32" s="131" t="s">
        <v>56</v>
      </c>
      <c r="E32" s="134">
        <v>584.03</v>
      </c>
      <c r="F32" s="134">
        <f>SUM(E32/1000)</f>
        <v>0.58402999999999994</v>
      </c>
      <c r="G32" s="134">
        <v>3020.33</v>
      </c>
      <c r="H32" s="135">
        <f t="shared" si="1"/>
        <v>1.7639633298999997</v>
      </c>
      <c r="I32" s="16">
        <f>F32*G32</f>
        <v>1763.9633298999997</v>
      </c>
      <c r="J32" s="31"/>
      <c r="K32" s="8"/>
      <c r="L32" s="8"/>
      <c r="M32" s="8"/>
    </row>
    <row r="33" spans="1:14" ht="15.75" customHeight="1">
      <c r="A33" s="38">
        <v>12</v>
      </c>
      <c r="B33" s="131" t="s">
        <v>141</v>
      </c>
      <c r="C33" s="132" t="s">
        <v>39</v>
      </c>
      <c r="D33" s="131" t="s">
        <v>68</v>
      </c>
      <c r="E33" s="134">
        <v>6</v>
      </c>
      <c r="F33" s="134">
        <f>E33*155/100</f>
        <v>9.3000000000000007</v>
      </c>
      <c r="G33" s="134">
        <v>1302.02</v>
      </c>
      <c r="H33" s="135">
        <f>G33*F33/1000</f>
        <v>12.108786</v>
      </c>
      <c r="I33" s="16">
        <f t="shared" si="2"/>
        <v>2018.1310000000001</v>
      </c>
      <c r="J33" s="31"/>
      <c r="K33" s="8"/>
      <c r="L33" s="8"/>
      <c r="M33" s="8"/>
    </row>
    <row r="34" spans="1:14" ht="15.75" customHeight="1">
      <c r="A34" s="38">
        <v>13</v>
      </c>
      <c r="B34" s="131" t="s">
        <v>120</v>
      </c>
      <c r="C34" s="132" t="s">
        <v>31</v>
      </c>
      <c r="D34" s="131" t="s">
        <v>68</v>
      </c>
      <c r="E34" s="138">
        <v>0.33333333333333331</v>
      </c>
      <c r="F34" s="134">
        <f>155/3</f>
        <v>51.666666666666664</v>
      </c>
      <c r="G34" s="134">
        <v>56.69</v>
      </c>
      <c r="H34" s="135">
        <f>SUM(G34*155/3/1000)</f>
        <v>2.9289833333333331</v>
      </c>
      <c r="I34" s="16">
        <f t="shared" si="2"/>
        <v>488.16388888888883</v>
      </c>
      <c r="J34" s="31"/>
      <c r="K34" s="8"/>
    </row>
    <row r="35" spans="1:14" ht="15.75" hidden="1" customHeight="1">
      <c r="A35" s="38"/>
      <c r="B35" s="131" t="s">
        <v>70</v>
      </c>
      <c r="C35" s="132" t="s">
        <v>33</v>
      </c>
      <c r="D35" s="131" t="s">
        <v>72</v>
      </c>
      <c r="E35" s="133"/>
      <c r="F35" s="134">
        <v>4</v>
      </c>
      <c r="G35" s="134">
        <v>180.15</v>
      </c>
      <c r="H35" s="135">
        <f t="shared" si="1"/>
        <v>0.72060000000000002</v>
      </c>
      <c r="I35" s="16">
        <v>0</v>
      </c>
      <c r="J35" s="32"/>
    </row>
    <row r="36" spans="1:14" ht="15.75" hidden="1" customHeight="1">
      <c r="A36" s="38"/>
      <c r="B36" s="131" t="s">
        <v>71</v>
      </c>
      <c r="C36" s="132" t="s">
        <v>32</v>
      </c>
      <c r="D36" s="131" t="s">
        <v>72</v>
      </c>
      <c r="E36" s="133"/>
      <c r="F36" s="134">
        <v>3</v>
      </c>
      <c r="G36" s="134">
        <v>1136.33</v>
      </c>
      <c r="H36" s="135">
        <f t="shared" si="1"/>
        <v>3.4089899999999997</v>
      </c>
      <c r="I36" s="16">
        <v>0</v>
      </c>
      <c r="J36" s="32"/>
    </row>
    <row r="37" spans="1:14" ht="15.75" hidden="1" customHeight="1">
      <c r="A37" s="38"/>
      <c r="B37" s="155" t="s">
        <v>5</v>
      </c>
      <c r="C37" s="132"/>
      <c r="D37" s="131"/>
      <c r="E37" s="133"/>
      <c r="F37" s="134"/>
      <c r="G37" s="134"/>
      <c r="H37" s="135" t="s">
        <v>179</v>
      </c>
      <c r="I37" s="16"/>
      <c r="J37" s="32"/>
    </row>
    <row r="38" spans="1:14" ht="15.75" hidden="1" customHeight="1">
      <c r="A38" s="38">
        <v>10</v>
      </c>
      <c r="B38" s="131" t="s">
        <v>26</v>
      </c>
      <c r="C38" s="132" t="s">
        <v>32</v>
      </c>
      <c r="D38" s="131"/>
      <c r="E38" s="133"/>
      <c r="F38" s="134">
        <v>10</v>
      </c>
      <c r="G38" s="134">
        <v>1527.22</v>
      </c>
      <c r="H38" s="135">
        <f t="shared" ref="H38:H45" si="3">SUM(F38*G38/1000)</f>
        <v>15.272200000000002</v>
      </c>
      <c r="I38" s="16">
        <f>F38/6*G38</f>
        <v>2545.3666666666668</v>
      </c>
      <c r="J38" s="32"/>
    </row>
    <row r="39" spans="1:14" ht="15.75" hidden="1" customHeight="1">
      <c r="A39" s="38">
        <v>11</v>
      </c>
      <c r="B39" s="131" t="s">
        <v>143</v>
      </c>
      <c r="C39" s="132" t="s">
        <v>33</v>
      </c>
      <c r="D39" s="131"/>
      <c r="E39" s="133"/>
      <c r="F39" s="134">
        <v>10</v>
      </c>
      <c r="G39" s="134">
        <v>77.94</v>
      </c>
      <c r="H39" s="135">
        <f>G39*F39/1000</f>
        <v>0.77939999999999998</v>
      </c>
      <c r="I39" s="16">
        <f>F39/6*G39</f>
        <v>129.9</v>
      </c>
      <c r="J39" s="32"/>
      <c r="L39" s="25"/>
      <c r="M39" s="26"/>
      <c r="N39" s="27"/>
    </row>
    <row r="40" spans="1:14" ht="15.75" hidden="1" customHeight="1">
      <c r="A40" s="38">
        <v>12</v>
      </c>
      <c r="B40" s="131" t="s">
        <v>122</v>
      </c>
      <c r="C40" s="132" t="s">
        <v>29</v>
      </c>
      <c r="D40" s="131" t="s">
        <v>144</v>
      </c>
      <c r="E40" s="133">
        <v>1039.2</v>
      </c>
      <c r="F40" s="134">
        <f>E40*25/1000</f>
        <v>25.98</v>
      </c>
      <c r="G40" s="134">
        <v>2102.71</v>
      </c>
      <c r="H40" s="135">
        <f>G40*F40/1000</f>
        <v>54.628405800000003</v>
      </c>
      <c r="I40" s="16">
        <f>F40/6*G40</f>
        <v>9104.7343000000001</v>
      </c>
      <c r="J40" s="32"/>
      <c r="L40" s="25"/>
      <c r="M40" s="26"/>
      <c r="N40" s="27"/>
    </row>
    <row r="41" spans="1:14" ht="15.75" hidden="1" customHeight="1">
      <c r="A41" s="38"/>
      <c r="B41" s="131" t="s">
        <v>145</v>
      </c>
      <c r="C41" s="132" t="s">
        <v>146</v>
      </c>
      <c r="D41" s="131" t="s">
        <v>72</v>
      </c>
      <c r="E41" s="133"/>
      <c r="F41" s="134">
        <v>50</v>
      </c>
      <c r="G41" s="134">
        <v>213.2</v>
      </c>
      <c r="H41" s="135">
        <f>G41*F41/1000</f>
        <v>10.66</v>
      </c>
      <c r="I41" s="16">
        <v>0</v>
      </c>
      <c r="J41" s="32"/>
      <c r="L41" s="25"/>
      <c r="M41" s="26"/>
      <c r="N41" s="27"/>
    </row>
    <row r="42" spans="1:14" ht="15.75" hidden="1" customHeight="1">
      <c r="A42" s="38">
        <v>13</v>
      </c>
      <c r="B42" s="131" t="s">
        <v>73</v>
      </c>
      <c r="C42" s="132" t="s">
        <v>29</v>
      </c>
      <c r="D42" s="131" t="s">
        <v>103</v>
      </c>
      <c r="E42" s="134">
        <v>153</v>
      </c>
      <c r="F42" s="134">
        <f>SUM(E42*155/1000)</f>
        <v>23.715</v>
      </c>
      <c r="G42" s="134">
        <v>350.75</v>
      </c>
      <c r="H42" s="135">
        <f t="shared" si="3"/>
        <v>8.3180362499999987</v>
      </c>
      <c r="I42" s="16">
        <f>F42/6*G42</f>
        <v>1386.339375</v>
      </c>
      <c r="J42" s="32"/>
      <c r="L42" s="25"/>
      <c r="M42" s="26"/>
      <c r="N42" s="27"/>
    </row>
    <row r="43" spans="1:14" ht="47.25" hidden="1" customHeight="1">
      <c r="A43" s="38">
        <v>14</v>
      </c>
      <c r="B43" s="131" t="s">
        <v>91</v>
      </c>
      <c r="C43" s="132" t="s">
        <v>104</v>
      </c>
      <c r="D43" s="131" t="s">
        <v>147</v>
      </c>
      <c r="E43" s="134">
        <v>24</v>
      </c>
      <c r="F43" s="134">
        <f>SUM(E43*50/1000)</f>
        <v>1.2</v>
      </c>
      <c r="G43" s="134">
        <v>5803.28</v>
      </c>
      <c r="H43" s="135">
        <f t="shared" si="3"/>
        <v>6.9639359999999995</v>
      </c>
      <c r="I43" s="16">
        <f>F43/6*G43</f>
        <v>1160.6559999999999</v>
      </c>
      <c r="J43" s="32"/>
      <c r="L43" s="25"/>
      <c r="M43" s="26"/>
      <c r="N43" s="27"/>
    </row>
    <row r="44" spans="1:14" ht="15.75" hidden="1" customHeight="1">
      <c r="A44" s="38">
        <v>15</v>
      </c>
      <c r="B44" s="131" t="s">
        <v>105</v>
      </c>
      <c r="C44" s="132" t="s">
        <v>104</v>
      </c>
      <c r="D44" s="131" t="s">
        <v>74</v>
      </c>
      <c r="E44" s="134">
        <v>153</v>
      </c>
      <c r="F44" s="134">
        <f>SUM(E44*45/1000)</f>
        <v>6.8849999999999998</v>
      </c>
      <c r="G44" s="134">
        <v>428.7</v>
      </c>
      <c r="H44" s="135">
        <f t="shared" si="3"/>
        <v>2.9515994999999999</v>
      </c>
      <c r="I44" s="16">
        <f>F44/6*G44</f>
        <v>491.93324999999999</v>
      </c>
      <c r="J44" s="32"/>
      <c r="L44" s="25"/>
      <c r="M44" s="26"/>
      <c r="N44" s="27"/>
    </row>
    <row r="45" spans="1:14" ht="15.75" hidden="1" customHeight="1">
      <c r="A45" s="38">
        <v>16</v>
      </c>
      <c r="B45" s="131" t="s">
        <v>75</v>
      </c>
      <c r="C45" s="132" t="s">
        <v>33</v>
      </c>
      <c r="D45" s="131"/>
      <c r="E45" s="133"/>
      <c r="F45" s="134">
        <v>0.9</v>
      </c>
      <c r="G45" s="134">
        <v>798</v>
      </c>
      <c r="H45" s="135">
        <f t="shared" si="3"/>
        <v>0.71820000000000006</v>
      </c>
      <c r="I45" s="16">
        <f>F45/6*G45</f>
        <v>119.69999999999999</v>
      </c>
      <c r="J45" s="32"/>
      <c r="L45" s="25"/>
      <c r="M45" s="26"/>
      <c r="N45" s="27"/>
    </row>
    <row r="46" spans="1:14" ht="15" hidden="1" customHeight="1">
      <c r="A46" s="174" t="s">
        <v>175</v>
      </c>
      <c r="B46" s="175"/>
      <c r="C46" s="175"/>
      <c r="D46" s="175"/>
      <c r="E46" s="175"/>
      <c r="F46" s="175"/>
      <c r="G46" s="175"/>
      <c r="H46" s="175"/>
      <c r="I46" s="176"/>
      <c r="J46" s="32"/>
      <c r="L46" s="25"/>
      <c r="M46" s="26"/>
      <c r="N46" s="27"/>
    </row>
    <row r="47" spans="1:14" ht="15.75" hidden="1" customHeight="1">
      <c r="A47" s="38"/>
      <c r="B47" s="131" t="s">
        <v>148</v>
      </c>
      <c r="C47" s="132" t="s">
        <v>104</v>
      </c>
      <c r="D47" s="131" t="s">
        <v>42</v>
      </c>
      <c r="E47" s="133">
        <v>1895</v>
      </c>
      <c r="F47" s="134">
        <f>SUM(E47*2/1000)</f>
        <v>3.79</v>
      </c>
      <c r="G47" s="16">
        <v>849.49</v>
      </c>
      <c r="H47" s="135">
        <f t="shared" ref="H47:H55" si="4">SUM(F47*G47/1000)</f>
        <v>3.2195671000000003</v>
      </c>
      <c r="I47" s="16">
        <v>0</v>
      </c>
      <c r="J47" s="32"/>
      <c r="L47" s="25"/>
      <c r="M47" s="26"/>
      <c r="N47" s="27"/>
    </row>
    <row r="48" spans="1:14" ht="15.75" hidden="1" customHeight="1">
      <c r="A48" s="38"/>
      <c r="B48" s="131" t="s">
        <v>34</v>
      </c>
      <c r="C48" s="132" t="s">
        <v>104</v>
      </c>
      <c r="D48" s="131" t="s">
        <v>42</v>
      </c>
      <c r="E48" s="133">
        <v>118.2</v>
      </c>
      <c r="F48" s="134">
        <f>E48*2/1000</f>
        <v>0.2364</v>
      </c>
      <c r="G48" s="16">
        <v>579.48</v>
      </c>
      <c r="H48" s="135">
        <f t="shared" si="4"/>
        <v>0.13698907199999999</v>
      </c>
      <c r="I48" s="16">
        <v>0</v>
      </c>
      <c r="J48" s="32"/>
      <c r="L48" s="25"/>
      <c r="M48" s="26"/>
      <c r="N48" s="27"/>
    </row>
    <row r="49" spans="1:22" ht="15.75" hidden="1" customHeight="1">
      <c r="A49" s="38"/>
      <c r="B49" s="131" t="s">
        <v>35</v>
      </c>
      <c r="C49" s="132" t="s">
        <v>104</v>
      </c>
      <c r="D49" s="131" t="s">
        <v>42</v>
      </c>
      <c r="E49" s="133">
        <v>4675</v>
      </c>
      <c r="F49" s="134">
        <f>SUM(E49*2/1000)</f>
        <v>9.35</v>
      </c>
      <c r="G49" s="16">
        <v>579.48</v>
      </c>
      <c r="H49" s="135">
        <f t="shared" si="4"/>
        <v>5.4181379999999999</v>
      </c>
      <c r="I49" s="16">
        <v>0</v>
      </c>
      <c r="J49" s="32"/>
      <c r="L49" s="25"/>
      <c r="M49" s="26"/>
      <c r="N49" s="27"/>
    </row>
    <row r="50" spans="1:22" ht="15.75" hidden="1" customHeight="1">
      <c r="A50" s="38"/>
      <c r="B50" s="131" t="s">
        <v>36</v>
      </c>
      <c r="C50" s="132" t="s">
        <v>104</v>
      </c>
      <c r="D50" s="131" t="s">
        <v>42</v>
      </c>
      <c r="E50" s="133">
        <v>4675</v>
      </c>
      <c r="F50" s="134">
        <f>SUM(E50*2/1000)</f>
        <v>9.35</v>
      </c>
      <c r="G50" s="16">
        <v>606.77</v>
      </c>
      <c r="H50" s="135">
        <f t="shared" si="4"/>
        <v>5.6732994999999988</v>
      </c>
      <c r="I50" s="16">
        <v>0</v>
      </c>
      <c r="J50" s="32"/>
      <c r="L50" s="25"/>
      <c r="M50" s="26"/>
      <c r="N50" s="27"/>
    </row>
    <row r="51" spans="1:22" ht="15.75" hidden="1" customHeight="1">
      <c r="A51" s="38">
        <v>17</v>
      </c>
      <c r="B51" s="131" t="s">
        <v>60</v>
      </c>
      <c r="C51" s="132" t="s">
        <v>104</v>
      </c>
      <c r="D51" s="131" t="s">
        <v>241</v>
      </c>
      <c r="E51" s="133">
        <v>3988</v>
      </c>
      <c r="F51" s="134">
        <f>SUM(E51*5/1000)</f>
        <v>19.940000000000001</v>
      </c>
      <c r="G51" s="16">
        <v>1142.7</v>
      </c>
      <c r="H51" s="135">
        <f t="shared" si="4"/>
        <v>22.785438000000003</v>
      </c>
      <c r="I51" s="16">
        <f>F51/5*G51</f>
        <v>4557.0876000000007</v>
      </c>
      <c r="J51" s="32"/>
      <c r="L51" s="25"/>
      <c r="M51" s="26"/>
      <c r="N51" s="27"/>
    </row>
    <row r="52" spans="1:22" ht="31.5" hidden="1" customHeight="1">
      <c r="A52" s="38"/>
      <c r="B52" s="131" t="s">
        <v>106</v>
      </c>
      <c r="C52" s="132" t="s">
        <v>104</v>
      </c>
      <c r="D52" s="131" t="s">
        <v>42</v>
      </c>
      <c r="E52" s="133">
        <v>3988</v>
      </c>
      <c r="F52" s="134">
        <f>SUM(E52*2/1000)</f>
        <v>7.976</v>
      </c>
      <c r="G52" s="16">
        <v>1213.55</v>
      </c>
      <c r="H52" s="135">
        <f t="shared" si="4"/>
        <v>9.6792748</v>
      </c>
      <c r="I52" s="16">
        <v>0</v>
      </c>
      <c r="J52" s="32"/>
      <c r="L52" s="25"/>
      <c r="M52" s="26"/>
      <c r="N52" s="27"/>
    </row>
    <row r="53" spans="1:22" ht="31.5" hidden="1" customHeight="1">
      <c r="A53" s="38"/>
      <c r="B53" s="131" t="s">
        <v>107</v>
      </c>
      <c r="C53" s="132" t="s">
        <v>37</v>
      </c>
      <c r="D53" s="131" t="s">
        <v>42</v>
      </c>
      <c r="E53" s="133">
        <v>30</v>
      </c>
      <c r="F53" s="134">
        <f>SUM(E53*2/100)</f>
        <v>0.6</v>
      </c>
      <c r="G53" s="16">
        <v>2730.49</v>
      </c>
      <c r="H53" s="135">
        <f>SUM(F53*G53/1000)</f>
        <v>1.6382939999999999</v>
      </c>
      <c r="I53" s="16">
        <v>0</v>
      </c>
      <c r="J53" s="32"/>
      <c r="L53" s="25"/>
      <c r="M53" s="26"/>
      <c r="N53" s="27"/>
    </row>
    <row r="54" spans="1:22" ht="15.75" hidden="1" customHeight="1">
      <c r="A54" s="38"/>
      <c r="B54" s="131" t="s">
        <v>38</v>
      </c>
      <c r="C54" s="132" t="s">
        <v>39</v>
      </c>
      <c r="D54" s="131" t="s">
        <v>42</v>
      </c>
      <c r="E54" s="133">
        <v>1</v>
      </c>
      <c r="F54" s="134">
        <v>0.02</v>
      </c>
      <c r="G54" s="16">
        <v>5652.13</v>
      </c>
      <c r="H54" s="135">
        <f t="shared" si="4"/>
        <v>0.11304260000000001</v>
      </c>
      <c r="I54" s="16">
        <v>0</v>
      </c>
      <c r="J54" s="32"/>
      <c r="L54" s="25"/>
      <c r="M54" s="26"/>
      <c r="N54" s="27"/>
    </row>
    <row r="55" spans="1:22" ht="15.75" hidden="1" customHeight="1">
      <c r="A55" s="38">
        <v>18</v>
      </c>
      <c r="B55" s="131" t="s">
        <v>41</v>
      </c>
      <c r="C55" s="132" t="s">
        <v>124</v>
      </c>
      <c r="D55" s="131" t="s">
        <v>76</v>
      </c>
      <c r="E55" s="133">
        <v>236</v>
      </c>
      <c r="F55" s="134">
        <f>SUM(E55)*3</f>
        <v>708</v>
      </c>
      <c r="G55" s="16">
        <v>65.67</v>
      </c>
      <c r="H55" s="135">
        <f t="shared" si="4"/>
        <v>46.49436</v>
      </c>
      <c r="I55" s="16">
        <f>E55*G55</f>
        <v>15498.12</v>
      </c>
      <c r="J55" s="32"/>
      <c r="L55" s="25"/>
      <c r="M55" s="26"/>
      <c r="N55" s="27"/>
    </row>
    <row r="56" spans="1:22" ht="15.75" customHeight="1">
      <c r="A56" s="174" t="s">
        <v>172</v>
      </c>
      <c r="B56" s="175"/>
      <c r="C56" s="175"/>
      <c r="D56" s="175"/>
      <c r="E56" s="175"/>
      <c r="F56" s="175"/>
      <c r="G56" s="175"/>
      <c r="H56" s="175"/>
      <c r="I56" s="176"/>
      <c r="J56" s="32"/>
      <c r="L56" s="25"/>
      <c r="M56" s="26"/>
      <c r="N56" s="27"/>
    </row>
    <row r="57" spans="1:22" ht="15.75" hidden="1" customHeight="1">
      <c r="A57" s="38"/>
      <c r="B57" s="155" t="s">
        <v>45</v>
      </c>
      <c r="C57" s="132"/>
      <c r="D57" s="131"/>
      <c r="E57" s="133"/>
      <c r="F57" s="134"/>
      <c r="G57" s="134"/>
      <c r="H57" s="135"/>
      <c r="I57" s="16"/>
      <c r="J57" s="32"/>
      <c r="L57" s="25"/>
      <c r="M57" s="26"/>
      <c r="N57" s="27"/>
    </row>
    <row r="58" spans="1:22" ht="31.5" hidden="1" customHeight="1">
      <c r="A58" s="38">
        <v>19</v>
      </c>
      <c r="B58" s="131" t="s">
        <v>149</v>
      </c>
      <c r="C58" s="132" t="s">
        <v>100</v>
      </c>
      <c r="D58" s="131" t="s">
        <v>125</v>
      </c>
      <c r="E58" s="133">
        <v>30</v>
      </c>
      <c r="F58" s="134">
        <f>SUM(E58*6/100)</f>
        <v>1.8</v>
      </c>
      <c r="G58" s="16">
        <v>1547.28</v>
      </c>
      <c r="H58" s="135">
        <f>SUM(F58*G58/1000)</f>
        <v>2.785104</v>
      </c>
      <c r="I58" s="16">
        <f>F58/6*G58</f>
        <v>464.18399999999997</v>
      </c>
      <c r="J58" s="32"/>
      <c r="L58" s="25"/>
    </row>
    <row r="59" spans="1:22" ht="15.75" hidden="1" customHeight="1">
      <c r="A59" s="38">
        <v>20</v>
      </c>
      <c r="B59" s="140" t="s">
        <v>150</v>
      </c>
      <c r="C59" s="141" t="s">
        <v>151</v>
      </c>
      <c r="D59" s="140" t="s">
        <v>42</v>
      </c>
      <c r="E59" s="142">
        <v>6</v>
      </c>
      <c r="F59" s="143">
        <v>12</v>
      </c>
      <c r="G59" s="16">
        <v>180.78</v>
      </c>
      <c r="H59" s="144">
        <f>G59*F59/1000</f>
        <v>2.1693600000000002</v>
      </c>
      <c r="I59" s="16">
        <f>F59/2*G59</f>
        <v>1084.68</v>
      </c>
    </row>
    <row r="60" spans="1:22" ht="15.75" hidden="1" customHeight="1">
      <c r="A60" s="38">
        <v>21</v>
      </c>
      <c r="B60" s="140" t="s">
        <v>152</v>
      </c>
      <c r="C60" s="141" t="s">
        <v>55</v>
      </c>
      <c r="D60" s="140" t="s">
        <v>40</v>
      </c>
      <c r="E60" s="142">
        <v>6</v>
      </c>
      <c r="F60" s="143">
        <f>E60*4/100</f>
        <v>0.24</v>
      </c>
      <c r="G60" s="16">
        <v>1547.28</v>
      </c>
      <c r="H60" s="144">
        <f>G60*F60/1000</f>
        <v>0.37134719999999999</v>
      </c>
      <c r="I60" s="16">
        <f>F60/4*G60</f>
        <v>92.836799999999997</v>
      </c>
    </row>
    <row r="61" spans="1:22" ht="15.75" customHeight="1">
      <c r="A61" s="38"/>
      <c r="B61" s="156" t="s">
        <v>46</v>
      </c>
      <c r="C61" s="141"/>
      <c r="D61" s="140"/>
      <c r="E61" s="142"/>
      <c r="F61" s="143"/>
      <c r="G61" s="16"/>
      <c r="H61" s="144"/>
      <c r="I61" s="16"/>
    </row>
    <row r="62" spans="1:22" ht="15.75" hidden="1" customHeight="1">
      <c r="A62" s="38">
        <v>22</v>
      </c>
      <c r="B62" s="140" t="s">
        <v>153</v>
      </c>
      <c r="C62" s="141" t="s">
        <v>55</v>
      </c>
      <c r="D62" s="140" t="s">
        <v>56</v>
      </c>
      <c r="E62" s="142">
        <v>997</v>
      </c>
      <c r="F62" s="143">
        <v>9.9700000000000006</v>
      </c>
      <c r="G62" s="16">
        <v>793.61</v>
      </c>
      <c r="H62" s="144">
        <f>F62*G62/1000</f>
        <v>7.9122917000000008</v>
      </c>
      <c r="I62" s="16">
        <f>G62*F62</f>
        <v>7912.2917000000007</v>
      </c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9"/>
    </row>
    <row r="63" spans="1:22" ht="15.75" customHeight="1">
      <c r="A63" s="38">
        <v>14</v>
      </c>
      <c r="B63" s="140" t="s">
        <v>154</v>
      </c>
      <c r="C63" s="141" t="s">
        <v>25</v>
      </c>
      <c r="D63" s="140" t="s">
        <v>30</v>
      </c>
      <c r="E63" s="142">
        <v>394</v>
      </c>
      <c r="F63" s="145">
        <f>E63*12</f>
        <v>4728</v>
      </c>
      <c r="G63" s="126">
        <v>2.6</v>
      </c>
      <c r="H63" s="143">
        <f>F63*G63/1000</f>
        <v>12.292800000000002</v>
      </c>
      <c r="I63" s="16">
        <f>F63/12*G63</f>
        <v>1024.4000000000001</v>
      </c>
      <c r="J63" s="34"/>
      <c r="K63" s="34"/>
      <c r="L63" s="3"/>
      <c r="M63" s="3"/>
      <c r="N63" s="3"/>
      <c r="O63" s="3"/>
      <c r="P63" s="3"/>
      <c r="Q63" s="3"/>
      <c r="R63" s="3"/>
      <c r="S63" s="3"/>
      <c r="T63" s="3"/>
      <c r="U63" s="3"/>
    </row>
    <row r="64" spans="1:22" ht="15.75" customHeight="1">
      <c r="A64" s="38"/>
      <c r="B64" s="156" t="s">
        <v>47</v>
      </c>
      <c r="C64" s="141"/>
      <c r="D64" s="140"/>
      <c r="E64" s="142"/>
      <c r="F64" s="145"/>
      <c r="G64" s="145"/>
      <c r="H64" s="143" t="s">
        <v>179</v>
      </c>
      <c r="I64" s="16"/>
      <c r="J64" s="3"/>
      <c r="K64" s="3"/>
      <c r="L64" s="3"/>
      <c r="M64" s="3"/>
      <c r="N64" s="3"/>
      <c r="O64" s="3"/>
      <c r="P64" s="3"/>
      <c r="Q64" s="3"/>
      <c r="S64" s="3"/>
      <c r="T64" s="3"/>
      <c r="U64" s="3"/>
    </row>
    <row r="65" spans="1:21" ht="15.75" customHeight="1">
      <c r="A65" s="38">
        <v>15</v>
      </c>
      <c r="B65" s="18" t="s">
        <v>48</v>
      </c>
      <c r="C65" s="20" t="s">
        <v>124</v>
      </c>
      <c r="D65" s="131" t="s">
        <v>72</v>
      </c>
      <c r="E65" s="23">
        <v>15</v>
      </c>
      <c r="F65" s="134">
        <v>15</v>
      </c>
      <c r="G65" s="16">
        <v>222.4</v>
      </c>
      <c r="H65" s="146">
        <f t="shared" ref="H65:H78" si="5">SUM(F65*G65/1000)</f>
        <v>3.3359999999999999</v>
      </c>
      <c r="I65" s="16">
        <f>G65</f>
        <v>222.4</v>
      </c>
      <c r="J65" s="5"/>
      <c r="K65" s="5"/>
      <c r="L65" s="5"/>
      <c r="M65" s="5"/>
      <c r="N65" s="5"/>
      <c r="O65" s="5"/>
      <c r="P65" s="5"/>
      <c r="Q65" s="5"/>
      <c r="R65" s="166"/>
      <c r="S65" s="166"/>
      <c r="T65" s="166"/>
      <c r="U65" s="166"/>
    </row>
    <row r="66" spans="1:21" ht="15.75" hidden="1" customHeight="1">
      <c r="A66" s="38">
        <v>25</v>
      </c>
      <c r="B66" s="18" t="s">
        <v>49</v>
      </c>
      <c r="C66" s="20" t="s">
        <v>124</v>
      </c>
      <c r="D66" s="131" t="s">
        <v>72</v>
      </c>
      <c r="E66" s="23">
        <v>10</v>
      </c>
      <c r="F66" s="134">
        <v>10</v>
      </c>
      <c r="G66" s="16">
        <v>76.25</v>
      </c>
      <c r="H66" s="146">
        <f t="shared" si="5"/>
        <v>0.76249999999999996</v>
      </c>
      <c r="I66" s="16">
        <f>G66</f>
        <v>76.25</v>
      </c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</row>
    <row r="67" spans="1:21" ht="15.75" hidden="1" customHeight="1">
      <c r="A67" s="38"/>
      <c r="B67" s="18" t="s">
        <v>50</v>
      </c>
      <c r="C67" s="20" t="s">
        <v>126</v>
      </c>
      <c r="D67" s="18" t="s">
        <v>56</v>
      </c>
      <c r="E67" s="133">
        <v>28608</v>
      </c>
      <c r="F67" s="16">
        <f>SUM(E67/100)</f>
        <v>286.08</v>
      </c>
      <c r="G67" s="16">
        <v>199.77</v>
      </c>
      <c r="H67" s="146">
        <f t="shared" si="5"/>
        <v>57.150201600000003</v>
      </c>
      <c r="I67" s="16">
        <f>F67*G67</f>
        <v>57150.2016</v>
      </c>
    </row>
    <row r="68" spans="1:21" ht="15.75" hidden="1" customHeight="1">
      <c r="A68" s="38"/>
      <c r="B68" s="18" t="s">
        <v>51</v>
      </c>
      <c r="C68" s="20" t="s">
        <v>127</v>
      </c>
      <c r="D68" s="18"/>
      <c r="E68" s="133">
        <v>28608</v>
      </c>
      <c r="F68" s="16">
        <f>SUM(E68/1000)</f>
        <v>28.608000000000001</v>
      </c>
      <c r="G68" s="16">
        <v>155.57</v>
      </c>
      <c r="H68" s="146">
        <f t="shared" si="5"/>
        <v>4.4505465599999994</v>
      </c>
      <c r="I68" s="16">
        <f t="shared" ref="I68:I72" si="6">F68*G68</f>
        <v>4450.5465599999998</v>
      </c>
    </row>
    <row r="69" spans="1:21" ht="15.75" hidden="1" customHeight="1">
      <c r="A69" s="38"/>
      <c r="B69" s="18" t="s">
        <v>52</v>
      </c>
      <c r="C69" s="20" t="s">
        <v>83</v>
      </c>
      <c r="D69" s="18" t="s">
        <v>56</v>
      </c>
      <c r="E69" s="133">
        <v>4550</v>
      </c>
      <c r="F69" s="16">
        <f>SUM(E69/100)</f>
        <v>45.5</v>
      </c>
      <c r="G69" s="16">
        <v>2074.63</v>
      </c>
      <c r="H69" s="146">
        <f t="shared" si="5"/>
        <v>94.395665000000008</v>
      </c>
      <c r="I69" s="16">
        <f t="shared" si="6"/>
        <v>94395.665000000008</v>
      </c>
    </row>
    <row r="70" spans="1:21" ht="15.75" hidden="1" customHeight="1">
      <c r="A70" s="38"/>
      <c r="B70" s="147" t="s">
        <v>128</v>
      </c>
      <c r="C70" s="20" t="s">
        <v>33</v>
      </c>
      <c r="D70" s="18"/>
      <c r="E70" s="133">
        <v>58.5</v>
      </c>
      <c r="F70" s="16">
        <f>SUM(E70)</f>
        <v>58.5</v>
      </c>
      <c r="G70" s="16">
        <v>45.32</v>
      </c>
      <c r="H70" s="146">
        <f t="shared" si="5"/>
        <v>2.6512199999999999</v>
      </c>
      <c r="I70" s="16">
        <f t="shared" si="6"/>
        <v>2651.22</v>
      </c>
    </row>
    <row r="71" spans="1:21" ht="15.75" hidden="1" customHeight="1">
      <c r="A71" s="38"/>
      <c r="B71" s="147" t="s">
        <v>129</v>
      </c>
      <c r="C71" s="20" t="s">
        <v>33</v>
      </c>
      <c r="D71" s="18"/>
      <c r="E71" s="133">
        <v>58.5</v>
      </c>
      <c r="F71" s="16">
        <f>SUM(E71)</f>
        <v>58.5</v>
      </c>
      <c r="G71" s="16">
        <v>42.28</v>
      </c>
      <c r="H71" s="146">
        <f t="shared" si="5"/>
        <v>2.4733800000000001</v>
      </c>
      <c r="I71" s="16">
        <f t="shared" si="6"/>
        <v>2473.38</v>
      </c>
    </row>
    <row r="72" spans="1:21" ht="15.75" hidden="1" customHeight="1">
      <c r="A72" s="38"/>
      <c r="B72" s="18" t="s">
        <v>61</v>
      </c>
      <c r="C72" s="20" t="s">
        <v>62</v>
      </c>
      <c r="D72" s="18" t="s">
        <v>56</v>
      </c>
      <c r="E72" s="23">
        <v>5</v>
      </c>
      <c r="F72" s="134">
        <v>5</v>
      </c>
      <c r="G72" s="16">
        <v>49.88</v>
      </c>
      <c r="H72" s="146">
        <f t="shared" si="5"/>
        <v>0.24940000000000001</v>
      </c>
      <c r="I72" s="16">
        <f t="shared" si="6"/>
        <v>249.4</v>
      </c>
    </row>
    <row r="73" spans="1:21" ht="15.75" hidden="1" customHeight="1">
      <c r="A73" s="38"/>
      <c r="B73" s="115" t="s">
        <v>77</v>
      </c>
      <c r="C73" s="20"/>
      <c r="D73" s="18"/>
      <c r="E73" s="23"/>
      <c r="F73" s="16"/>
      <c r="G73" s="16"/>
      <c r="H73" s="146" t="s">
        <v>179</v>
      </c>
      <c r="I73" s="16"/>
    </row>
    <row r="74" spans="1:21" ht="15.75" hidden="1" customHeight="1">
      <c r="A74" s="38"/>
      <c r="B74" s="18" t="s">
        <v>78</v>
      </c>
      <c r="C74" s="20" t="s">
        <v>80</v>
      </c>
      <c r="D74" s="18"/>
      <c r="E74" s="23">
        <v>10</v>
      </c>
      <c r="F74" s="16">
        <v>1</v>
      </c>
      <c r="G74" s="16">
        <v>501.62</v>
      </c>
      <c r="H74" s="146">
        <f t="shared" si="5"/>
        <v>0.50161999999999995</v>
      </c>
      <c r="I74" s="16">
        <v>0</v>
      </c>
    </row>
    <row r="75" spans="1:21" ht="15.75" hidden="1" customHeight="1">
      <c r="A75" s="38"/>
      <c r="B75" s="18" t="s">
        <v>79</v>
      </c>
      <c r="C75" s="20" t="s">
        <v>31</v>
      </c>
      <c r="D75" s="18"/>
      <c r="E75" s="23">
        <v>3</v>
      </c>
      <c r="F75" s="126">
        <v>3</v>
      </c>
      <c r="G75" s="16">
        <v>852.99</v>
      </c>
      <c r="H75" s="146">
        <f>F75*G75/1000</f>
        <v>2.5589700000000004</v>
      </c>
      <c r="I75" s="16">
        <v>0</v>
      </c>
    </row>
    <row r="76" spans="1:21" ht="15.75" hidden="1" customHeight="1">
      <c r="A76" s="38"/>
      <c r="B76" s="18" t="s">
        <v>131</v>
      </c>
      <c r="C76" s="20" t="s">
        <v>31</v>
      </c>
      <c r="D76" s="18"/>
      <c r="E76" s="23">
        <v>1</v>
      </c>
      <c r="F76" s="16">
        <v>1</v>
      </c>
      <c r="G76" s="16">
        <v>358.51</v>
      </c>
      <c r="H76" s="146">
        <f>G76*F76/1000</f>
        <v>0.35851</v>
      </c>
      <c r="I76" s="16">
        <v>0</v>
      </c>
    </row>
    <row r="77" spans="1:21" ht="15.75" hidden="1" customHeight="1">
      <c r="A77" s="38"/>
      <c r="B77" s="149" t="s">
        <v>81</v>
      </c>
      <c r="C77" s="20"/>
      <c r="D77" s="18"/>
      <c r="E77" s="23"/>
      <c r="F77" s="16"/>
      <c r="G77" s="16" t="s">
        <v>179</v>
      </c>
      <c r="H77" s="146" t="s">
        <v>179</v>
      </c>
      <c r="I77" s="16"/>
    </row>
    <row r="78" spans="1:21" ht="15.75" hidden="1" customHeight="1">
      <c r="A78" s="38"/>
      <c r="B78" s="68" t="s">
        <v>242</v>
      </c>
      <c r="C78" s="20" t="s">
        <v>83</v>
      </c>
      <c r="D78" s="18"/>
      <c r="E78" s="23"/>
      <c r="F78" s="16">
        <v>1.2</v>
      </c>
      <c r="G78" s="16">
        <v>2759.44</v>
      </c>
      <c r="H78" s="146">
        <f t="shared" si="5"/>
        <v>3.311328</v>
      </c>
      <c r="I78" s="16">
        <v>0</v>
      </c>
    </row>
    <row r="79" spans="1:21" ht="15.75" hidden="1" customHeight="1">
      <c r="A79" s="38"/>
      <c r="B79" s="125" t="s">
        <v>108</v>
      </c>
      <c r="C79" s="125"/>
      <c r="D79" s="125"/>
      <c r="E79" s="125"/>
      <c r="F79" s="125"/>
      <c r="G79" s="137"/>
      <c r="H79" s="150">
        <f>SUM(H58:H78)</f>
        <v>197.73024405999999</v>
      </c>
      <c r="I79" s="137"/>
    </row>
    <row r="80" spans="1:21" ht="15.75" hidden="1" customHeight="1">
      <c r="A80" s="38"/>
      <c r="B80" s="157" t="s">
        <v>130</v>
      </c>
      <c r="C80" s="29"/>
      <c r="D80" s="28"/>
      <c r="E80" s="127"/>
      <c r="F80" s="158">
        <v>1</v>
      </c>
      <c r="G80" s="16">
        <v>23072.1</v>
      </c>
      <c r="H80" s="146">
        <f>G80*F80/1000</f>
        <v>23.072099999999999</v>
      </c>
      <c r="I80" s="16">
        <v>0</v>
      </c>
    </row>
    <row r="81" spans="1:9" ht="15.75" customHeight="1">
      <c r="A81" s="167" t="s">
        <v>171</v>
      </c>
      <c r="B81" s="168"/>
      <c r="C81" s="168"/>
      <c r="D81" s="168"/>
      <c r="E81" s="168"/>
      <c r="F81" s="168"/>
      <c r="G81" s="168"/>
      <c r="H81" s="168"/>
      <c r="I81" s="169"/>
    </row>
    <row r="82" spans="1:9" ht="15.75" customHeight="1">
      <c r="A82" s="38">
        <v>16</v>
      </c>
      <c r="B82" s="131" t="s">
        <v>132</v>
      </c>
      <c r="C82" s="20" t="s">
        <v>58</v>
      </c>
      <c r="D82" s="92" t="s">
        <v>59</v>
      </c>
      <c r="E82" s="16">
        <v>6980.3</v>
      </c>
      <c r="F82" s="16">
        <f>SUM(E82*12)</f>
        <v>83763.600000000006</v>
      </c>
      <c r="G82" s="16">
        <v>2.1</v>
      </c>
      <c r="H82" s="146">
        <f>SUM(F82*G82/1000)</f>
        <v>175.90356000000003</v>
      </c>
      <c r="I82" s="16">
        <f>F82/12*G82</f>
        <v>14658.630000000001</v>
      </c>
    </row>
    <row r="83" spans="1:9" ht="31.5" customHeight="1">
      <c r="A83" s="38">
        <v>17</v>
      </c>
      <c r="B83" s="18" t="s">
        <v>84</v>
      </c>
      <c r="C83" s="20"/>
      <c r="D83" s="92" t="s">
        <v>59</v>
      </c>
      <c r="E83" s="133">
        <f>E82</f>
        <v>6980.3</v>
      </c>
      <c r="F83" s="16">
        <f>E83*12</f>
        <v>83763.600000000006</v>
      </c>
      <c r="G83" s="16">
        <v>1.63</v>
      </c>
      <c r="H83" s="146">
        <f>F83*G83/1000</f>
        <v>136.53466800000001</v>
      </c>
      <c r="I83" s="16">
        <f>F83/12*G83</f>
        <v>11377.888999999999</v>
      </c>
    </row>
    <row r="84" spans="1:9" ht="15.75" customHeight="1">
      <c r="A84" s="38"/>
      <c r="B84" s="55" t="s">
        <v>88</v>
      </c>
      <c r="C84" s="149"/>
      <c r="D84" s="148"/>
      <c r="E84" s="137"/>
      <c r="F84" s="137"/>
      <c r="G84" s="137"/>
      <c r="H84" s="150">
        <f>H83</f>
        <v>136.53466800000001</v>
      </c>
      <c r="I84" s="137">
        <f>I16+I17+I18+I20+I21+I24+I25+I26+I27+I30+I31+I33+I34+I63+I65+I82+I83</f>
        <v>94157.889781888865</v>
      </c>
    </row>
    <row r="85" spans="1:9" ht="15.75" customHeight="1">
      <c r="A85" s="38"/>
      <c r="B85" s="88" t="s">
        <v>64</v>
      </c>
      <c r="C85" s="20"/>
      <c r="D85" s="68"/>
      <c r="E85" s="16"/>
      <c r="F85" s="16"/>
      <c r="G85" s="16"/>
      <c r="H85" s="16"/>
      <c r="I85" s="16"/>
    </row>
    <row r="86" spans="1:9" ht="15.75" customHeight="1">
      <c r="A86" s="38">
        <v>18</v>
      </c>
      <c r="B86" s="89" t="s">
        <v>155</v>
      </c>
      <c r="C86" s="110" t="s">
        <v>124</v>
      </c>
      <c r="D86" s="18"/>
      <c r="E86" s="23"/>
      <c r="F86" s="16">
        <v>1440</v>
      </c>
      <c r="G86" s="16">
        <v>50.68</v>
      </c>
      <c r="H86" s="146">
        <f t="shared" ref="H86:H95" si="7">G86*F86/1000</f>
        <v>72.979199999999992</v>
      </c>
      <c r="I86" s="16">
        <f>G86*120</f>
        <v>6081.6</v>
      </c>
    </row>
    <row r="87" spans="1:9" ht="15.75" customHeight="1">
      <c r="A87" s="38">
        <v>19</v>
      </c>
      <c r="B87" s="111" t="s">
        <v>94</v>
      </c>
      <c r="C87" s="110" t="s">
        <v>124</v>
      </c>
      <c r="D87" s="18"/>
      <c r="E87" s="23"/>
      <c r="F87" s="16">
        <v>13</v>
      </c>
      <c r="G87" s="16">
        <v>179.96</v>
      </c>
      <c r="H87" s="146">
        <f t="shared" si="7"/>
        <v>2.33948</v>
      </c>
      <c r="I87" s="16">
        <f>G87*2</f>
        <v>359.92</v>
      </c>
    </row>
    <row r="88" spans="1:9" ht="31.5" customHeight="1">
      <c r="A88" s="38">
        <v>20</v>
      </c>
      <c r="B88" s="89" t="s">
        <v>180</v>
      </c>
      <c r="C88" s="110" t="s">
        <v>181</v>
      </c>
      <c r="D88" s="18"/>
      <c r="E88" s="23"/>
      <c r="F88" s="16">
        <v>3</v>
      </c>
      <c r="G88" s="16">
        <v>51.39</v>
      </c>
      <c r="H88" s="146">
        <f t="shared" si="7"/>
        <v>0.15417000000000003</v>
      </c>
      <c r="I88" s="16">
        <f>G88</f>
        <v>51.39</v>
      </c>
    </row>
    <row r="89" spans="1:9" ht="15.75" customHeight="1">
      <c r="A89" s="38">
        <v>21</v>
      </c>
      <c r="B89" s="89" t="s">
        <v>90</v>
      </c>
      <c r="C89" s="110" t="s">
        <v>124</v>
      </c>
      <c r="D89" s="18"/>
      <c r="E89" s="23"/>
      <c r="F89" s="16">
        <v>19</v>
      </c>
      <c r="G89" s="16">
        <v>180.15</v>
      </c>
      <c r="H89" s="146">
        <f t="shared" si="7"/>
        <v>3.4228499999999999</v>
      </c>
      <c r="I89" s="16">
        <f>G89</f>
        <v>180.15</v>
      </c>
    </row>
    <row r="90" spans="1:9" ht="15.75" customHeight="1">
      <c r="A90" s="38">
        <v>22</v>
      </c>
      <c r="B90" s="89" t="s">
        <v>162</v>
      </c>
      <c r="C90" s="110" t="s">
        <v>92</v>
      </c>
      <c r="D90" s="18"/>
      <c r="E90" s="23"/>
      <c r="F90" s="16">
        <v>9</v>
      </c>
      <c r="G90" s="16">
        <v>185.81</v>
      </c>
      <c r="H90" s="146">
        <f>G90*F90/1000</f>
        <v>1.6722900000000001</v>
      </c>
      <c r="I90" s="16">
        <f>G90</f>
        <v>185.81</v>
      </c>
    </row>
    <row r="91" spans="1:9" ht="15.75" customHeight="1">
      <c r="A91" s="38">
        <v>23</v>
      </c>
      <c r="B91" s="153" t="s">
        <v>160</v>
      </c>
      <c r="C91" s="154" t="s">
        <v>161</v>
      </c>
      <c r="D91" s="68"/>
      <c r="E91" s="16"/>
      <c r="F91" s="16">
        <f>24/3</f>
        <v>8</v>
      </c>
      <c r="G91" s="16">
        <v>1063.47</v>
      </c>
      <c r="H91" s="146">
        <f>G91*F91/1000</f>
        <v>8.5077600000000011</v>
      </c>
      <c r="I91" s="16">
        <f>G91</f>
        <v>1063.47</v>
      </c>
    </row>
    <row r="92" spans="1:9" ht="15.75" customHeight="1">
      <c r="A92" s="38">
        <v>24</v>
      </c>
      <c r="B92" s="89" t="s">
        <v>205</v>
      </c>
      <c r="C92" s="110" t="s">
        <v>183</v>
      </c>
      <c r="D92" s="68"/>
      <c r="E92" s="16"/>
      <c r="F92" s="16">
        <v>1</v>
      </c>
      <c r="G92" s="16">
        <v>111.11</v>
      </c>
      <c r="H92" s="146">
        <f t="shared" si="7"/>
        <v>0.11111</v>
      </c>
      <c r="I92" s="16">
        <f>G92</f>
        <v>111.11</v>
      </c>
    </row>
    <row r="93" spans="1:9" ht="15.75" customHeight="1">
      <c r="A93" s="38">
        <v>25</v>
      </c>
      <c r="B93" s="89" t="s">
        <v>220</v>
      </c>
      <c r="C93" s="110" t="s">
        <v>183</v>
      </c>
      <c r="D93" s="68"/>
      <c r="E93" s="16"/>
      <c r="F93" s="16">
        <v>2</v>
      </c>
      <c r="G93" s="16">
        <v>195.95</v>
      </c>
      <c r="H93" s="146">
        <f t="shared" si="7"/>
        <v>0.39189999999999997</v>
      </c>
      <c r="I93" s="16">
        <f>G93*2</f>
        <v>391.9</v>
      </c>
    </row>
    <row r="94" spans="1:9" ht="15.75" customHeight="1">
      <c r="A94" s="38">
        <v>26</v>
      </c>
      <c r="B94" s="89" t="s">
        <v>221</v>
      </c>
      <c r="C94" s="110" t="s">
        <v>203</v>
      </c>
      <c r="D94" s="68"/>
      <c r="E94" s="16"/>
      <c r="F94" s="16">
        <v>1</v>
      </c>
      <c r="G94" s="16">
        <v>14779</v>
      </c>
      <c r="H94" s="146">
        <f t="shared" si="7"/>
        <v>14.779</v>
      </c>
      <c r="I94" s="16">
        <f>G94</f>
        <v>14779</v>
      </c>
    </row>
    <row r="95" spans="1:9" ht="31.5" customHeight="1">
      <c r="A95" s="38">
        <v>27</v>
      </c>
      <c r="B95" s="89" t="s">
        <v>222</v>
      </c>
      <c r="C95" s="152" t="s">
        <v>89</v>
      </c>
      <c r="D95" s="68"/>
      <c r="E95" s="16"/>
      <c r="F95" s="16">
        <v>1</v>
      </c>
      <c r="G95" s="16">
        <v>2367.11</v>
      </c>
      <c r="H95" s="146">
        <f t="shared" si="7"/>
        <v>2.3671100000000003</v>
      </c>
      <c r="I95" s="16">
        <f>G95</f>
        <v>2367.11</v>
      </c>
    </row>
    <row r="96" spans="1:9" ht="15.75" customHeight="1">
      <c r="A96" s="38"/>
      <c r="B96" s="62" t="s">
        <v>53</v>
      </c>
      <c r="C96" s="58"/>
      <c r="D96" s="72"/>
      <c r="E96" s="58">
        <v>1</v>
      </c>
      <c r="F96" s="58"/>
      <c r="G96" s="58"/>
      <c r="H96" s="58"/>
      <c r="I96" s="40">
        <f>SUM(I86:I95)</f>
        <v>25571.46</v>
      </c>
    </row>
    <row r="97" spans="1:9">
      <c r="A97" s="38"/>
      <c r="B97" s="68" t="s">
        <v>85</v>
      </c>
      <c r="C97" s="19"/>
      <c r="D97" s="19"/>
      <c r="E97" s="59"/>
      <c r="F97" s="59"/>
      <c r="G97" s="60"/>
      <c r="H97" s="60"/>
      <c r="I97" s="22">
        <v>0</v>
      </c>
    </row>
    <row r="98" spans="1:9">
      <c r="A98" s="73"/>
      <c r="B98" s="63" t="s">
        <v>54</v>
      </c>
      <c r="C98" s="46"/>
      <c r="D98" s="46"/>
      <c r="E98" s="46"/>
      <c r="F98" s="46"/>
      <c r="G98" s="46"/>
      <c r="H98" s="46"/>
      <c r="I98" s="61">
        <f>I84+I96</f>
        <v>119729.34978188886</v>
      </c>
    </row>
    <row r="99" spans="1:9" ht="15.75">
      <c r="A99" s="170" t="s">
        <v>265</v>
      </c>
      <c r="B99" s="170"/>
      <c r="C99" s="170"/>
      <c r="D99" s="170"/>
      <c r="E99" s="170"/>
      <c r="F99" s="170"/>
      <c r="G99" s="170"/>
      <c r="H99" s="170"/>
      <c r="I99" s="170"/>
    </row>
    <row r="100" spans="1:9" ht="15.75" customHeight="1">
      <c r="A100" s="108"/>
      <c r="B100" s="171" t="s">
        <v>266</v>
      </c>
      <c r="C100" s="171"/>
      <c r="D100" s="171"/>
      <c r="E100" s="171"/>
      <c r="F100" s="171"/>
      <c r="G100" s="171"/>
      <c r="H100" s="130"/>
      <c r="I100" s="3"/>
    </row>
    <row r="101" spans="1:9">
      <c r="A101" s="120"/>
      <c r="B101" s="164" t="s">
        <v>6</v>
      </c>
      <c r="C101" s="164"/>
      <c r="D101" s="164"/>
      <c r="E101" s="164"/>
      <c r="F101" s="164"/>
      <c r="G101" s="164"/>
      <c r="H101" s="33"/>
      <c r="I101" s="5"/>
    </row>
    <row r="102" spans="1:9">
      <c r="A102" s="10"/>
      <c r="B102" s="10"/>
      <c r="C102" s="10"/>
      <c r="D102" s="10"/>
      <c r="E102" s="10"/>
      <c r="F102" s="10"/>
      <c r="G102" s="10"/>
      <c r="H102" s="10"/>
      <c r="I102" s="10"/>
    </row>
    <row r="103" spans="1:9" ht="15.75">
      <c r="A103" s="172" t="s">
        <v>7</v>
      </c>
      <c r="B103" s="172"/>
      <c r="C103" s="172"/>
      <c r="D103" s="172"/>
      <c r="E103" s="172"/>
      <c r="F103" s="172"/>
      <c r="G103" s="172"/>
      <c r="H103" s="172"/>
      <c r="I103" s="172"/>
    </row>
    <row r="104" spans="1:9" ht="15.75">
      <c r="A104" s="172" t="s">
        <v>8</v>
      </c>
      <c r="B104" s="172"/>
      <c r="C104" s="172"/>
      <c r="D104" s="172"/>
      <c r="E104" s="172"/>
      <c r="F104" s="172"/>
      <c r="G104" s="172"/>
      <c r="H104" s="172"/>
      <c r="I104" s="172"/>
    </row>
    <row r="105" spans="1:9" ht="15.75">
      <c r="A105" s="161" t="s">
        <v>65</v>
      </c>
      <c r="B105" s="161"/>
      <c r="C105" s="161"/>
      <c r="D105" s="161"/>
      <c r="E105" s="161"/>
      <c r="F105" s="161"/>
      <c r="G105" s="161"/>
      <c r="H105" s="161"/>
      <c r="I105" s="161"/>
    </row>
    <row r="106" spans="1:9" ht="15.75">
      <c r="A106" s="11"/>
    </row>
    <row r="107" spans="1:9" ht="15.75">
      <c r="A107" s="162" t="s">
        <v>9</v>
      </c>
      <c r="B107" s="162"/>
      <c r="C107" s="162"/>
      <c r="D107" s="162"/>
      <c r="E107" s="162"/>
      <c r="F107" s="162"/>
      <c r="G107" s="162"/>
      <c r="H107" s="162"/>
      <c r="I107" s="162"/>
    </row>
    <row r="108" spans="1:9" ht="15.75" customHeight="1">
      <c r="A108" s="4"/>
    </row>
    <row r="109" spans="1:9" ht="15.75" customHeight="1">
      <c r="B109" s="117" t="s">
        <v>10</v>
      </c>
      <c r="C109" s="163" t="s">
        <v>170</v>
      </c>
      <c r="D109" s="163"/>
      <c r="E109" s="163"/>
      <c r="F109" s="128"/>
      <c r="I109" s="119"/>
    </row>
    <row r="110" spans="1:9" ht="15.75" customHeight="1">
      <c r="A110" s="120"/>
      <c r="C110" s="164" t="s">
        <v>11</v>
      </c>
      <c r="D110" s="164"/>
      <c r="E110" s="164"/>
      <c r="F110" s="33"/>
      <c r="I110" s="118" t="s">
        <v>12</v>
      </c>
    </row>
    <row r="111" spans="1:9" ht="15.75" customHeight="1">
      <c r="A111" s="34"/>
      <c r="C111" s="12"/>
      <c r="D111" s="12"/>
      <c r="G111" s="12"/>
      <c r="H111" s="12"/>
    </row>
    <row r="112" spans="1:9" ht="15.75">
      <c r="B112" s="117" t="s">
        <v>13</v>
      </c>
      <c r="C112" s="165"/>
      <c r="D112" s="165"/>
      <c r="E112" s="165"/>
      <c r="F112" s="129"/>
      <c r="I112" s="119"/>
    </row>
    <row r="113" spans="1:9">
      <c r="A113" s="120"/>
      <c r="C113" s="166" t="s">
        <v>11</v>
      </c>
      <c r="D113" s="166"/>
      <c r="E113" s="166"/>
      <c r="F113" s="120"/>
      <c r="I113" s="118" t="s">
        <v>12</v>
      </c>
    </row>
    <row r="114" spans="1:9" ht="15.75">
      <c r="A114" s="4" t="s">
        <v>14</v>
      </c>
    </row>
    <row r="115" spans="1:9">
      <c r="A115" s="159" t="s">
        <v>15</v>
      </c>
      <c r="B115" s="159"/>
      <c r="C115" s="159"/>
      <c r="D115" s="159"/>
      <c r="E115" s="159"/>
      <c r="F115" s="159"/>
      <c r="G115" s="159"/>
      <c r="H115" s="159"/>
      <c r="I115" s="159"/>
    </row>
    <row r="116" spans="1:9" ht="45" customHeight="1">
      <c r="A116" s="160" t="s">
        <v>16</v>
      </c>
      <c r="B116" s="160"/>
      <c r="C116" s="160"/>
      <c r="D116" s="160"/>
      <c r="E116" s="160"/>
      <c r="F116" s="160"/>
      <c r="G116" s="160"/>
      <c r="H116" s="160"/>
      <c r="I116" s="160"/>
    </row>
    <row r="117" spans="1:9" ht="30" customHeight="1">
      <c r="A117" s="160" t="s">
        <v>17</v>
      </c>
      <c r="B117" s="160"/>
      <c r="C117" s="160"/>
      <c r="D117" s="160"/>
      <c r="E117" s="160"/>
      <c r="F117" s="160"/>
      <c r="G117" s="160"/>
      <c r="H117" s="160"/>
      <c r="I117" s="160"/>
    </row>
    <row r="118" spans="1:9" ht="30" customHeight="1">
      <c r="A118" s="160" t="s">
        <v>21</v>
      </c>
      <c r="B118" s="160"/>
      <c r="C118" s="160"/>
      <c r="D118" s="160"/>
      <c r="E118" s="160"/>
      <c r="F118" s="160"/>
      <c r="G118" s="160"/>
      <c r="H118" s="160"/>
      <c r="I118" s="160"/>
    </row>
    <row r="119" spans="1:9" ht="15" customHeight="1">
      <c r="A119" s="160" t="s">
        <v>20</v>
      </c>
      <c r="B119" s="160"/>
      <c r="C119" s="160"/>
      <c r="D119" s="160"/>
      <c r="E119" s="160"/>
      <c r="F119" s="160"/>
      <c r="G119" s="160"/>
      <c r="H119" s="160"/>
      <c r="I119" s="160"/>
    </row>
  </sheetData>
  <autoFilter ref="I12:I60"/>
  <mergeCells count="28">
    <mergeCell ref="A116:I116"/>
    <mergeCell ref="A117:I117"/>
    <mergeCell ref="A118:I118"/>
    <mergeCell ref="A119:I119"/>
    <mergeCell ref="A107:I107"/>
    <mergeCell ref="C109:E109"/>
    <mergeCell ref="C110:E110"/>
    <mergeCell ref="C112:E112"/>
    <mergeCell ref="C113:E113"/>
    <mergeCell ref="A115:I115"/>
    <mergeCell ref="A99:I99"/>
    <mergeCell ref="B100:G100"/>
    <mergeCell ref="B101:G101"/>
    <mergeCell ref="A103:I103"/>
    <mergeCell ref="A104:I104"/>
    <mergeCell ref="A105:I105"/>
    <mergeCell ref="A15:I15"/>
    <mergeCell ref="A28:I28"/>
    <mergeCell ref="A46:I46"/>
    <mergeCell ref="A56:I56"/>
    <mergeCell ref="R65:U65"/>
    <mergeCell ref="A81:I81"/>
    <mergeCell ref="A3:I3"/>
    <mergeCell ref="A4:I4"/>
    <mergeCell ref="A5:I5"/>
    <mergeCell ref="A8:I8"/>
    <mergeCell ref="A10:I10"/>
    <mergeCell ref="A14:I14"/>
  </mergeCells>
  <pageMargins left="0.70866141732283472" right="0.23622047244094491" top="0.27559055118110237" bottom="0.27559055118110237" header="0.31496062992125984" footer="0.31496062992125984"/>
  <pageSetup paperSize="9" scale="60" orientation="portrait" r:id="rId1"/>
  <colBreaks count="1" manualBreakCount="1">
    <brk id="9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>
  <dimension ref="A1:V114"/>
  <sheetViews>
    <sheetView workbookViewId="0">
      <selection activeCell="A3" sqref="A3:I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36" t="s">
        <v>96</v>
      </c>
      <c r="I1" s="35"/>
      <c r="J1" s="1"/>
      <c r="K1" s="1"/>
      <c r="L1" s="1"/>
      <c r="M1" s="1"/>
    </row>
    <row r="2" spans="1:13" ht="15.75">
      <c r="A2" s="37" t="s">
        <v>67</v>
      </c>
      <c r="J2" s="2"/>
      <c r="K2" s="2"/>
      <c r="L2" s="2"/>
      <c r="M2" s="2"/>
    </row>
    <row r="3" spans="1:13" ht="15.75" customHeight="1">
      <c r="A3" s="177" t="s">
        <v>267</v>
      </c>
      <c r="B3" s="177"/>
      <c r="C3" s="177"/>
      <c r="D3" s="177"/>
      <c r="E3" s="177"/>
      <c r="F3" s="177"/>
      <c r="G3" s="177"/>
      <c r="H3" s="177"/>
      <c r="I3" s="177"/>
      <c r="J3" s="3"/>
      <c r="K3" s="3"/>
      <c r="L3" s="3"/>
    </row>
    <row r="4" spans="1:13" ht="31.5" customHeight="1">
      <c r="A4" s="178" t="s">
        <v>159</v>
      </c>
      <c r="B4" s="178"/>
      <c r="C4" s="178"/>
      <c r="D4" s="178"/>
      <c r="E4" s="178"/>
      <c r="F4" s="178"/>
      <c r="G4" s="178"/>
      <c r="H4" s="178"/>
      <c r="I4" s="178"/>
    </row>
    <row r="5" spans="1:13" ht="15.75">
      <c r="A5" s="177" t="s">
        <v>268</v>
      </c>
      <c r="B5" s="179"/>
      <c r="C5" s="179"/>
      <c r="D5" s="179"/>
      <c r="E5" s="179"/>
      <c r="F5" s="179"/>
      <c r="G5" s="179"/>
      <c r="H5" s="179"/>
      <c r="I5" s="179"/>
      <c r="J5" s="2"/>
      <c r="K5" s="2"/>
      <c r="L5" s="2"/>
      <c r="M5" s="2"/>
    </row>
    <row r="6" spans="1:13" ht="15.75">
      <c r="A6" s="2"/>
      <c r="B6" s="116"/>
      <c r="C6" s="116"/>
      <c r="D6" s="116"/>
      <c r="E6" s="116"/>
      <c r="F6" s="116"/>
      <c r="G6" s="116"/>
      <c r="H6" s="116"/>
      <c r="I6" s="39">
        <v>42613</v>
      </c>
      <c r="J6" s="2"/>
      <c r="K6" s="2"/>
      <c r="L6" s="2"/>
      <c r="M6" s="2"/>
    </row>
    <row r="7" spans="1:13" ht="15.75">
      <c r="B7" s="117"/>
      <c r="C7" s="117"/>
      <c r="D7" s="117"/>
      <c r="E7" s="3"/>
      <c r="F7" s="3"/>
      <c r="G7" s="3"/>
      <c r="H7" s="3"/>
      <c r="J7" s="3"/>
      <c r="K7" s="3"/>
      <c r="L7" s="3"/>
      <c r="M7" s="3"/>
    </row>
    <row r="8" spans="1:13" ht="87" customHeight="1">
      <c r="A8" s="180" t="s">
        <v>174</v>
      </c>
      <c r="B8" s="180"/>
      <c r="C8" s="180"/>
      <c r="D8" s="180"/>
      <c r="E8" s="180"/>
      <c r="F8" s="180"/>
      <c r="G8" s="180"/>
      <c r="H8" s="180"/>
      <c r="I8" s="180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55.5" customHeight="1">
      <c r="A10" s="181" t="s">
        <v>173</v>
      </c>
      <c r="B10" s="181"/>
      <c r="C10" s="181"/>
      <c r="D10" s="181"/>
      <c r="E10" s="181"/>
      <c r="F10" s="181"/>
      <c r="G10" s="181"/>
      <c r="H10" s="181"/>
      <c r="I10" s="181"/>
      <c r="J10" s="2"/>
      <c r="K10" s="2"/>
      <c r="L10" s="2"/>
      <c r="M10" s="2"/>
    </row>
    <row r="11" spans="1:13" ht="15.75">
      <c r="A11" s="4"/>
    </row>
    <row r="12" spans="1:13" ht="4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182" t="s">
        <v>63</v>
      </c>
      <c r="B14" s="182"/>
      <c r="C14" s="182"/>
      <c r="D14" s="182"/>
      <c r="E14" s="182"/>
      <c r="F14" s="182"/>
      <c r="G14" s="182"/>
      <c r="H14" s="182"/>
      <c r="I14" s="182"/>
      <c r="J14" s="8"/>
      <c r="K14" s="8"/>
      <c r="L14" s="8"/>
      <c r="M14" s="8"/>
    </row>
    <row r="15" spans="1:13" ht="15" customHeight="1">
      <c r="A15" s="173" t="s">
        <v>4</v>
      </c>
      <c r="B15" s="173"/>
      <c r="C15" s="173"/>
      <c r="D15" s="173"/>
      <c r="E15" s="173"/>
      <c r="F15" s="173"/>
      <c r="G15" s="173"/>
      <c r="H15" s="173"/>
      <c r="I15" s="173"/>
      <c r="J15" s="8"/>
      <c r="K15" s="8"/>
      <c r="L15" s="8"/>
      <c r="M15" s="8"/>
    </row>
    <row r="16" spans="1:13" ht="31.5" customHeight="1">
      <c r="A16" s="38">
        <v>1</v>
      </c>
      <c r="B16" s="131" t="s">
        <v>99</v>
      </c>
      <c r="C16" s="132" t="s">
        <v>100</v>
      </c>
      <c r="D16" s="131" t="s">
        <v>101</v>
      </c>
      <c r="E16" s="133">
        <v>208.08</v>
      </c>
      <c r="F16" s="134">
        <f>SUM(E16*156/100)</f>
        <v>324.60480000000001</v>
      </c>
      <c r="G16" s="134">
        <v>175.38</v>
      </c>
      <c r="H16" s="135">
        <f t="shared" ref="H16:H25" si="0">SUM(F16*G16/1000)</f>
        <v>56.929189823999998</v>
      </c>
      <c r="I16" s="16">
        <f>F16/12*G16</f>
        <v>4744.0991519999998</v>
      </c>
      <c r="J16" s="30"/>
      <c r="K16" s="8"/>
      <c r="L16" s="8"/>
      <c r="M16" s="8"/>
    </row>
    <row r="17" spans="1:13" ht="31.5" customHeight="1">
      <c r="A17" s="38">
        <v>2</v>
      </c>
      <c r="B17" s="131" t="s">
        <v>135</v>
      </c>
      <c r="C17" s="132" t="s">
        <v>100</v>
      </c>
      <c r="D17" s="131" t="s">
        <v>102</v>
      </c>
      <c r="E17" s="133">
        <v>832.32</v>
      </c>
      <c r="F17" s="134">
        <f>SUM(E17*104/100)</f>
        <v>865.61279999999999</v>
      </c>
      <c r="G17" s="134">
        <v>175.38</v>
      </c>
      <c r="H17" s="135">
        <f t="shared" si="0"/>
        <v>151.81117286399999</v>
      </c>
      <c r="I17" s="16">
        <f>F17/12*G17</f>
        <v>12650.931071999999</v>
      </c>
      <c r="J17" s="31"/>
      <c r="K17" s="8"/>
      <c r="L17" s="8"/>
      <c r="M17" s="8"/>
    </row>
    <row r="18" spans="1:13" ht="31.5" customHeight="1">
      <c r="A18" s="38">
        <v>3</v>
      </c>
      <c r="B18" s="131" t="s">
        <v>136</v>
      </c>
      <c r="C18" s="132" t="s">
        <v>100</v>
      </c>
      <c r="D18" s="131" t="s">
        <v>240</v>
      </c>
      <c r="E18" s="133">
        <v>1040.4000000000001</v>
      </c>
      <c r="F18" s="134">
        <f>SUM(E18*24/100)</f>
        <v>249.69600000000003</v>
      </c>
      <c r="G18" s="134">
        <v>504.5</v>
      </c>
      <c r="H18" s="135">
        <f t="shared" si="0"/>
        <v>125.97163200000001</v>
      </c>
      <c r="I18" s="16">
        <f>F18/12*G18</f>
        <v>10497.636000000002</v>
      </c>
      <c r="J18" s="31"/>
      <c r="K18" s="8"/>
      <c r="L18" s="8"/>
      <c r="M18" s="8"/>
    </row>
    <row r="19" spans="1:13" ht="15.75" hidden="1" customHeight="1">
      <c r="A19" s="38"/>
      <c r="B19" s="131" t="s">
        <v>109</v>
      </c>
      <c r="C19" s="132" t="s">
        <v>110</v>
      </c>
      <c r="D19" s="131" t="s">
        <v>111</v>
      </c>
      <c r="E19" s="133">
        <v>48</v>
      </c>
      <c r="F19" s="134">
        <f>SUM(E19/10)</f>
        <v>4.8</v>
      </c>
      <c r="G19" s="134">
        <v>170.16</v>
      </c>
      <c r="H19" s="135">
        <f t="shared" si="0"/>
        <v>0.81676799999999994</v>
      </c>
      <c r="I19" s="16">
        <v>0</v>
      </c>
      <c r="J19" s="31"/>
      <c r="K19" s="8"/>
      <c r="L19" s="8"/>
      <c r="M19" s="8"/>
    </row>
    <row r="20" spans="1:13" ht="15.75" customHeight="1">
      <c r="A20" s="38">
        <v>4</v>
      </c>
      <c r="B20" s="131" t="s">
        <v>112</v>
      </c>
      <c r="C20" s="132" t="s">
        <v>100</v>
      </c>
      <c r="D20" s="131" t="s">
        <v>138</v>
      </c>
      <c r="E20" s="133">
        <v>30.6</v>
      </c>
      <c r="F20" s="134">
        <f>SUM(E20*12/100)</f>
        <v>3.6720000000000006</v>
      </c>
      <c r="G20" s="134">
        <v>217.88</v>
      </c>
      <c r="H20" s="135">
        <f t="shared" si="0"/>
        <v>0.8000553600000001</v>
      </c>
      <c r="I20" s="16">
        <f>F20/12*G20</f>
        <v>66.67128000000001</v>
      </c>
      <c r="J20" s="31"/>
      <c r="K20" s="8"/>
      <c r="L20" s="8"/>
      <c r="M20" s="8"/>
    </row>
    <row r="21" spans="1:13" ht="15.75" customHeight="1">
      <c r="A21" s="38">
        <v>5</v>
      </c>
      <c r="B21" s="131" t="s">
        <v>113</v>
      </c>
      <c r="C21" s="132" t="s">
        <v>100</v>
      </c>
      <c r="D21" s="131" t="s">
        <v>30</v>
      </c>
      <c r="E21" s="133">
        <v>10.06</v>
      </c>
      <c r="F21" s="134">
        <f>SUM(E21*12/100)</f>
        <v>1.2072000000000001</v>
      </c>
      <c r="G21" s="134">
        <v>216.12</v>
      </c>
      <c r="H21" s="135">
        <f t="shared" si="0"/>
        <v>0.26090006400000004</v>
      </c>
      <c r="I21" s="16">
        <f>F21/12*G21</f>
        <v>21.741672000000001</v>
      </c>
      <c r="J21" s="31"/>
      <c r="K21" s="8"/>
      <c r="L21" s="8"/>
      <c r="M21" s="8"/>
    </row>
    <row r="22" spans="1:13" ht="15.75" hidden="1" customHeight="1">
      <c r="A22" s="38"/>
      <c r="B22" s="131" t="s">
        <v>114</v>
      </c>
      <c r="C22" s="132" t="s">
        <v>55</v>
      </c>
      <c r="D22" s="131" t="s">
        <v>111</v>
      </c>
      <c r="E22" s="133">
        <v>769.2</v>
      </c>
      <c r="F22" s="134">
        <f>SUM(E22/100)</f>
        <v>7.6920000000000002</v>
      </c>
      <c r="G22" s="134">
        <v>269.26</v>
      </c>
      <c r="H22" s="135">
        <f t="shared" si="0"/>
        <v>2.07114792</v>
      </c>
      <c r="I22" s="16">
        <v>0</v>
      </c>
      <c r="J22" s="31"/>
      <c r="K22" s="8"/>
      <c r="L22" s="8"/>
      <c r="M22" s="8"/>
    </row>
    <row r="23" spans="1:13" ht="15.75" hidden="1" customHeight="1">
      <c r="A23" s="38"/>
      <c r="B23" s="131" t="s">
        <v>115</v>
      </c>
      <c r="C23" s="132" t="s">
        <v>55</v>
      </c>
      <c r="D23" s="131" t="s">
        <v>111</v>
      </c>
      <c r="E23" s="136">
        <v>35.28</v>
      </c>
      <c r="F23" s="134">
        <f>SUM(E23/100)</f>
        <v>0.3528</v>
      </c>
      <c r="G23" s="134">
        <v>44.29</v>
      </c>
      <c r="H23" s="135">
        <f t="shared" si="0"/>
        <v>1.5625512000000001E-2</v>
      </c>
      <c r="I23" s="16">
        <v>0</v>
      </c>
      <c r="J23" s="31"/>
      <c r="K23" s="8"/>
      <c r="L23" s="8"/>
      <c r="M23" s="8"/>
    </row>
    <row r="24" spans="1:13" ht="15.75" customHeight="1">
      <c r="A24" s="38">
        <v>6</v>
      </c>
      <c r="B24" s="131" t="s">
        <v>116</v>
      </c>
      <c r="C24" s="132" t="s">
        <v>55</v>
      </c>
      <c r="D24" s="131" t="s">
        <v>30</v>
      </c>
      <c r="E24" s="133">
        <v>10.8</v>
      </c>
      <c r="F24" s="134">
        <f>E24*12/100</f>
        <v>1.2960000000000003</v>
      </c>
      <c r="G24" s="134">
        <v>389.72</v>
      </c>
      <c r="H24" s="135">
        <f t="shared" si="0"/>
        <v>0.50507712000000016</v>
      </c>
      <c r="I24" s="16">
        <f>F24/12*G24</f>
        <v>42.089760000000012</v>
      </c>
      <c r="J24" s="31"/>
      <c r="K24" s="8"/>
      <c r="L24" s="8"/>
      <c r="M24" s="8"/>
    </row>
    <row r="25" spans="1:13" ht="15.75" customHeight="1">
      <c r="A25" s="38">
        <v>7</v>
      </c>
      <c r="B25" s="131" t="s">
        <v>117</v>
      </c>
      <c r="C25" s="132" t="s">
        <v>55</v>
      </c>
      <c r="D25" s="131" t="s">
        <v>139</v>
      </c>
      <c r="E25" s="133">
        <v>21.6</v>
      </c>
      <c r="F25" s="134">
        <f>SUM(E25*12/100)</f>
        <v>2.5920000000000005</v>
      </c>
      <c r="G25" s="134">
        <v>520.79999999999995</v>
      </c>
      <c r="H25" s="135">
        <f t="shared" si="0"/>
        <v>1.3499136</v>
      </c>
      <c r="I25" s="16">
        <f>F25/12*G25</f>
        <v>112.49280000000002</v>
      </c>
      <c r="J25" s="31"/>
      <c r="K25" s="8"/>
      <c r="L25" s="8"/>
      <c r="M25" s="8"/>
    </row>
    <row r="26" spans="1:13" ht="15.75" customHeight="1">
      <c r="A26" s="38">
        <v>8</v>
      </c>
      <c r="B26" s="131" t="s">
        <v>69</v>
      </c>
      <c r="C26" s="132" t="s">
        <v>33</v>
      </c>
      <c r="D26" s="131" t="s">
        <v>140</v>
      </c>
      <c r="E26" s="133">
        <v>0.1</v>
      </c>
      <c r="F26" s="134">
        <f>SUM(E26*365)</f>
        <v>36.5</v>
      </c>
      <c r="G26" s="134">
        <v>147.03</v>
      </c>
      <c r="H26" s="135">
        <f>SUM(F26*G26/1000)</f>
        <v>5.3665950000000002</v>
      </c>
      <c r="I26" s="16">
        <f>F26/12*G26</f>
        <v>447.21625</v>
      </c>
      <c r="J26" s="32"/>
    </row>
    <row r="27" spans="1:13" ht="15.75" customHeight="1">
      <c r="A27" s="38">
        <v>9</v>
      </c>
      <c r="B27" s="139" t="s">
        <v>23</v>
      </c>
      <c r="C27" s="132" t="s">
        <v>24</v>
      </c>
      <c r="D27" s="139" t="s">
        <v>179</v>
      </c>
      <c r="E27" s="133">
        <v>6980.3</v>
      </c>
      <c r="F27" s="134">
        <f>SUM(E27*12)</f>
        <v>83763.600000000006</v>
      </c>
      <c r="G27" s="134">
        <v>4.4000000000000004</v>
      </c>
      <c r="H27" s="135">
        <f>SUM(F27*G27/1000)</f>
        <v>368.55984000000007</v>
      </c>
      <c r="I27" s="16">
        <f>F27/12*G27</f>
        <v>30713.320000000003</v>
      </c>
      <c r="J27" s="32"/>
    </row>
    <row r="28" spans="1:13" ht="15" customHeight="1">
      <c r="A28" s="173" t="s">
        <v>95</v>
      </c>
      <c r="B28" s="173"/>
      <c r="C28" s="173"/>
      <c r="D28" s="173"/>
      <c r="E28" s="173"/>
      <c r="F28" s="173"/>
      <c r="G28" s="173"/>
      <c r="H28" s="173"/>
      <c r="I28" s="173"/>
      <c r="J28" s="31"/>
      <c r="K28" s="8"/>
      <c r="L28" s="8"/>
      <c r="M28" s="8"/>
    </row>
    <row r="29" spans="1:13" ht="15.75" customHeight="1">
      <c r="A29" s="38"/>
      <c r="B29" s="155" t="s">
        <v>28</v>
      </c>
      <c r="C29" s="132"/>
      <c r="D29" s="131"/>
      <c r="E29" s="133"/>
      <c r="F29" s="134"/>
      <c r="G29" s="134"/>
      <c r="H29" s="135"/>
      <c r="I29" s="16"/>
      <c r="J29" s="31"/>
      <c r="K29" s="8"/>
      <c r="L29" s="8"/>
      <c r="M29" s="8"/>
    </row>
    <row r="30" spans="1:13" ht="31.5" customHeight="1">
      <c r="A30" s="38">
        <v>10</v>
      </c>
      <c r="B30" s="131" t="s">
        <v>121</v>
      </c>
      <c r="C30" s="132" t="s">
        <v>104</v>
      </c>
      <c r="D30" s="131" t="s">
        <v>118</v>
      </c>
      <c r="E30" s="134">
        <v>1168.05</v>
      </c>
      <c r="F30" s="134">
        <f>SUM(E30*52/1000)</f>
        <v>60.738599999999998</v>
      </c>
      <c r="G30" s="134">
        <v>155.88999999999999</v>
      </c>
      <c r="H30" s="135">
        <f t="shared" ref="H30:H36" si="1">SUM(F30*G30/1000)</f>
        <v>9.4685403539999982</v>
      </c>
      <c r="I30" s="16">
        <f>F30/6*G30</f>
        <v>1578.0900589999997</v>
      </c>
      <c r="J30" s="31"/>
      <c r="K30" s="8"/>
      <c r="L30" s="8"/>
      <c r="M30" s="8"/>
    </row>
    <row r="31" spans="1:13" ht="31.5" customHeight="1">
      <c r="A31" s="38">
        <v>11</v>
      </c>
      <c r="B31" s="131" t="s">
        <v>142</v>
      </c>
      <c r="C31" s="132" t="s">
        <v>104</v>
      </c>
      <c r="D31" s="131" t="s">
        <v>119</v>
      </c>
      <c r="E31" s="134">
        <v>1039.2</v>
      </c>
      <c r="F31" s="134">
        <f>SUM(E31*78/1000)</f>
        <v>81.057600000000008</v>
      </c>
      <c r="G31" s="134">
        <v>258.63</v>
      </c>
      <c r="H31" s="135">
        <f t="shared" si="1"/>
        <v>20.963927088000002</v>
      </c>
      <c r="I31" s="16">
        <f t="shared" ref="I31:I34" si="2">F31/6*G31</f>
        <v>3493.9878480000002</v>
      </c>
      <c r="J31" s="31"/>
      <c r="K31" s="8"/>
      <c r="L31" s="8"/>
      <c r="M31" s="8"/>
    </row>
    <row r="32" spans="1:13" ht="15.75" hidden="1" customHeight="1">
      <c r="A32" s="38">
        <v>16</v>
      </c>
      <c r="B32" s="131" t="s">
        <v>27</v>
      </c>
      <c r="C32" s="132" t="s">
        <v>104</v>
      </c>
      <c r="D32" s="131" t="s">
        <v>56</v>
      </c>
      <c r="E32" s="134">
        <v>584.03</v>
      </c>
      <c r="F32" s="134">
        <f>SUM(E32/1000)</f>
        <v>0.58402999999999994</v>
      </c>
      <c r="G32" s="134">
        <v>3020.33</v>
      </c>
      <c r="H32" s="135">
        <f t="shared" si="1"/>
        <v>1.7639633298999997</v>
      </c>
      <c r="I32" s="16">
        <f>F32*G32</f>
        <v>1763.9633298999997</v>
      </c>
      <c r="J32" s="31"/>
      <c r="K32" s="8"/>
      <c r="L32" s="8"/>
      <c r="M32" s="8"/>
    </row>
    <row r="33" spans="1:14" ht="15.75" customHeight="1">
      <c r="A33" s="38">
        <v>12</v>
      </c>
      <c r="B33" s="131" t="s">
        <v>141</v>
      </c>
      <c r="C33" s="132" t="s">
        <v>39</v>
      </c>
      <c r="D33" s="131" t="s">
        <v>68</v>
      </c>
      <c r="E33" s="134">
        <v>6</v>
      </c>
      <c r="F33" s="134">
        <f>E33*155/100</f>
        <v>9.3000000000000007</v>
      </c>
      <c r="G33" s="134">
        <v>1302.02</v>
      </c>
      <c r="H33" s="135">
        <f>G33*F33/1000</f>
        <v>12.108786</v>
      </c>
      <c r="I33" s="16">
        <f t="shared" si="2"/>
        <v>2018.1310000000001</v>
      </c>
      <c r="J33" s="31"/>
      <c r="K33" s="8"/>
      <c r="L33" s="8"/>
      <c r="M33" s="8"/>
    </row>
    <row r="34" spans="1:14" ht="15.75" customHeight="1">
      <c r="A34" s="38">
        <v>13</v>
      </c>
      <c r="B34" s="131" t="s">
        <v>120</v>
      </c>
      <c r="C34" s="132" t="s">
        <v>31</v>
      </c>
      <c r="D34" s="131" t="s">
        <v>68</v>
      </c>
      <c r="E34" s="138">
        <v>0.33333333333333331</v>
      </c>
      <c r="F34" s="134">
        <f>155/3</f>
        <v>51.666666666666664</v>
      </c>
      <c r="G34" s="134">
        <v>56.69</v>
      </c>
      <c r="H34" s="135">
        <f>SUM(G34*155/3/1000)</f>
        <v>2.9289833333333331</v>
      </c>
      <c r="I34" s="16">
        <f t="shared" si="2"/>
        <v>488.16388888888883</v>
      </c>
      <c r="J34" s="31"/>
      <c r="K34" s="8"/>
    </row>
    <row r="35" spans="1:14" ht="15.75" hidden="1" customHeight="1">
      <c r="A35" s="38"/>
      <c r="B35" s="131" t="s">
        <v>70</v>
      </c>
      <c r="C35" s="132" t="s">
        <v>33</v>
      </c>
      <c r="D35" s="131" t="s">
        <v>72</v>
      </c>
      <c r="E35" s="133"/>
      <c r="F35" s="134">
        <v>4</v>
      </c>
      <c r="G35" s="134">
        <v>180.15</v>
      </c>
      <c r="H35" s="135">
        <f t="shared" si="1"/>
        <v>0.72060000000000002</v>
      </c>
      <c r="I35" s="16">
        <v>0</v>
      </c>
      <c r="J35" s="32"/>
    </row>
    <row r="36" spans="1:14" ht="15.75" hidden="1" customHeight="1">
      <c r="A36" s="38"/>
      <c r="B36" s="131" t="s">
        <v>71</v>
      </c>
      <c r="C36" s="132" t="s">
        <v>32</v>
      </c>
      <c r="D36" s="131" t="s">
        <v>72</v>
      </c>
      <c r="E36" s="133"/>
      <c r="F36" s="134">
        <v>3</v>
      </c>
      <c r="G36" s="134">
        <v>1136.33</v>
      </c>
      <c r="H36" s="135">
        <f t="shared" si="1"/>
        <v>3.4089899999999997</v>
      </c>
      <c r="I36" s="16">
        <v>0</v>
      </c>
      <c r="J36" s="32"/>
    </row>
    <row r="37" spans="1:14" ht="15.75" hidden="1" customHeight="1">
      <c r="A37" s="38"/>
      <c r="B37" s="155" t="s">
        <v>5</v>
      </c>
      <c r="C37" s="132"/>
      <c r="D37" s="131"/>
      <c r="E37" s="133"/>
      <c r="F37" s="134"/>
      <c r="G37" s="134"/>
      <c r="H37" s="135" t="s">
        <v>179</v>
      </c>
      <c r="I37" s="16"/>
      <c r="J37" s="32"/>
    </row>
    <row r="38" spans="1:14" ht="15.75" hidden="1" customHeight="1">
      <c r="A38" s="38">
        <v>10</v>
      </c>
      <c r="B38" s="131" t="s">
        <v>26</v>
      </c>
      <c r="C38" s="132" t="s">
        <v>32</v>
      </c>
      <c r="D38" s="131"/>
      <c r="E38" s="133"/>
      <c r="F38" s="134">
        <v>10</v>
      </c>
      <c r="G38" s="134">
        <v>1527.22</v>
      </c>
      <c r="H38" s="135">
        <f t="shared" ref="H38:H45" si="3">SUM(F38*G38/1000)</f>
        <v>15.272200000000002</v>
      </c>
      <c r="I38" s="16">
        <f>F38/6*G38</f>
        <v>2545.3666666666668</v>
      </c>
      <c r="J38" s="32"/>
    </row>
    <row r="39" spans="1:14" ht="15.75" hidden="1" customHeight="1">
      <c r="A39" s="38">
        <v>11</v>
      </c>
      <c r="B39" s="131" t="s">
        <v>143</v>
      </c>
      <c r="C39" s="132" t="s">
        <v>33</v>
      </c>
      <c r="D39" s="131"/>
      <c r="E39" s="133"/>
      <c r="F39" s="134">
        <v>10</v>
      </c>
      <c r="G39" s="134">
        <v>77.94</v>
      </c>
      <c r="H39" s="135">
        <f>G39*F39/1000</f>
        <v>0.77939999999999998</v>
      </c>
      <c r="I39" s="16">
        <f>F39/6*G39</f>
        <v>129.9</v>
      </c>
      <c r="J39" s="32"/>
      <c r="L39" s="25"/>
      <c r="M39" s="26"/>
      <c r="N39" s="27"/>
    </row>
    <row r="40" spans="1:14" ht="15.75" hidden="1" customHeight="1">
      <c r="A40" s="38">
        <v>12</v>
      </c>
      <c r="B40" s="131" t="s">
        <v>122</v>
      </c>
      <c r="C40" s="132" t="s">
        <v>29</v>
      </c>
      <c r="D40" s="131" t="s">
        <v>144</v>
      </c>
      <c r="E40" s="133">
        <v>1039.2</v>
      </c>
      <c r="F40" s="134">
        <f>E40*25/1000</f>
        <v>25.98</v>
      </c>
      <c r="G40" s="134">
        <v>2102.71</v>
      </c>
      <c r="H40" s="135">
        <f>G40*F40/1000</f>
        <v>54.628405800000003</v>
      </c>
      <c r="I40" s="16">
        <f>F40/6*G40</f>
        <v>9104.7343000000001</v>
      </c>
      <c r="J40" s="32"/>
      <c r="L40" s="25"/>
      <c r="M40" s="26"/>
      <c r="N40" s="27"/>
    </row>
    <row r="41" spans="1:14" ht="15.75" hidden="1" customHeight="1">
      <c r="A41" s="38"/>
      <c r="B41" s="131" t="s">
        <v>145</v>
      </c>
      <c r="C41" s="132" t="s">
        <v>146</v>
      </c>
      <c r="D41" s="131" t="s">
        <v>72</v>
      </c>
      <c r="E41" s="133"/>
      <c r="F41" s="134">
        <v>50</v>
      </c>
      <c r="G41" s="134">
        <v>213.2</v>
      </c>
      <c r="H41" s="135">
        <f>G41*F41/1000</f>
        <v>10.66</v>
      </c>
      <c r="I41" s="16">
        <v>0</v>
      </c>
      <c r="J41" s="32"/>
      <c r="L41" s="25"/>
      <c r="M41" s="26"/>
      <c r="N41" s="27"/>
    </row>
    <row r="42" spans="1:14" ht="15.75" hidden="1" customHeight="1">
      <c r="A42" s="38">
        <v>13</v>
      </c>
      <c r="B42" s="131" t="s">
        <v>73</v>
      </c>
      <c r="C42" s="132" t="s">
        <v>29</v>
      </c>
      <c r="D42" s="131" t="s">
        <v>103</v>
      </c>
      <c r="E42" s="134">
        <v>153</v>
      </c>
      <c r="F42" s="134">
        <f>SUM(E42*155/1000)</f>
        <v>23.715</v>
      </c>
      <c r="G42" s="134">
        <v>350.75</v>
      </c>
      <c r="H42" s="135">
        <f t="shared" si="3"/>
        <v>8.3180362499999987</v>
      </c>
      <c r="I42" s="16">
        <f>F42/6*G42</f>
        <v>1386.339375</v>
      </c>
      <c r="J42" s="32"/>
      <c r="L42" s="25"/>
      <c r="M42" s="26"/>
      <c r="N42" s="27"/>
    </row>
    <row r="43" spans="1:14" ht="47.25" hidden="1" customHeight="1">
      <c r="A43" s="38">
        <v>14</v>
      </c>
      <c r="B43" s="131" t="s">
        <v>91</v>
      </c>
      <c r="C43" s="132" t="s">
        <v>104</v>
      </c>
      <c r="D43" s="131" t="s">
        <v>147</v>
      </c>
      <c r="E43" s="134">
        <v>24</v>
      </c>
      <c r="F43" s="134">
        <f>SUM(E43*50/1000)</f>
        <v>1.2</v>
      </c>
      <c r="G43" s="134">
        <v>5803.28</v>
      </c>
      <c r="H43" s="135">
        <f t="shared" si="3"/>
        <v>6.9639359999999995</v>
      </c>
      <c r="I43" s="16">
        <f>F43/6*G43</f>
        <v>1160.6559999999999</v>
      </c>
      <c r="J43" s="32"/>
      <c r="L43" s="25"/>
      <c r="M43" s="26"/>
      <c r="N43" s="27"/>
    </row>
    <row r="44" spans="1:14" ht="15.75" hidden="1" customHeight="1">
      <c r="A44" s="38">
        <v>15</v>
      </c>
      <c r="B44" s="131" t="s">
        <v>105</v>
      </c>
      <c r="C44" s="132" t="s">
        <v>104</v>
      </c>
      <c r="D44" s="131" t="s">
        <v>74</v>
      </c>
      <c r="E44" s="134">
        <v>153</v>
      </c>
      <c r="F44" s="134">
        <f>SUM(E44*45/1000)</f>
        <v>6.8849999999999998</v>
      </c>
      <c r="G44" s="134">
        <v>428.7</v>
      </c>
      <c r="H44" s="135">
        <f t="shared" si="3"/>
        <v>2.9515994999999999</v>
      </c>
      <c r="I44" s="16">
        <f>F44/6*G44</f>
        <v>491.93324999999999</v>
      </c>
      <c r="J44" s="32"/>
      <c r="L44" s="25"/>
      <c r="M44" s="26"/>
      <c r="N44" s="27"/>
    </row>
    <row r="45" spans="1:14" ht="15.75" hidden="1" customHeight="1">
      <c r="A45" s="38">
        <v>16</v>
      </c>
      <c r="B45" s="131" t="s">
        <v>75</v>
      </c>
      <c r="C45" s="132" t="s">
        <v>33</v>
      </c>
      <c r="D45" s="131"/>
      <c r="E45" s="133"/>
      <c r="F45" s="134">
        <v>0.9</v>
      </c>
      <c r="G45" s="134">
        <v>798</v>
      </c>
      <c r="H45" s="135">
        <f t="shared" si="3"/>
        <v>0.71820000000000006</v>
      </c>
      <c r="I45" s="16">
        <f>F45/6*G45</f>
        <v>119.69999999999999</v>
      </c>
      <c r="J45" s="32"/>
      <c r="L45" s="25"/>
      <c r="M45" s="26"/>
      <c r="N45" s="27"/>
    </row>
    <row r="46" spans="1:14" ht="15" customHeight="1">
      <c r="A46" s="174" t="s">
        <v>175</v>
      </c>
      <c r="B46" s="175"/>
      <c r="C46" s="175"/>
      <c r="D46" s="175"/>
      <c r="E46" s="175"/>
      <c r="F46" s="175"/>
      <c r="G46" s="175"/>
      <c r="H46" s="175"/>
      <c r="I46" s="176"/>
      <c r="J46" s="32"/>
      <c r="L46" s="25"/>
      <c r="M46" s="26"/>
      <c r="N46" s="27"/>
    </row>
    <row r="47" spans="1:14" ht="15.75" hidden="1" customHeight="1">
      <c r="A47" s="38"/>
      <c r="B47" s="131" t="s">
        <v>148</v>
      </c>
      <c r="C47" s="132" t="s">
        <v>104</v>
      </c>
      <c r="D47" s="131" t="s">
        <v>42</v>
      </c>
      <c r="E47" s="133">
        <v>1895</v>
      </c>
      <c r="F47" s="134">
        <f>SUM(E47*2/1000)</f>
        <v>3.79</v>
      </c>
      <c r="G47" s="16">
        <v>849.49</v>
      </c>
      <c r="H47" s="135">
        <f t="shared" ref="H47:H55" si="4">SUM(F47*G47/1000)</f>
        <v>3.2195671000000003</v>
      </c>
      <c r="I47" s="16">
        <v>0</v>
      </c>
      <c r="J47" s="32"/>
      <c r="L47" s="25"/>
      <c r="M47" s="26"/>
      <c r="N47" s="27"/>
    </row>
    <row r="48" spans="1:14" ht="15.75" hidden="1" customHeight="1">
      <c r="A48" s="38"/>
      <c r="B48" s="131" t="s">
        <v>34</v>
      </c>
      <c r="C48" s="132" t="s">
        <v>104</v>
      </c>
      <c r="D48" s="131" t="s">
        <v>42</v>
      </c>
      <c r="E48" s="133">
        <v>118.2</v>
      </c>
      <c r="F48" s="134">
        <f>E48*2/1000</f>
        <v>0.2364</v>
      </c>
      <c r="G48" s="16">
        <v>579.48</v>
      </c>
      <c r="H48" s="135">
        <f t="shared" si="4"/>
        <v>0.13698907199999999</v>
      </c>
      <c r="I48" s="16">
        <v>0</v>
      </c>
      <c r="J48" s="32"/>
      <c r="L48" s="25"/>
      <c r="M48" s="26"/>
      <c r="N48" s="27"/>
    </row>
    <row r="49" spans="1:22" ht="15.75" hidden="1" customHeight="1">
      <c r="A49" s="38"/>
      <c r="B49" s="131" t="s">
        <v>35</v>
      </c>
      <c r="C49" s="132" t="s">
        <v>104</v>
      </c>
      <c r="D49" s="131" t="s">
        <v>42</v>
      </c>
      <c r="E49" s="133">
        <v>4675</v>
      </c>
      <c r="F49" s="134">
        <f>SUM(E49*2/1000)</f>
        <v>9.35</v>
      </c>
      <c r="G49" s="16">
        <v>579.48</v>
      </c>
      <c r="H49" s="135">
        <f t="shared" si="4"/>
        <v>5.4181379999999999</v>
      </c>
      <c r="I49" s="16">
        <v>0</v>
      </c>
      <c r="J49" s="32"/>
      <c r="L49" s="25"/>
      <c r="M49" s="26"/>
      <c r="N49" s="27"/>
    </row>
    <row r="50" spans="1:22" ht="15.75" hidden="1" customHeight="1">
      <c r="A50" s="38"/>
      <c r="B50" s="131" t="s">
        <v>36</v>
      </c>
      <c r="C50" s="132" t="s">
        <v>104</v>
      </c>
      <c r="D50" s="131" t="s">
        <v>42</v>
      </c>
      <c r="E50" s="133">
        <v>4675</v>
      </c>
      <c r="F50" s="134">
        <f>SUM(E50*2/1000)</f>
        <v>9.35</v>
      </c>
      <c r="G50" s="16">
        <v>606.77</v>
      </c>
      <c r="H50" s="135">
        <f t="shared" si="4"/>
        <v>5.6732994999999988</v>
      </c>
      <c r="I50" s="16">
        <v>0</v>
      </c>
      <c r="J50" s="32"/>
      <c r="L50" s="25"/>
      <c r="M50" s="26"/>
      <c r="N50" s="27"/>
    </row>
    <row r="51" spans="1:22" ht="15.75" hidden="1" customHeight="1">
      <c r="A51" s="38">
        <v>17</v>
      </c>
      <c r="B51" s="131" t="s">
        <v>60</v>
      </c>
      <c r="C51" s="132" t="s">
        <v>104</v>
      </c>
      <c r="D51" s="131" t="s">
        <v>241</v>
      </c>
      <c r="E51" s="133">
        <v>3988</v>
      </c>
      <c r="F51" s="134">
        <f>SUM(E51*5/1000)</f>
        <v>19.940000000000001</v>
      </c>
      <c r="G51" s="16">
        <v>1142.7</v>
      </c>
      <c r="H51" s="135">
        <f t="shared" si="4"/>
        <v>22.785438000000003</v>
      </c>
      <c r="I51" s="16">
        <f>F51/5*G51</f>
        <v>4557.0876000000007</v>
      </c>
      <c r="J51" s="32"/>
      <c r="L51" s="25"/>
      <c r="M51" s="26"/>
      <c r="N51" s="27"/>
    </row>
    <row r="52" spans="1:22" ht="31.5" hidden="1" customHeight="1">
      <c r="A52" s="38"/>
      <c r="B52" s="131" t="s">
        <v>106</v>
      </c>
      <c r="C52" s="132" t="s">
        <v>104</v>
      </c>
      <c r="D52" s="131" t="s">
        <v>42</v>
      </c>
      <c r="E52" s="133">
        <v>3988</v>
      </c>
      <c r="F52" s="134">
        <f>SUM(E52*2/1000)</f>
        <v>7.976</v>
      </c>
      <c r="G52" s="16">
        <v>1213.55</v>
      </c>
      <c r="H52" s="135">
        <f t="shared" si="4"/>
        <v>9.6792748</v>
      </c>
      <c r="I52" s="16">
        <v>0</v>
      </c>
      <c r="J52" s="32"/>
      <c r="L52" s="25"/>
      <c r="M52" s="26"/>
      <c r="N52" s="27"/>
    </row>
    <row r="53" spans="1:22" ht="31.5" hidden="1" customHeight="1">
      <c r="A53" s="38"/>
      <c r="B53" s="131" t="s">
        <v>107</v>
      </c>
      <c r="C53" s="132" t="s">
        <v>37</v>
      </c>
      <c r="D53" s="131" t="s">
        <v>42</v>
      </c>
      <c r="E53" s="133">
        <v>30</v>
      </c>
      <c r="F53" s="134">
        <f>SUM(E53*2/100)</f>
        <v>0.6</v>
      </c>
      <c r="G53" s="16">
        <v>2730.49</v>
      </c>
      <c r="H53" s="135">
        <f>SUM(F53*G53/1000)</f>
        <v>1.6382939999999999</v>
      </c>
      <c r="I53" s="16">
        <v>0</v>
      </c>
      <c r="J53" s="32"/>
      <c r="L53" s="25"/>
      <c r="M53" s="26"/>
      <c r="N53" s="27"/>
    </row>
    <row r="54" spans="1:22" ht="15.75" hidden="1" customHeight="1">
      <c r="A54" s="38"/>
      <c r="B54" s="131" t="s">
        <v>38</v>
      </c>
      <c r="C54" s="132" t="s">
        <v>39</v>
      </c>
      <c r="D54" s="131" t="s">
        <v>42</v>
      </c>
      <c r="E54" s="133">
        <v>1</v>
      </c>
      <c r="F54" s="134">
        <v>0.02</v>
      </c>
      <c r="G54" s="16">
        <v>5652.13</v>
      </c>
      <c r="H54" s="135">
        <f t="shared" si="4"/>
        <v>0.11304260000000001</v>
      </c>
      <c r="I54" s="16">
        <v>0</v>
      </c>
      <c r="J54" s="32"/>
      <c r="L54" s="25"/>
      <c r="M54" s="26"/>
      <c r="N54" s="27"/>
    </row>
    <row r="55" spans="1:22" ht="15.75" customHeight="1">
      <c r="A55" s="38">
        <v>14</v>
      </c>
      <c r="B55" s="131" t="s">
        <v>41</v>
      </c>
      <c r="C55" s="132" t="s">
        <v>124</v>
      </c>
      <c r="D55" s="131" t="s">
        <v>76</v>
      </c>
      <c r="E55" s="133">
        <v>236</v>
      </c>
      <c r="F55" s="134">
        <f>SUM(E55)*3</f>
        <v>708</v>
      </c>
      <c r="G55" s="16">
        <v>65.67</v>
      </c>
      <c r="H55" s="135">
        <f t="shared" si="4"/>
        <v>46.49436</v>
      </c>
      <c r="I55" s="16">
        <f>E55*G55</f>
        <v>15498.12</v>
      </c>
      <c r="J55" s="32"/>
      <c r="L55" s="25"/>
      <c r="M55" s="26"/>
      <c r="N55" s="27"/>
    </row>
    <row r="56" spans="1:22" ht="15.75" customHeight="1">
      <c r="A56" s="174" t="s">
        <v>176</v>
      </c>
      <c r="B56" s="175"/>
      <c r="C56" s="175"/>
      <c r="D56" s="175"/>
      <c r="E56" s="175"/>
      <c r="F56" s="175"/>
      <c r="G56" s="175"/>
      <c r="H56" s="175"/>
      <c r="I56" s="176"/>
      <c r="J56" s="32"/>
      <c r="L56" s="25"/>
      <c r="M56" s="26"/>
      <c r="N56" s="27"/>
    </row>
    <row r="57" spans="1:22" ht="15.75" hidden="1" customHeight="1">
      <c r="A57" s="38"/>
      <c r="B57" s="155" t="s">
        <v>45</v>
      </c>
      <c r="C57" s="132"/>
      <c r="D57" s="131"/>
      <c r="E57" s="133"/>
      <c r="F57" s="134"/>
      <c r="G57" s="134"/>
      <c r="H57" s="135"/>
      <c r="I57" s="16"/>
      <c r="J57" s="32"/>
      <c r="L57" s="25"/>
      <c r="M57" s="26"/>
      <c r="N57" s="27"/>
    </row>
    <row r="58" spans="1:22" ht="31.5" hidden="1" customHeight="1">
      <c r="A58" s="38">
        <v>19</v>
      </c>
      <c r="B58" s="131" t="s">
        <v>149</v>
      </c>
      <c r="C58" s="132" t="s">
        <v>100</v>
      </c>
      <c r="D58" s="131" t="s">
        <v>125</v>
      </c>
      <c r="E58" s="133">
        <v>30</v>
      </c>
      <c r="F58" s="134">
        <f>SUM(E58*6/100)</f>
        <v>1.8</v>
      </c>
      <c r="G58" s="16">
        <v>1547.28</v>
      </c>
      <c r="H58" s="135">
        <f>SUM(F58*G58/1000)</f>
        <v>2.785104</v>
      </c>
      <c r="I58" s="16">
        <f>F58/6*G58</f>
        <v>464.18399999999997</v>
      </c>
      <c r="J58" s="32"/>
      <c r="L58" s="25"/>
    </row>
    <row r="59" spans="1:22" ht="15.75" hidden="1" customHeight="1">
      <c r="A59" s="38">
        <v>20</v>
      </c>
      <c r="B59" s="140" t="s">
        <v>150</v>
      </c>
      <c r="C59" s="141" t="s">
        <v>151</v>
      </c>
      <c r="D59" s="140" t="s">
        <v>42</v>
      </c>
      <c r="E59" s="142">
        <v>6</v>
      </c>
      <c r="F59" s="143">
        <v>12</v>
      </c>
      <c r="G59" s="16">
        <v>180.78</v>
      </c>
      <c r="H59" s="144">
        <f>G59*F59/1000</f>
        <v>2.1693600000000002</v>
      </c>
      <c r="I59" s="16">
        <f>F59/2*G59</f>
        <v>1084.68</v>
      </c>
    </row>
    <row r="60" spans="1:22" ht="15.75" hidden="1" customHeight="1">
      <c r="A60" s="38">
        <v>21</v>
      </c>
      <c r="B60" s="140" t="s">
        <v>152</v>
      </c>
      <c r="C60" s="141" t="s">
        <v>55</v>
      </c>
      <c r="D60" s="140" t="s">
        <v>40</v>
      </c>
      <c r="E60" s="142">
        <v>6</v>
      </c>
      <c r="F60" s="143">
        <f>E60*4/100</f>
        <v>0.24</v>
      </c>
      <c r="G60" s="16">
        <v>1547.28</v>
      </c>
      <c r="H60" s="144">
        <f>G60*F60/1000</f>
        <v>0.37134719999999999</v>
      </c>
      <c r="I60" s="16">
        <f>F60/4*G60</f>
        <v>92.836799999999997</v>
      </c>
    </row>
    <row r="61" spans="1:22" ht="15.75" customHeight="1">
      <c r="A61" s="38"/>
      <c r="B61" s="156" t="s">
        <v>46</v>
      </c>
      <c r="C61" s="141"/>
      <c r="D61" s="140"/>
      <c r="E61" s="142"/>
      <c r="F61" s="143"/>
      <c r="G61" s="16"/>
      <c r="H61" s="144"/>
      <c r="I61" s="16"/>
    </row>
    <row r="62" spans="1:22" ht="15.75" hidden="1" customHeight="1">
      <c r="A62" s="38">
        <v>22</v>
      </c>
      <c r="B62" s="140" t="s">
        <v>153</v>
      </c>
      <c r="C62" s="141" t="s">
        <v>55</v>
      </c>
      <c r="D62" s="140" t="s">
        <v>56</v>
      </c>
      <c r="E62" s="142">
        <v>997</v>
      </c>
      <c r="F62" s="143">
        <v>9.9700000000000006</v>
      </c>
      <c r="G62" s="16">
        <v>793.61</v>
      </c>
      <c r="H62" s="144">
        <f>F62*G62/1000</f>
        <v>7.9122917000000008</v>
      </c>
      <c r="I62" s="16">
        <f>G62*F62</f>
        <v>7912.2917000000007</v>
      </c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9"/>
    </row>
    <row r="63" spans="1:22" ht="15.75" customHeight="1">
      <c r="A63" s="38">
        <v>15</v>
      </c>
      <c r="B63" s="140" t="s">
        <v>154</v>
      </c>
      <c r="C63" s="141" t="s">
        <v>25</v>
      </c>
      <c r="D63" s="140" t="s">
        <v>30</v>
      </c>
      <c r="E63" s="142">
        <v>394</v>
      </c>
      <c r="F63" s="145">
        <f>E63*12</f>
        <v>4728</v>
      </c>
      <c r="G63" s="126">
        <v>2.6</v>
      </c>
      <c r="H63" s="143">
        <f>F63*G63/1000</f>
        <v>12.292800000000002</v>
      </c>
      <c r="I63" s="16">
        <f>F63/12*G63</f>
        <v>1024.4000000000001</v>
      </c>
      <c r="J63" s="34"/>
      <c r="K63" s="34"/>
      <c r="L63" s="3"/>
      <c r="M63" s="3"/>
      <c r="N63" s="3"/>
      <c r="O63" s="3"/>
      <c r="P63" s="3"/>
      <c r="Q63" s="3"/>
      <c r="R63" s="3"/>
      <c r="S63" s="3"/>
      <c r="T63" s="3"/>
      <c r="U63" s="3"/>
    </row>
    <row r="64" spans="1:22" ht="15.75" customHeight="1">
      <c r="A64" s="38"/>
      <c r="B64" s="156" t="s">
        <v>47</v>
      </c>
      <c r="C64" s="141"/>
      <c r="D64" s="140"/>
      <c r="E64" s="142"/>
      <c r="F64" s="145"/>
      <c r="G64" s="145"/>
      <c r="H64" s="143" t="s">
        <v>179</v>
      </c>
      <c r="I64" s="16"/>
      <c r="J64" s="3"/>
      <c r="K64" s="3"/>
      <c r="L64" s="3"/>
      <c r="M64" s="3"/>
      <c r="N64" s="3"/>
      <c r="O64" s="3"/>
      <c r="P64" s="3"/>
      <c r="Q64" s="3"/>
      <c r="S64" s="3"/>
      <c r="T64" s="3"/>
      <c r="U64" s="3"/>
    </row>
    <row r="65" spans="1:21" ht="15.75" customHeight="1">
      <c r="A65" s="38">
        <v>16</v>
      </c>
      <c r="B65" s="18" t="s">
        <v>48</v>
      </c>
      <c r="C65" s="20" t="s">
        <v>124</v>
      </c>
      <c r="D65" s="131" t="s">
        <v>72</v>
      </c>
      <c r="E65" s="23">
        <v>15</v>
      </c>
      <c r="F65" s="134">
        <v>15</v>
      </c>
      <c r="G65" s="16">
        <v>222.4</v>
      </c>
      <c r="H65" s="146">
        <f t="shared" ref="H65:H78" si="5">SUM(F65*G65/1000)</f>
        <v>3.3359999999999999</v>
      </c>
      <c r="I65" s="16">
        <f>G65*6</f>
        <v>1334.4</v>
      </c>
      <c r="J65" s="5"/>
      <c r="K65" s="5"/>
      <c r="L65" s="5"/>
      <c r="M65" s="5"/>
      <c r="N65" s="5"/>
      <c r="O65" s="5"/>
      <c r="P65" s="5"/>
      <c r="Q65" s="5"/>
      <c r="R65" s="166"/>
      <c r="S65" s="166"/>
      <c r="T65" s="166"/>
      <c r="U65" s="166"/>
    </row>
    <row r="66" spans="1:21" ht="15.75" hidden="1" customHeight="1">
      <c r="A66" s="38">
        <v>25</v>
      </c>
      <c r="B66" s="18" t="s">
        <v>49</v>
      </c>
      <c r="C66" s="20" t="s">
        <v>124</v>
      </c>
      <c r="D66" s="131" t="s">
        <v>72</v>
      </c>
      <c r="E66" s="23">
        <v>10</v>
      </c>
      <c r="F66" s="134">
        <v>10</v>
      </c>
      <c r="G66" s="16">
        <v>76.25</v>
      </c>
      <c r="H66" s="146">
        <f t="shared" si="5"/>
        <v>0.76249999999999996</v>
      </c>
      <c r="I66" s="16">
        <f>G66</f>
        <v>76.25</v>
      </c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</row>
    <row r="67" spans="1:21" ht="15.75" hidden="1" customHeight="1">
      <c r="A67" s="38"/>
      <c r="B67" s="18" t="s">
        <v>50</v>
      </c>
      <c r="C67" s="20" t="s">
        <v>126</v>
      </c>
      <c r="D67" s="18" t="s">
        <v>56</v>
      </c>
      <c r="E67" s="133">
        <v>28608</v>
      </c>
      <c r="F67" s="16">
        <f>SUM(E67/100)</f>
        <v>286.08</v>
      </c>
      <c r="G67" s="16">
        <v>199.77</v>
      </c>
      <c r="H67" s="146">
        <f t="shared" si="5"/>
        <v>57.150201600000003</v>
      </c>
      <c r="I67" s="16">
        <f>F67*G67</f>
        <v>57150.2016</v>
      </c>
    </row>
    <row r="68" spans="1:21" ht="15.75" hidden="1" customHeight="1">
      <c r="A68" s="38"/>
      <c r="B68" s="18" t="s">
        <v>51</v>
      </c>
      <c r="C68" s="20" t="s">
        <v>127</v>
      </c>
      <c r="D68" s="18"/>
      <c r="E68" s="133">
        <v>28608</v>
      </c>
      <c r="F68" s="16">
        <f>SUM(E68/1000)</f>
        <v>28.608000000000001</v>
      </c>
      <c r="G68" s="16">
        <v>155.57</v>
      </c>
      <c r="H68" s="146">
        <f t="shared" si="5"/>
        <v>4.4505465599999994</v>
      </c>
      <c r="I68" s="16">
        <f t="shared" ref="I68:I72" si="6">F68*G68</f>
        <v>4450.5465599999998</v>
      </c>
    </row>
    <row r="69" spans="1:21" ht="15.75" hidden="1" customHeight="1">
      <c r="A69" s="38"/>
      <c r="B69" s="18" t="s">
        <v>52</v>
      </c>
      <c r="C69" s="20" t="s">
        <v>83</v>
      </c>
      <c r="D69" s="18" t="s">
        <v>56</v>
      </c>
      <c r="E69" s="133">
        <v>4550</v>
      </c>
      <c r="F69" s="16">
        <f>SUM(E69/100)</f>
        <v>45.5</v>
      </c>
      <c r="G69" s="16">
        <v>2074.63</v>
      </c>
      <c r="H69" s="146">
        <f t="shared" si="5"/>
        <v>94.395665000000008</v>
      </c>
      <c r="I69" s="16">
        <f t="shared" si="6"/>
        <v>94395.665000000008</v>
      </c>
    </row>
    <row r="70" spans="1:21" ht="15.75" hidden="1" customHeight="1">
      <c r="A70" s="38"/>
      <c r="B70" s="147" t="s">
        <v>128</v>
      </c>
      <c r="C70" s="20" t="s">
        <v>33</v>
      </c>
      <c r="D70" s="18"/>
      <c r="E70" s="133">
        <v>58.5</v>
      </c>
      <c r="F70" s="16">
        <f>SUM(E70)</f>
        <v>58.5</v>
      </c>
      <c r="G70" s="16">
        <v>45.32</v>
      </c>
      <c r="H70" s="146">
        <f t="shared" si="5"/>
        <v>2.6512199999999999</v>
      </c>
      <c r="I70" s="16">
        <f t="shared" si="6"/>
        <v>2651.22</v>
      </c>
    </row>
    <row r="71" spans="1:21" ht="15.75" hidden="1" customHeight="1">
      <c r="A71" s="38"/>
      <c r="B71" s="147" t="s">
        <v>129</v>
      </c>
      <c r="C71" s="20" t="s">
        <v>33</v>
      </c>
      <c r="D71" s="18"/>
      <c r="E71" s="133">
        <v>58.5</v>
      </c>
      <c r="F71" s="16">
        <f>SUM(E71)</f>
        <v>58.5</v>
      </c>
      <c r="G71" s="16">
        <v>42.28</v>
      </c>
      <c r="H71" s="146">
        <f t="shared" si="5"/>
        <v>2.4733800000000001</v>
      </c>
      <c r="I71" s="16">
        <f t="shared" si="6"/>
        <v>2473.38</v>
      </c>
    </row>
    <row r="72" spans="1:21" ht="15.75" hidden="1" customHeight="1">
      <c r="A72" s="38"/>
      <c r="B72" s="18" t="s">
        <v>61</v>
      </c>
      <c r="C72" s="20" t="s">
        <v>62</v>
      </c>
      <c r="D72" s="18" t="s">
        <v>56</v>
      </c>
      <c r="E72" s="23">
        <v>5</v>
      </c>
      <c r="F72" s="134">
        <v>5</v>
      </c>
      <c r="G72" s="16">
        <v>49.88</v>
      </c>
      <c r="H72" s="146">
        <f t="shared" si="5"/>
        <v>0.24940000000000001</v>
      </c>
      <c r="I72" s="16">
        <f t="shared" si="6"/>
        <v>249.4</v>
      </c>
    </row>
    <row r="73" spans="1:21" ht="15.75" customHeight="1">
      <c r="A73" s="38"/>
      <c r="B73" s="115" t="s">
        <v>77</v>
      </c>
      <c r="C73" s="20"/>
      <c r="D73" s="18"/>
      <c r="E73" s="23"/>
      <c r="F73" s="16"/>
      <c r="G73" s="16"/>
      <c r="H73" s="146" t="s">
        <v>179</v>
      </c>
      <c r="I73" s="16"/>
    </row>
    <row r="74" spans="1:21" ht="15.75" customHeight="1">
      <c r="A74" s="38">
        <v>17</v>
      </c>
      <c r="B74" s="18" t="s">
        <v>78</v>
      </c>
      <c r="C74" s="20" t="s">
        <v>80</v>
      </c>
      <c r="D74" s="18"/>
      <c r="E74" s="23">
        <v>10</v>
      </c>
      <c r="F74" s="16">
        <v>1</v>
      </c>
      <c r="G74" s="16">
        <v>501.62</v>
      </c>
      <c r="H74" s="146">
        <f t="shared" si="5"/>
        <v>0.50161999999999995</v>
      </c>
      <c r="I74" s="16">
        <f>G74*0.1</f>
        <v>50.162000000000006</v>
      </c>
    </row>
    <row r="75" spans="1:21" ht="15.75" hidden="1" customHeight="1">
      <c r="A75" s="38"/>
      <c r="B75" s="18" t="s">
        <v>79</v>
      </c>
      <c r="C75" s="20" t="s">
        <v>31</v>
      </c>
      <c r="D75" s="18"/>
      <c r="E75" s="23">
        <v>3</v>
      </c>
      <c r="F75" s="126">
        <v>3</v>
      </c>
      <c r="G75" s="16">
        <v>852.99</v>
      </c>
      <c r="H75" s="146">
        <f>F75*G75/1000</f>
        <v>2.5589700000000004</v>
      </c>
      <c r="I75" s="16">
        <v>0</v>
      </c>
    </row>
    <row r="76" spans="1:21" ht="15.75" hidden="1" customHeight="1">
      <c r="A76" s="38"/>
      <c r="B76" s="18" t="s">
        <v>131</v>
      </c>
      <c r="C76" s="20" t="s">
        <v>31</v>
      </c>
      <c r="D76" s="18"/>
      <c r="E76" s="23">
        <v>1</v>
      </c>
      <c r="F76" s="16">
        <v>1</v>
      </c>
      <c r="G76" s="16">
        <v>358.51</v>
      </c>
      <c r="H76" s="146">
        <f>G76*F76/1000</f>
        <v>0.35851</v>
      </c>
      <c r="I76" s="16">
        <v>0</v>
      </c>
    </row>
    <row r="77" spans="1:21" ht="15.75" hidden="1" customHeight="1">
      <c r="A77" s="38"/>
      <c r="B77" s="149" t="s">
        <v>81</v>
      </c>
      <c r="C77" s="20"/>
      <c r="D77" s="18"/>
      <c r="E77" s="23"/>
      <c r="F77" s="16"/>
      <c r="G77" s="16" t="s">
        <v>179</v>
      </c>
      <c r="H77" s="146" t="s">
        <v>179</v>
      </c>
      <c r="I77" s="16"/>
    </row>
    <row r="78" spans="1:21" ht="15.75" hidden="1" customHeight="1">
      <c r="A78" s="38"/>
      <c r="B78" s="68" t="s">
        <v>242</v>
      </c>
      <c r="C78" s="20" t="s">
        <v>83</v>
      </c>
      <c r="D78" s="18"/>
      <c r="E78" s="23"/>
      <c r="F78" s="16">
        <v>1.2</v>
      </c>
      <c r="G78" s="16">
        <v>2759.44</v>
      </c>
      <c r="H78" s="146">
        <f t="shared" si="5"/>
        <v>3.311328</v>
      </c>
      <c r="I78" s="16">
        <v>0</v>
      </c>
    </row>
    <row r="79" spans="1:21" ht="15.75" hidden="1" customHeight="1">
      <c r="A79" s="38"/>
      <c r="B79" s="125" t="s">
        <v>108</v>
      </c>
      <c r="C79" s="125"/>
      <c r="D79" s="125"/>
      <c r="E79" s="125"/>
      <c r="F79" s="125"/>
      <c r="G79" s="137"/>
      <c r="H79" s="150">
        <f>SUM(H58:H78)</f>
        <v>197.73024405999999</v>
      </c>
      <c r="I79" s="137"/>
    </row>
    <row r="80" spans="1:21" ht="15.75" hidden="1" customHeight="1">
      <c r="A80" s="38"/>
      <c r="B80" s="157" t="s">
        <v>130</v>
      </c>
      <c r="C80" s="29"/>
      <c r="D80" s="28"/>
      <c r="E80" s="127"/>
      <c r="F80" s="158">
        <v>1</v>
      </c>
      <c r="G80" s="16">
        <v>23072.1</v>
      </c>
      <c r="H80" s="146">
        <f>G80*F80/1000</f>
        <v>23.072099999999999</v>
      </c>
      <c r="I80" s="16">
        <v>0</v>
      </c>
    </row>
    <row r="81" spans="1:9" ht="15.75" customHeight="1">
      <c r="A81" s="167" t="s">
        <v>177</v>
      </c>
      <c r="B81" s="168"/>
      <c r="C81" s="168"/>
      <c r="D81" s="168"/>
      <c r="E81" s="168"/>
      <c r="F81" s="168"/>
      <c r="G81" s="168"/>
      <c r="H81" s="168"/>
      <c r="I81" s="169"/>
    </row>
    <row r="82" spans="1:9" ht="15.75" customHeight="1">
      <c r="A82" s="38">
        <v>18</v>
      </c>
      <c r="B82" s="131" t="s">
        <v>132</v>
      </c>
      <c r="C82" s="20" t="s">
        <v>58</v>
      </c>
      <c r="D82" s="92" t="s">
        <v>59</v>
      </c>
      <c r="E82" s="16">
        <v>6980.3</v>
      </c>
      <c r="F82" s="16">
        <f>SUM(E82*12)</f>
        <v>83763.600000000006</v>
      </c>
      <c r="G82" s="16">
        <v>2.1</v>
      </c>
      <c r="H82" s="146">
        <f>SUM(F82*G82/1000)</f>
        <v>175.90356000000003</v>
      </c>
      <c r="I82" s="16">
        <f>F82/12*G82</f>
        <v>14658.630000000001</v>
      </c>
    </row>
    <row r="83" spans="1:9" ht="31.5" customHeight="1">
      <c r="A83" s="38">
        <v>19</v>
      </c>
      <c r="B83" s="18" t="s">
        <v>84</v>
      </c>
      <c r="C83" s="20"/>
      <c r="D83" s="92" t="s">
        <v>59</v>
      </c>
      <c r="E83" s="133">
        <f>E82</f>
        <v>6980.3</v>
      </c>
      <c r="F83" s="16">
        <f>E83*12</f>
        <v>83763.600000000006</v>
      </c>
      <c r="G83" s="16">
        <v>1.63</v>
      </c>
      <c r="H83" s="146">
        <f>F83*G83/1000</f>
        <v>136.53466800000001</v>
      </c>
      <c r="I83" s="16">
        <f>F83/12*G83</f>
        <v>11377.888999999999</v>
      </c>
    </row>
    <row r="84" spans="1:9" ht="15.75" customHeight="1">
      <c r="A84" s="38"/>
      <c r="B84" s="55" t="s">
        <v>88</v>
      </c>
      <c r="C84" s="149"/>
      <c r="D84" s="148"/>
      <c r="E84" s="137"/>
      <c r="F84" s="137"/>
      <c r="G84" s="137"/>
      <c r="H84" s="150">
        <f>H83</f>
        <v>136.53466800000001</v>
      </c>
      <c r="I84" s="137">
        <f>I16+I17+I18+I20+I21+I24+I25+I26+I27+I30+I31+I33+I34+I55+I63+I65+I74+I82+I83</f>
        <v>110818.17178188886</v>
      </c>
    </row>
    <row r="85" spans="1:9" ht="15.75" customHeight="1">
      <c r="A85" s="38"/>
      <c r="B85" s="88" t="s">
        <v>64</v>
      </c>
      <c r="C85" s="20"/>
      <c r="D85" s="68"/>
      <c r="E85" s="16"/>
      <c r="F85" s="16"/>
      <c r="G85" s="16"/>
      <c r="H85" s="16"/>
      <c r="I85" s="16"/>
    </row>
    <row r="86" spans="1:9" ht="15.75" customHeight="1">
      <c r="A86" s="38">
        <v>20</v>
      </c>
      <c r="B86" s="89" t="s">
        <v>155</v>
      </c>
      <c r="C86" s="110" t="s">
        <v>124</v>
      </c>
      <c r="D86" s="18"/>
      <c r="E86" s="23"/>
      <c r="F86" s="16">
        <v>1440</v>
      </c>
      <c r="G86" s="16">
        <v>50.68</v>
      </c>
      <c r="H86" s="146">
        <f t="shared" ref="H86:H90" si="7">G86*F86/1000</f>
        <v>72.979199999999992</v>
      </c>
      <c r="I86" s="16">
        <f>G86*120</f>
        <v>6081.6</v>
      </c>
    </row>
    <row r="87" spans="1:9" ht="15.75" customHeight="1">
      <c r="A87" s="38">
        <v>21</v>
      </c>
      <c r="B87" s="89" t="s">
        <v>162</v>
      </c>
      <c r="C87" s="110" t="s">
        <v>92</v>
      </c>
      <c r="D87" s="18"/>
      <c r="E87" s="23"/>
      <c r="F87" s="16">
        <v>9</v>
      </c>
      <c r="G87" s="16">
        <v>185.81</v>
      </c>
      <c r="H87" s="146">
        <f>G87*F87/1000</f>
        <v>1.6722900000000001</v>
      </c>
      <c r="I87" s="16">
        <f>G87</f>
        <v>185.81</v>
      </c>
    </row>
    <row r="88" spans="1:9" ht="31.5" customHeight="1">
      <c r="A88" s="38">
        <v>22</v>
      </c>
      <c r="B88" s="89" t="s">
        <v>156</v>
      </c>
      <c r="C88" s="110" t="s">
        <v>37</v>
      </c>
      <c r="D88" s="18"/>
      <c r="E88" s="23"/>
      <c r="F88" s="16">
        <f>5/100</f>
        <v>0.05</v>
      </c>
      <c r="G88" s="16">
        <v>3397.65</v>
      </c>
      <c r="H88" s="146">
        <f t="shared" si="7"/>
        <v>0.16988250000000002</v>
      </c>
      <c r="I88" s="16">
        <f>G88*0.01</f>
        <v>33.976500000000001</v>
      </c>
    </row>
    <row r="89" spans="1:9" ht="31.5" customHeight="1">
      <c r="A89" s="38">
        <v>23</v>
      </c>
      <c r="B89" s="109" t="s">
        <v>223</v>
      </c>
      <c r="C89" s="38" t="s">
        <v>58</v>
      </c>
      <c r="D89" s="18"/>
      <c r="E89" s="23"/>
      <c r="F89" s="16">
        <v>0.5</v>
      </c>
      <c r="G89" s="16">
        <v>1187</v>
      </c>
      <c r="H89" s="146">
        <f t="shared" si="7"/>
        <v>0.59350000000000003</v>
      </c>
      <c r="I89" s="16">
        <f>G89*0.5</f>
        <v>593.5</v>
      </c>
    </row>
    <row r="90" spans="1:9" ht="31.5" customHeight="1">
      <c r="A90" s="38">
        <v>24</v>
      </c>
      <c r="B90" s="109" t="s">
        <v>224</v>
      </c>
      <c r="C90" s="38" t="s">
        <v>58</v>
      </c>
      <c r="D90" s="18"/>
      <c r="E90" s="23"/>
      <c r="F90" s="16">
        <v>5.5</v>
      </c>
      <c r="G90" s="16">
        <v>1272</v>
      </c>
      <c r="H90" s="146">
        <f t="shared" si="7"/>
        <v>6.9960000000000004</v>
      </c>
      <c r="I90" s="16">
        <f>G90*5.5</f>
        <v>6996</v>
      </c>
    </row>
    <row r="91" spans="1:9" ht="15.75" customHeight="1">
      <c r="A91" s="38"/>
      <c r="B91" s="62" t="s">
        <v>53</v>
      </c>
      <c r="C91" s="58"/>
      <c r="D91" s="72"/>
      <c r="E91" s="58">
        <v>1</v>
      </c>
      <c r="F91" s="58"/>
      <c r="G91" s="58"/>
      <c r="H91" s="58"/>
      <c r="I91" s="40">
        <f>SUM(I86:I90)</f>
        <v>13890.886500000001</v>
      </c>
    </row>
    <row r="92" spans="1:9">
      <c r="A92" s="38"/>
      <c r="B92" s="68" t="s">
        <v>85</v>
      </c>
      <c r="C92" s="19"/>
      <c r="D92" s="19"/>
      <c r="E92" s="59"/>
      <c r="F92" s="59"/>
      <c r="G92" s="60"/>
      <c r="H92" s="60"/>
      <c r="I92" s="22">
        <v>0</v>
      </c>
    </row>
    <row r="93" spans="1:9">
      <c r="A93" s="73"/>
      <c r="B93" s="63" t="s">
        <v>54</v>
      </c>
      <c r="C93" s="46"/>
      <c r="D93" s="46"/>
      <c r="E93" s="46"/>
      <c r="F93" s="46"/>
      <c r="G93" s="46"/>
      <c r="H93" s="46"/>
      <c r="I93" s="61">
        <f>I84+I91</f>
        <v>124709.05828188887</v>
      </c>
    </row>
    <row r="94" spans="1:9" ht="15.75">
      <c r="A94" s="170" t="s">
        <v>269</v>
      </c>
      <c r="B94" s="170"/>
      <c r="C94" s="170"/>
      <c r="D94" s="170"/>
      <c r="E94" s="170"/>
      <c r="F94" s="170"/>
      <c r="G94" s="170"/>
      <c r="H94" s="170"/>
      <c r="I94" s="170"/>
    </row>
    <row r="95" spans="1:9" ht="15.75" customHeight="1">
      <c r="A95" s="108"/>
      <c r="B95" s="171" t="s">
        <v>270</v>
      </c>
      <c r="C95" s="171"/>
      <c r="D95" s="171"/>
      <c r="E95" s="171"/>
      <c r="F95" s="171"/>
      <c r="G95" s="171"/>
      <c r="H95" s="130"/>
      <c r="I95" s="3"/>
    </row>
    <row r="96" spans="1:9">
      <c r="A96" s="120"/>
      <c r="B96" s="164" t="s">
        <v>6</v>
      </c>
      <c r="C96" s="164"/>
      <c r="D96" s="164"/>
      <c r="E96" s="164"/>
      <c r="F96" s="164"/>
      <c r="G96" s="164"/>
      <c r="H96" s="33"/>
      <c r="I96" s="5"/>
    </row>
    <row r="97" spans="1:9">
      <c r="A97" s="10"/>
      <c r="B97" s="10"/>
      <c r="C97" s="10"/>
      <c r="D97" s="10"/>
      <c r="E97" s="10"/>
      <c r="F97" s="10"/>
      <c r="G97" s="10"/>
      <c r="H97" s="10"/>
      <c r="I97" s="10"/>
    </row>
    <row r="98" spans="1:9" ht="15.75">
      <c r="A98" s="172" t="s">
        <v>7</v>
      </c>
      <c r="B98" s="172"/>
      <c r="C98" s="172"/>
      <c r="D98" s="172"/>
      <c r="E98" s="172"/>
      <c r="F98" s="172"/>
      <c r="G98" s="172"/>
      <c r="H98" s="172"/>
      <c r="I98" s="172"/>
    </row>
    <row r="99" spans="1:9" ht="15.75">
      <c r="A99" s="172" t="s">
        <v>8</v>
      </c>
      <c r="B99" s="172"/>
      <c r="C99" s="172"/>
      <c r="D99" s="172"/>
      <c r="E99" s="172"/>
      <c r="F99" s="172"/>
      <c r="G99" s="172"/>
      <c r="H99" s="172"/>
      <c r="I99" s="172"/>
    </row>
    <row r="100" spans="1:9" ht="15.75">
      <c r="A100" s="161" t="s">
        <v>65</v>
      </c>
      <c r="B100" s="161"/>
      <c r="C100" s="161"/>
      <c r="D100" s="161"/>
      <c r="E100" s="161"/>
      <c r="F100" s="161"/>
      <c r="G100" s="161"/>
      <c r="H100" s="161"/>
      <c r="I100" s="161"/>
    </row>
    <row r="101" spans="1:9" ht="15.75">
      <c r="A101" s="11"/>
    </row>
    <row r="102" spans="1:9" ht="15.75">
      <c r="A102" s="162" t="s">
        <v>9</v>
      </c>
      <c r="B102" s="162"/>
      <c r="C102" s="162"/>
      <c r="D102" s="162"/>
      <c r="E102" s="162"/>
      <c r="F102" s="162"/>
      <c r="G102" s="162"/>
      <c r="H102" s="162"/>
      <c r="I102" s="162"/>
    </row>
    <row r="103" spans="1:9" ht="15.75" customHeight="1">
      <c r="A103" s="4"/>
    </row>
    <row r="104" spans="1:9" ht="15.75" customHeight="1">
      <c r="B104" s="117" t="s">
        <v>10</v>
      </c>
      <c r="C104" s="163" t="s">
        <v>170</v>
      </c>
      <c r="D104" s="163"/>
      <c r="E104" s="163"/>
      <c r="F104" s="128"/>
      <c r="I104" s="119"/>
    </row>
    <row r="105" spans="1:9" ht="15.75" customHeight="1">
      <c r="A105" s="120"/>
      <c r="C105" s="164" t="s">
        <v>11</v>
      </c>
      <c r="D105" s="164"/>
      <c r="E105" s="164"/>
      <c r="F105" s="33"/>
      <c r="I105" s="118" t="s">
        <v>12</v>
      </c>
    </row>
    <row r="106" spans="1:9" ht="15.75" customHeight="1">
      <c r="A106" s="34"/>
      <c r="C106" s="12"/>
      <c r="D106" s="12"/>
      <c r="G106" s="12"/>
      <c r="H106" s="12"/>
    </row>
    <row r="107" spans="1:9" ht="15.75">
      <c r="B107" s="117" t="s">
        <v>13</v>
      </c>
      <c r="C107" s="165"/>
      <c r="D107" s="165"/>
      <c r="E107" s="165"/>
      <c r="F107" s="129"/>
      <c r="I107" s="119"/>
    </row>
    <row r="108" spans="1:9">
      <c r="A108" s="120"/>
      <c r="C108" s="166" t="s">
        <v>11</v>
      </c>
      <c r="D108" s="166"/>
      <c r="E108" s="166"/>
      <c r="F108" s="120"/>
      <c r="I108" s="118" t="s">
        <v>12</v>
      </c>
    </row>
    <row r="109" spans="1:9" ht="15.75">
      <c r="A109" s="4" t="s">
        <v>14</v>
      </c>
    </row>
    <row r="110" spans="1:9">
      <c r="A110" s="159" t="s">
        <v>15</v>
      </c>
      <c r="B110" s="159"/>
      <c r="C110" s="159"/>
      <c r="D110" s="159"/>
      <c r="E110" s="159"/>
      <c r="F110" s="159"/>
      <c r="G110" s="159"/>
      <c r="H110" s="159"/>
      <c r="I110" s="159"/>
    </row>
    <row r="111" spans="1:9" ht="45" customHeight="1">
      <c r="A111" s="160" t="s">
        <v>16</v>
      </c>
      <c r="B111" s="160"/>
      <c r="C111" s="160"/>
      <c r="D111" s="160"/>
      <c r="E111" s="160"/>
      <c r="F111" s="160"/>
      <c r="G111" s="160"/>
      <c r="H111" s="160"/>
      <c r="I111" s="160"/>
    </row>
    <row r="112" spans="1:9" ht="30" customHeight="1">
      <c r="A112" s="160" t="s">
        <v>17</v>
      </c>
      <c r="B112" s="160"/>
      <c r="C112" s="160"/>
      <c r="D112" s="160"/>
      <c r="E112" s="160"/>
      <c r="F112" s="160"/>
      <c r="G112" s="160"/>
      <c r="H112" s="160"/>
      <c r="I112" s="160"/>
    </row>
    <row r="113" spans="1:9" ht="30" customHeight="1">
      <c r="A113" s="160" t="s">
        <v>21</v>
      </c>
      <c r="B113" s="160"/>
      <c r="C113" s="160"/>
      <c r="D113" s="160"/>
      <c r="E113" s="160"/>
      <c r="F113" s="160"/>
      <c r="G113" s="160"/>
      <c r="H113" s="160"/>
      <c r="I113" s="160"/>
    </row>
    <row r="114" spans="1:9" ht="15" customHeight="1">
      <c r="A114" s="160" t="s">
        <v>20</v>
      </c>
      <c r="B114" s="160"/>
      <c r="C114" s="160"/>
      <c r="D114" s="160"/>
      <c r="E114" s="160"/>
      <c r="F114" s="160"/>
      <c r="G114" s="160"/>
      <c r="H114" s="160"/>
      <c r="I114" s="160"/>
    </row>
  </sheetData>
  <autoFilter ref="I12:I60"/>
  <mergeCells count="28">
    <mergeCell ref="A111:I111"/>
    <mergeCell ref="A112:I112"/>
    <mergeCell ref="A113:I113"/>
    <mergeCell ref="A114:I114"/>
    <mergeCell ref="A102:I102"/>
    <mergeCell ref="C104:E104"/>
    <mergeCell ref="C105:E105"/>
    <mergeCell ref="C107:E107"/>
    <mergeCell ref="C108:E108"/>
    <mergeCell ref="A110:I110"/>
    <mergeCell ref="A94:I94"/>
    <mergeCell ref="B95:G95"/>
    <mergeCell ref="B96:G96"/>
    <mergeCell ref="A98:I98"/>
    <mergeCell ref="A99:I99"/>
    <mergeCell ref="A100:I100"/>
    <mergeCell ref="A15:I15"/>
    <mergeCell ref="A28:I28"/>
    <mergeCell ref="A46:I46"/>
    <mergeCell ref="A56:I56"/>
    <mergeCell ref="R65:U65"/>
    <mergeCell ref="A81:I81"/>
    <mergeCell ref="A3:I3"/>
    <mergeCell ref="A4:I4"/>
    <mergeCell ref="A5:I5"/>
    <mergeCell ref="A8:I8"/>
    <mergeCell ref="A10:I10"/>
    <mergeCell ref="A14:I14"/>
  </mergeCells>
  <pageMargins left="0.70866141732283472" right="0.23622047244094491" top="0.27559055118110237" bottom="0.27559055118110237" header="0.31496062992125984" footer="0.31496062992125984"/>
  <pageSetup paperSize="9" scale="60" orientation="portrait" r:id="rId1"/>
  <colBreaks count="1" manualBreakCount="1">
    <brk id="9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>
  <dimension ref="A1:V121"/>
  <sheetViews>
    <sheetView workbookViewId="0">
      <selection activeCell="A3" sqref="A3:I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36" t="s">
        <v>96</v>
      </c>
      <c r="I1" s="35"/>
      <c r="J1" s="1"/>
      <c r="K1" s="1"/>
      <c r="L1" s="1"/>
      <c r="M1" s="1"/>
    </row>
    <row r="2" spans="1:13" ht="15.75">
      <c r="A2" s="37" t="s">
        <v>67</v>
      </c>
      <c r="J2" s="2"/>
      <c r="K2" s="2"/>
      <c r="L2" s="2"/>
      <c r="M2" s="2"/>
    </row>
    <row r="3" spans="1:13" ht="15.75" customHeight="1">
      <c r="A3" s="177" t="s">
        <v>271</v>
      </c>
      <c r="B3" s="177"/>
      <c r="C3" s="177"/>
      <c r="D3" s="177"/>
      <c r="E3" s="177"/>
      <c r="F3" s="177"/>
      <c r="G3" s="177"/>
      <c r="H3" s="177"/>
      <c r="I3" s="177"/>
      <c r="J3" s="3"/>
      <c r="K3" s="3"/>
      <c r="L3" s="3"/>
    </row>
    <row r="4" spans="1:13" ht="31.5" customHeight="1">
      <c r="A4" s="178" t="s">
        <v>159</v>
      </c>
      <c r="B4" s="178"/>
      <c r="C4" s="178"/>
      <c r="D4" s="178"/>
      <c r="E4" s="178"/>
      <c r="F4" s="178"/>
      <c r="G4" s="178"/>
      <c r="H4" s="178"/>
      <c r="I4" s="178"/>
    </row>
    <row r="5" spans="1:13" ht="15.75">
      <c r="A5" s="177" t="s">
        <v>272</v>
      </c>
      <c r="B5" s="179"/>
      <c r="C5" s="179"/>
      <c r="D5" s="179"/>
      <c r="E5" s="179"/>
      <c r="F5" s="179"/>
      <c r="G5" s="179"/>
      <c r="H5" s="179"/>
      <c r="I5" s="179"/>
      <c r="J5" s="2"/>
      <c r="K5" s="2"/>
      <c r="L5" s="2"/>
      <c r="M5" s="2"/>
    </row>
    <row r="6" spans="1:13" ht="15.75">
      <c r="A6" s="2"/>
      <c r="B6" s="116"/>
      <c r="C6" s="116"/>
      <c r="D6" s="116"/>
      <c r="E6" s="116"/>
      <c r="F6" s="116"/>
      <c r="G6" s="116"/>
      <c r="H6" s="116"/>
      <c r="I6" s="39">
        <v>42643</v>
      </c>
      <c r="J6" s="2"/>
      <c r="K6" s="2"/>
      <c r="L6" s="2"/>
      <c r="M6" s="2"/>
    </row>
    <row r="7" spans="1:13" ht="15.75">
      <c r="B7" s="117"/>
      <c r="C7" s="117"/>
      <c r="D7" s="117"/>
      <c r="E7" s="3"/>
      <c r="F7" s="3"/>
      <c r="G7" s="3"/>
      <c r="H7" s="3"/>
      <c r="J7" s="3"/>
      <c r="K7" s="3"/>
      <c r="L7" s="3"/>
      <c r="M7" s="3"/>
    </row>
    <row r="8" spans="1:13" ht="87" customHeight="1">
      <c r="A8" s="180" t="s">
        <v>174</v>
      </c>
      <c r="B8" s="180"/>
      <c r="C8" s="180"/>
      <c r="D8" s="180"/>
      <c r="E8" s="180"/>
      <c r="F8" s="180"/>
      <c r="G8" s="180"/>
      <c r="H8" s="180"/>
      <c r="I8" s="180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55.5" customHeight="1">
      <c r="A10" s="181" t="s">
        <v>173</v>
      </c>
      <c r="B10" s="181"/>
      <c r="C10" s="181"/>
      <c r="D10" s="181"/>
      <c r="E10" s="181"/>
      <c r="F10" s="181"/>
      <c r="G10" s="181"/>
      <c r="H10" s="181"/>
      <c r="I10" s="181"/>
      <c r="J10" s="2"/>
      <c r="K10" s="2"/>
      <c r="L10" s="2"/>
      <c r="M10" s="2"/>
    </row>
    <row r="11" spans="1:13" ht="23.25" customHeight="1">
      <c r="A11" s="4"/>
    </row>
    <row r="12" spans="1:13" ht="4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182" t="s">
        <v>63</v>
      </c>
      <c r="B14" s="182"/>
      <c r="C14" s="182"/>
      <c r="D14" s="182"/>
      <c r="E14" s="182"/>
      <c r="F14" s="182"/>
      <c r="G14" s="182"/>
      <c r="H14" s="182"/>
      <c r="I14" s="182"/>
      <c r="J14" s="8"/>
      <c r="K14" s="8"/>
      <c r="L14" s="8"/>
      <c r="M14" s="8"/>
    </row>
    <row r="15" spans="1:13" ht="15" customHeight="1">
      <c r="A15" s="173" t="s">
        <v>4</v>
      </c>
      <c r="B15" s="173"/>
      <c r="C15" s="173"/>
      <c r="D15" s="173"/>
      <c r="E15" s="173"/>
      <c r="F15" s="173"/>
      <c r="G15" s="173"/>
      <c r="H15" s="173"/>
      <c r="I15" s="173"/>
      <c r="J15" s="8"/>
      <c r="K15" s="8"/>
      <c r="L15" s="8"/>
      <c r="M15" s="8"/>
    </row>
    <row r="16" spans="1:13" ht="31.5" customHeight="1">
      <c r="A16" s="38">
        <v>1</v>
      </c>
      <c r="B16" s="131" t="s">
        <v>99</v>
      </c>
      <c r="C16" s="132" t="s">
        <v>100</v>
      </c>
      <c r="D16" s="131" t="s">
        <v>101</v>
      </c>
      <c r="E16" s="133">
        <v>208.08</v>
      </c>
      <c r="F16" s="134">
        <f>SUM(E16*156/100)</f>
        <v>324.60480000000001</v>
      </c>
      <c r="G16" s="134">
        <v>175.38</v>
      </c>
      <c r="H16" s="135">
        <f t="shared" ref="H16:H25" si="0">SUM(F16*G16/1000)</f>
        <v>56.929189823999998</v>
      </c>
      <c r="I16" s="16">
        <f>F16/12*G16</f>
        <v>4744.0991519999998</v>
      </c>
      <c r="J16" s="30"/>
      <c r="K16" s="8"/>
      <c r="L16" s="8"/>
      <c r="M16" s="8"/>
    </row>
    <row r="17" spans="1:13" ht="31.5" customHeight="1">
      <c r="A17" s="38">
        <v>2</v>
      </c>
      <c r="B17" s="131" t="s">
        <v>135</v>
      </c>
      <c r="C17" s="132" t="s">
        <v>100</v>
      </c>
      <c r="D17" s="131" t="s">
        <v>102</v>
      </c>
      <c r="E17" s="133">
        <v>832.32</v>
      </c>
      <c r="F17" s="134">
        <f>SUM(E17*104/100)</f>
        <v>865.61279999999999</v>
      </c>
      <c r="G17" s="134">
        <v>175.38</v>
      </c>
      <c r="H17" s="135">
        <f t="shared" si="0"/>
        <v>151.81117286399999</v>
      </c>
      <c r="I17" s="16">
        <f>F17/12*G17</f>
        <v>12650.931071999999</v>
      </c>
      <c r="J17" s="31"/>
      <c r="K17" s="8"/>
      <c r="L17" s="8"/>
      <c r="M17" s="8"/>
    </row>
    <row r="18" spans="1:13" ht="31.5" customHeight="1">
      <c r="A18" s="38">
        <v>3</v>
      </c>
      <c r="B18" s="131" t="s">
        <v>136</v>
      </c>
      <c r="C18" s="132" t="s">
        <v>100</v>
      </c>
      <c r="D18" s="131" t="s">
        <v>240</v>
      </c>
      <c r="E18" s="133">
        <v>1040.4000000000001</v>
      </c>
      <c r="F18" s="134">
        <f>SUM(E18*24/100)</f>
        <v>249.69600000000003</v>
      </c>
      <c r="G18" s="134">
        <v>504.5</v>
      </c>
      <c r="H18" s="135">
        <f t="shared" si="0"/>
        <v>125.97163200000001</v>
      </c>
      <c r="I18" s="16">
        <f>F18/12*G18</f>
        <v>10497.636000000002</v>
      </c>
      <c r="J18" s="31"/>
      <c r="K18" s="8"/>
      <c r="L18" s="8"/>
      <c r="M18" s="8"/>
    </row>
    <row r="19" spans="1:13" ht="15.75" hidden="1" customHeight="1">
      <c r="A19" s="38"/>
      <c r="B19" s="131" t="s">
        <v>109</v>
      </c>
      <c r="C19" s="132" t="s">
        <v>110</v>
      </c>
      <c r="D19" s="131" t="s">
        <v>111</v>
      </c>
      <c r="E19" s="133">
        <v>48</v>
      </c>
      <c r="F19" s="134">
        <f>SUM(E19/10)</f>
        <v>4.8</v>
      </c>
      <c r="G19" s="134">
        <v>170.16</v>
      </c>
      <c r="H19" s="135">
        <f t="shared" si="0"/>
        <v>0.81676799999999994</v>
      </c>
      <c r="I19" s="16">
        <v>0</v>
      </c>
      <c r="J19" s="31"/>
      <c r="K19" s="8"/>
      <c r="L19" s="8"/>
      <c r="M19" s="8"/>
    </row>
    <row r="20" spans="1:13" ht="15.75" customHeight="1">
      <c r="A20" s="38">
        <v>4</v>
      </c>
      <c r="B20" s="131" t="s">
        <v>112</v>
      </c>
      <c r="C20" s="132" t="s">
        <v>100</v>
      </c>
      <c r="D20" s="131" t="s">
        <v>138</v>
      </c>
      <c r="E20" s="133">
        <v>30.6</v>
      </c>
      <c r="F20" s="134">
        <f>SUM(E20*12/100)</f>
        <v>3.6720000000000006</v>
      </c>
      <c r="G20" s="134">
        <v>217.88</v>
      </c>
      <c r="H20" s="135">
        <f t="shared" si="0"/>
        <v>0.8000553600000001</v>
      </c>
      <c r="I20" s="16">
        <f>F20/12*G20</f>
        <v>66.67128000000001</v>
      </c>
      <c r="J20" s="31"/>
      <c r="K20" s="8"/>
      <c r="L20" s="8"/>
      <c r="M20" s="8"/>
    </row>
    <row r="21" spans="1:13" ht="15.75" customHeight="1">
      <c r="A21" s="38">
        <v>5</v>
      </c>
      <c r="B21" s="131" t="s">
        <v>113</v>
      </c>
      <c r="C21" s="132" t="s">
        <v>100</v>
      </c>
      <c r="D21" s="131" t="s">
        <v>30</v>
      </c>
      <c r="E21" s="133">
        <v>10.06</v>
      </c>
      <c r="F21" s="134">
        <f>SUM(E21*12/100)</f>
        <v>1.2072000000000001</v>
      </c>
      <c r="G21" s="134">
        <v>216.12</v>
      </c>
      <c r="H21" s="135">
        <f t="shared" si="0"/>
        <v>0.26090006400000004</v>
      </c>
      <c r="I21" s="16">
        <f>F21/12*G21</f>
        <v>21.741672000000001</v>
      </c>
      <c r="J21" s="31"/>
      <c r="K21" s="8"/>
      <c r="L21" s="8"/>
      <c r="M21" s="8"/>
    </row>
    <row r="22" spans="1:13" ht="15.75" hidden="1" customHeight="1">
      <c r="A22" s="38"/>
      <c r="B22" s="131" t="s">
        <v>114</v>
      </c>
      <c r="C22" s="132" t="s">
        <v>55</v>
      </c>
      <c r="D22" s="131" t="s">
        <v>111</v>
      </c>
      <c r="E22" s="133">
        <v>769.2</v>
      </c>
      <c r="F22" s="134">
        <f>SUM(E22/100)</f>
        <v>7.6920000000000002</v>
      </c>
      <c r="G22" s="134">
        <v>269.26</v>
      </c>
      <c r="H22" s="135">
        <f t="shared" si="0"/>
        <v>2.07114792</v>
      </c>
      <c r="I22" s="16">
        <v>0</v>
      </c>
      <c r="J22" s="31"/>
      <c r="K22" s="8"/>
      <c r="L22" s="8"/>
      <c r="M22" s="8"/>
    </row>
    <row r="23" spans="1:13" ht="15.75" hidden="1" customHeight="1">
      <c r="A23" s="38"/>
      <c r="B23" s="131" t="s">
        <v>115</v>
      </c>
      <c r="C23" s="132" t="s">
        <v>55</v>
      </c>
      <c r="D23" s="131" t="s">
        <v>111</v>
      </c>
      <c r="E23" s="136">
        <v>35.28</v>
      </c>
      <c r="F23" s="134">
        <f>SUM(E23/100)</f>
        <v>0.3528</v>
      </c>
      <c r="G23" s="134">
        <v>44.29</v>
      </c>
      <c r="H23" s="135">
        <f t="shared" si="0"/>
        <v>1.5625512000000001E-2</v>
      </c>
      <c r="I23" s="16">
        <v>0</v>
      </c>
      <c r="J23" s="31"/>
      <c r="K23" s="8"/>
      <c r="L23" s="8"/>
      <c r="M23" s="8"/>
    </row>
    <row r="24" spans="1:13" ht="15.75" customHeight="1">
      <c r="A24" s="38">
        <v>6</v>
      </c>
      <c r="B24" s="131" t="s">
        <v>116</v>
      </c>
      <c r="C24" s="132" t="s">
        <v>55</v>
      </c>
      <c r="D24" s="131" t="s">
        <v>30</v>
      </c>
      <c r="E24" s="133">
        <v>10.8</v>
      </c>
      <c r="F24" s="134">
        <f>E24*12/100</f>
        <v>1.2960000000000003</v>
      </c>
      <c r="G24" s="134">
        <v>389.72</v>
      </c>
      <c r="H24" s="135">
        <f t="shared" si="0"/>
        <v>0.50507712000000016</v>
      </c>
      <c r="I24" s="16">
        <f>F24/12*G24</f>
        <v>42.089760000000012</v>
      </c>
      <c r="J24" s="31"/>
      <c r="K24" s="8"/>
      <c r="L24" s="8"/>
      <c r="M24" s="8"/>
    </row>
    <row r="25" spans="1:13" ht="15.75" customHeight="1">
      <c r="A25" s="38">
        <v>7</v>
      </c>
      <c r="B25" s="131" t="s">
        <v>117</v>
      </c>
      <c r="C25" s="132" t="s">
        <v>55</v>
      </c>
      <c r="D25" s="131" t="s">
        <v>139</v>
      </c>
      <c r="E25" s="133">
        <v>21.6</v>
      </c>
      <c r="F25" s="134">
        <f>SUM(E25*12/100)</f>
        <v>2.5920000000000005</v>
      </c>
      <c r="G25" s="134">
        <v>520.79999999999995</v>
      </c>
      <c r="H25" s="135">
        <f t="shared" si="0"/>
        <v>1.3499136</v>
      </c>
      <c r="I25" s="16">
        <f>F25/12*G25</f>
        <v>112.49280000000002</v>
      </c>
      <c r="J25" s="31"/>
      <c r="K25" s="8"/>
      <c r="L25" s="8"/>
      <c r="M25" s="8"/>
    </row>
    <row r="26" spans="1:13" ht="15.75" customHeight="1">
      <c r="A26" s="38">
        <v>8</v>
      </c>
      <c r="B26" s="131" t="s">
        <v>69</v>
      </c>
      <c r="C26" s="132" t="s">
        <v>33</v>
      </c>
      <c r="D26" s="131" t="s">
        <v>140</v>
      </c>
      <c r="E26" s="133">
        <v>0.1</v>
      </c>
      <c r="F26" s="134">
        <f>SUM(E26*365)</f>
        <v>36.5</v>
      </c>
      <c r="G26" s="134">
        <v>147.03</v>
      </c>
      <c r="H26" s="135">
        <f>SUM(F26*G26/1000)</f>
        <v>5.3665950000000002</v>
      </c>
      <c r="I26" s="16">
        <f>F26/12*G26</f>
        <v>447.21625</v>
      </c>
      <c r="J26" s="32"/>
    </row>
    <row r="27" spans="1:13" ht="15.75" customHeight="1">
      <c r="A27" s="38">
        <v>9</v>
      </c>
      <c r="B27" s="139" t="s">
        <v>23</v>
      </c>
      <c r="C27" s="132" t="s">
        <v>24</v>
      </c>
      <c r="D27" s="139" t="s">
        <v>179</v>
      </c>
      <c r="E27" s="133">
        <v>6980.3</v>
      </c>
      <c r="F27" s="134">
        <f>SUM(E27*12)</f>
        <v>83763.600000000006</v>
      </c>
      <c r="G27" s="134">
        <v>4.4000000000000004</v>
      </c>
      <c r="H27" s="135">
        <f>SUM(F27*G27/1000)</f>
        <v>368.55984000000007</v>
      </c>
      <c r="I27" s="16">
        <f>F27/12*G27</f>
        <v>30713.320000000003</v>
      </c>
      <c r="J27" s="32"/>
    </row>
    <row r="28" spans="1:13" ht="15" customHeight="1">
      <c r="A28" s="173" t="s">
        <v>95</v>
      </c>
      <c r="B28" s="173"/>
      <c r="C28" s="173"/>
      <c r="D28" s="173"/>
      <c r="E28" s="173"/>
      <c r="F28" s="173"/>
      <c r="G28" s="173"/>
      <c r="H28" s="173"/>
      <c r="I28" s="173"/>
      <c r="J28" s="31"/>
      <c r="K28" s="8"/>
      <c r="L28" s="8"/>
      <c r="M28" s="8"/>
    </row>
    <row r="29" spans="1:13" ht="15.75" customHeight="1">
      <c r="A29" s="38"/>
      <c r="B29" s="155" t="s">
        <v>28</v>
      </c>
      <c r="C29" s="132"/>
      <c r="D29" s="131"/>
      <c r="E29" s="133"/>
      <c r="F29" s="134"/>
      <c r="G29" s="134"/>
      <c r="H29" s="135"/>
      <c r="I29" s="16"/>
      <c r="J29" s="31"/>
      <c r="K29" s="8"/>
      <c r="L29" s="8"/>
      <c r="M29" s="8"/>
    </row>
    <row r="30" spans="1:13" ht="31.5" customHeight="1">
      <c r="A30" s="38">
        <v>10</v>
      </c>
      <c r="B30" s="131" t="s">
        <v>121</v>
      </c>
      <c r="C30" s="132" t="s">
        <v>104</v>
      </c>
      <c r="D30" s="131" t="s">
        <v>118</v>
      </c>
      <c r="E30" s="134">
        <v>1168.05</v>
      </c>
      <c r="F30" s="134">
        <f>SUM(E30*52/1000)</f>
        <v>60.738599999999998</v>
      </c>
      <c r="G30" s="134">
        <v>155.88999999999999</v>
      </c>
      <c r="H30" s="135">
        <f t="shared" ref="H30:H36" si="1">SUM(F30*G30/1000)</f>
        <v>9.4685403539999982</v>
      </c>
      <c r="I30" s="16">
        <f>F30/6*G30</f>
        <v>1578.0900589999997</v>
      </c>
      <c r="J30" s="31"/>
      <c r="K30" s="8"/>
      <c r="L30" s="8"/>
      <c r="M30" s="8"/>
    </row>
    <row r="31" spans="1:13" ht="31.5" customHeight="1">
      <c r="A31" s="38">
        <v>11</v>
      </c>
      <c r="B31" s="131" t="s">
        <v>142</v>
      </c>
      <c r="C31" s="132" t="s">
        <v>104</v>
      </c>
      <c r="D31" s="131" t="s">
        <v>119</v>
      </c>
      <c r="E31" s="134">
        <v>1039.2</v>
      </c>
      <c r="F31" s="134">
        <f>SUM(E31*78/1000)</f>
        <v>81.057600000000008</v>
      </c>
      <c r="G31" s="134">
        <v>258.63</v>
      </c>
      <c r="H31" s="135">
        <f t="shared" si="1"/>
        <v>20.963927088000002</v>
      </c>
      <c r="I31" s="16">
        <f t="shared" ref="I31:I34" si="2">F31/6*G31</f>
        <v>3493.9878480000002</v>
      </c>
      <c r="J31" s="31"/>
      <c r="K31" s="8"/>
      <c r="L31" s="8"/>
      <c r="M31" s="8"/>
    </row>
    <row r="32" spans="1:13" ht="15.75" hidden="1" customHeight="1">
      <c r="A32" s="38">
        <v>16</v>
      </c>
      <c r="B32" s="131" t="s">
        <v>27</v>
      </c>
      <c r="C32" s="132" t="s">
        <v>104</v>
      </c>
      <c r="D32" s="131" t="s">
        <v>56</v>
      </c>
      <c r="E32" s="134">
        <v>584.03</v>
      </c>
      <c r="F32" s="134">
        <f>SUM(E32/1000)</f>
        <v>0.58402999999999994</v>
      </c>
      <c r="G32" s="134">
        <v>3020.33</v>
      </c>
      <c r="H32" s="135">
        <f t="shared" si="1"/>
        <v>1.7639633298999997</v>
      </c>
      <c r="I32" s="16">
        <f>F32*G32</f>
        <v>1763.9633298999997</v>
      </c>
      <c r="J32" s="31"/>
      <c r="K32" s="8"/>
      <c r="L32" s="8"/>
      <c r="M32" s="8"/>
    </row>
    <row r="33" spans="1:14" ht="15.75" customHeight="1">
      <c r="A33" s="38">
        <v>12</v>
      </c>
      <c r="B33" s="131" t="s">
        <v>141</v>
      </c>
      <c r="C33" s="132" t="s">
        <v>39</v>
      </c>
      <c r="D33" s="131" t="s">
        <v>68</v>
      </c>
      <c r="E33" s="134">
        <v>6</v>
      </c>
      <c r="F33" s="134">
        <f>E33*155/100</f>
        <v>9.3000000000000007</v>
      </c>
      <c r="G33" s="134">
        <v>1302.02</v>
      </c>
      <c r="H33" s="135">
        <f>G33*F33/1000</f>
        <v>12.108786</v>
      </c>
      <c r="I33" s="16">
        <f t="shared" si="2"/>
        <v>2018.1310000000001</v>
      </c>
      <c r="J33" s="31"/>
      <c r="K33" s="8"/>
      <c r="L33" s="8"/>
      <c r="M33" s="8"/>
    </row>
    <row r="34" spans="1:14" ht="15.75" customHeight="1">
      <c r="A34" s="38">
        <v>13</v>
      </c>
      <c r="B34" s="131" t="s">
        <v>120</v>
      </c>
      <c r="C34" s="132" t="s">
        <v>31</v>
      </c>
      <c r="D34" s="131" t="s">
        <v>68</v>
      </c>
      <c r="E34" s="138">
        <v>0.33333333333333331</v>
      </c>
      <c r="F34" s="134">
        <f>155/3</f>
        <v>51.666666666666664</v>
      </c>
      <c r="G34" s="134">
        <v>56.69</v>
      </c>
      <c r="H34" s="135">
        <f>SUM(G34*155/3/1000)</f>
        <v>2.9289833333333331</v>
      </c>
      <c r="I34" s="16">
        <f t="shared" si="2"/>
        <v>488.16388888888883</v>
      </c>
      <c r="J34" s="31"/>
      <c r="K34" s="8"/>
    </row>
    <row r="35" spans="1:14" ht="15.75" hidden="1" customHeight="1">
      <c r="A35" s="38"/>
      <c r="B35" s="131" t="s">
        <v>70</v>
      </c>
      <c r="C35" s="132" t="s">
        <v>33</v>
      </c>
      <c r="D35" s="131" t="s">
        <v>72</v>
      </c>
      <c r="E35" s="133"/>
      <c r="F35" s="134">
        <v>4</v>
      </c>
      <c r="G35" s="134">
        <v>180.15</v>
      </c>
      <c r="H35" s="135">
        <f t="shared" si="1"/>
        <v>0.72060000000000002</v>
      </c>
      <c r="I35" s="16">
        <v>0</v>
      </c>
      <c r="J35" s="32"/>
    </row>
    <row r="36" spans="1:14" ht="15.75" hidden="1" customHeight="1">
      <c r="A36" s="38"/>
      <c r="B36" s="131" t="s">
        <v>71</v>
      </c>
      <c r="C36" s="132" t="s">
        <v>32</v>
      </c>
      <c r="D36" s="131" t="s">
        <v>72</v>
      </c>
      <c r="E36" s="133"/>
      <c r="F36" s="134">
        <v>3</v>
      </c>
      <c r="G36" s="134">
        <v>1136.33</v>
      </c>
      <c r="H36" s="135">
        <f t="shared" si="1"/>
        <v>3.4089899999999997</v>
      </c>
      <c r="I36" s="16">
        <v>0</v>
      </c>
      <c r="J36" s="32"/>
    </row>
    <row r="37" spans="1:14" ht="15.75" hidden="1" customHeight="1">
      <c r="A37" s="38"/>
      <c r="B37" s="155" t="s">
        <v>5</v>
      </c>
      <c r="C37" s="132"/>
      <c r="D37" s="131"/>
      <c r="E37" s="133"/>
      <c r="F37" s="134"/>
      <c r="G37" s="134"/>
      <c r="H37" s="135" t="s">
        <v>179</v>
      </c>
      <c r="I37" s="16"/>
      <c r="J37" s="32"/>
    </row>
    <row r="38" spans="1:14" ht="15.75" hidden="1" customHeight="1">
      <c r="A38" s="38">
        <v>10</v>
      </c>
      <c r="B38" s="131" t="s">
        <v>26</v>
      </c>
      <c r="C38" s="132" t="s">
        <v>32</v>
      </c>
      <c r="D38" s="131"/>
      <c r="E38" s="133"/>
      <c r="F38" s="134">
        <v>10</v>
      </c>
      <c r="G38" s="134">
        <v>1527.22</v>
      </c>
      <c r="H38" s="135">
        <f t="shared" ref="H38:H45" si="3">SUM(F38*G38/1000)</f>
        <v>15.272200000000002</v>
      </c>
      <c r="I38" s="16">
        <f>F38/6*G38</f>
        <v>2545.3666666666668</v>
      </c>
      <c r="J38" s="32"/>
    </row>
    <row r="39" spans="1:14" ht="15.75" hidden="1" customHeight="1">
      <c r="A39" s="38">
        <v>11</v>
      </c>
      <c r="B39" s="131" t="s">
        <v>143</v>
      </c>
      <c r="C39" s="132" t="s">
        <v>33</v>
      </c>
      <c r="D39" s="131"/>
      <c r="E39" s="133"/>
      <c r="F39" s="134">
        <v>10</v>
      </c>
      <c r="G39" s="134">
        <v>77.94</v>
      </c>
      <c r="H39" s="135">
        <f>G39*F39/1000</f>
        <v>0.77939999999999998</v>
      </c>
      <c r="I39" s="16">
        <f>F39/6*G39</f>
        <v>129.9</v>
      </c>
      <c r="J39" s="32"/>
      <c r="L39" s="25"/>
      <c r="M39" s="26"/>
      <c r="N39" s="27"/>
    </row>
    <row r="40" spans="1:14" ht="15.75" hidden="1" customHeight="1">
      <c r="A40" s="38">
        <v>12</v>
      </c>
      <c r="B40" s="131" t="s">
        <v>122</v>
      </c>
      <c r="C40" s="132" t="s">
        <v>29</v>
      </c>
      <c r="D40" s="131" t="s">
        <v>144</v>
      </c>
      <c r="E40" s="133">
        <v>1039.2</v>
      </c>
      <c r="F40" s="134">
        <f>E40*25/1000</f>
        <v>25.98</v>
      </c>
      <c r="G40" s="134">
        <v>2102.71</v>
      </c>
      <c r="H40" s="135">
        <f>G40*F40/1000</f>
        <v>54.628405800000003</v>
      </c>
      <c r="I40" s="16">
        <f>F40/6*G40</f>
        <v>9104.7343000000001</v>
      </c>
      <c r="J40" s="32"/>
      <c r="L40" s="25"/>
      <c r="M40" s="26"/>
      <c r="N40" s="27"/>
    </row>
    <row r="41" spans="1:14" ht="15.75" hidden="1" customHeight="1">
      <c r="A41" s="38"/>
      <c r="B41" s="131" t="s">
        <v>145</v>
      </c>
      <c r="C41" s="132" t="s">
        <v>146</v>
      </c>
      <c r="D41" s="131" t="s">
        <v>72</v>
      </c>
      <c r="E41" s="133"/>
      <c r="F41" s="134">
        <v>50</v>
      </c>
      <c r="G41" s="134">
        <v>213.2</v>
      </c>
      <c r="H41" s="135">
        <f>G41*F41/1000</f>
        <v>10.66</v>
      </c>
      <c r="I41" s="16">
        <v>0</v>
      </c>
      <c r="J41" s="32"/>
      <c r="L41" s="25"/>
      <c r="M41" s="26"/>
      <c r="N41" s="27"/>
    </row>
    <row r="42" spans="1:14" ht="15.75" hidden="1" customHeight="1">
      <c r="A42" s="38">
        <v>13</v>
      </c>
      <c r="B42" s="131" t="s">
        <v>73</v>
      </c>
      <c r="C42" s="132" t="s">
        <v>29</v>
      </c>
      <c r="D42" s="131" t="s">
        <v>103</v>
      </c>
      <c r="E42" s="134">
        <v>153</v>
      </c>
      <c r="F42" s="134">
        <f>SUM(E42*155/1000)</f>
        <v>23.715</v>
      </c>
      <c r="G42" s="134">
        <v>350.75</v>
      </c>
      <c r="H42" s="135">
        <f t="shared" si="3"/>
        <v>8.3180362499999987</v>
      </c>
      <c r="I42" s="16">
        <f>F42/6*G42</f>
        <v>1386.339375</v>
      </c>
      <c r="J42" s="32"/>
      <c r="L42" s="25"/>
      <c r="M42" s="26"/>
      <c r="N42" s="27"/>
    </row>
    <row r="43" spans="1:14" ht="47.25" hidden="1" customHeight="1">
      <c r="A43" s="38">
        <v>14</v>
      </c>
      <c r="B43" s="131" t="s">
        <v>91</v>
      </c>
      <c r="C43" s="132" t="s">
        <v>104</v>
      </c>
      <c r="D43" s="131" t="s">
        <v>147</v>
      </c>
      <c r="E43" s="134">
        <v>24</v>
      </c>
      <c r="F43" s="134">
        <f>SUM(E43*50/1000)</f>
        <v>1.2</v>
      </c>
      <c r="G43" s="134">
        <v>5803.28</v>
      </c>
      <c r="H43" s="135">
        <f t="shared" si="3"/>
        <v>6.9639359999999995</v>
      </c>
      <c r="I43" s="16">
        <f>F43/6*G43</f>
        <v>1160.6559999999999</v>
      </c>
      <c r="J43" s="32"/>
      <c r="L43" s="25"/>
      <c r="M43" s="26"/>
      <c r="N43" s="27"/>
    </row>
    <row r="44" spans="1:14" ht="15.75" hidden="1" customHeight="1">
      <c r="A44" s="38">
        <v>15</v>
      </c>
      <c r="B44" s="131" t="s">
        <v>105</v>
      </c>
      <c r="C44" s="132" t="s">
        <v>104</v>
      </c>
      <c r="D44" s="131" t="s">
        <v>74</v>
      </c>
      <c r="E44" s="134">
        <v>153</v>
      </c>
      <c r="F44" s="134">
        <f>SUM(E44*45/1000)</f>
        <v>6.8849999999999998</v>
      </c>
      <c r="G44" s="134">
        <v>428.7</v>
      </c>
      <c r="H44" s="135">
        <f t="shared" si="3"/>
        <v>2.9515994999999999</v>
      </c>
      <c r="I44" s="16">
        <f>F44/6*G44</f>
        <v>491.93324999999999</v>
      </c>
      <c r="J44" s="32"/>
      <c r="L44" s="25"/>
      <c r="M44" s="26"/>
      <c r="N44" s="27"/>
    </row>
    <row r="45" spans="1:14" ht="15.75" hidden="1" customHeight="1">
      <c r="A45" s="38">
        <v>16</v>
      </c>
      <c r="B45" s="131" t="s">
        <v>75</v>
      </c>
      <c r="C45" s="132" t="s">
        <v>33</v>
      </c>
      <c r="D45" s="131"/>
      <c r="E45" s="133"/>
      <c r="F45" s="134">
        <v>0.9</v>
      </c>
      <c r="G45" s="134">
        <v>798</v>
      </c>
      <c r="H45" s="135">
        <f t="shared" si="3"/>
        <v>0.71820000000000006</v>
      </c>
      <c r="I45" s="16">
        <f>F45/6*G45</f>
        <v>119.69999999999999</v>
      </c>
      <c r="J45" s="32"/>
      <c r="L45" s="25"/>
      <c r="M45" s="26"/>
      <c r="N45" s="27"/>
    </row>
    <row r="46" spans="1:14" ht="15" customHeight="1">
      <c r="A46" s="174" t="s">
        <v>175</v>
      </c>
      <c r="B46" s="175"/>
      <c r="C46" s="175"/>
      <c r="D46" s="175"/>
      <c r="E46" s="175"/>
      <c r="F46" s="175"/>
      <c r="G46" s="175"/>
      <c r="H46" s="175"/>
      <c r="I46" s="176"/>
      <c r="J46" s="32"/>
      <c r="L46" s="25"/>
      <c r="M46" s="26"/>
      <c r="N46" s="27"/>
    </row>
    <row r="47" spans="1:14" ht="15.75" customHeight="1">
      <c r="A47" s="38">
        <v>14</v>
      </c>
      <c r="B47" s="131" t="s">
        <v>148</v>
      </c>
      <c r="C47" s="132" t="s">
        <v>104</v>
      </c>
      <c r="D47" s="131" t="s">
        <v>42</v>
      </c>
      <c r="E47" s="133">
        <v>1895</v>
      </c>
      <c r="F47" s="134">
        <f>SUM(E47*2/1000)</f>
        <v>3.79</v>
      </c>
      <c r="G47" s="16">
        <v>849.49</v>
      </c>
      <c r="H47" s="135">
        <f t="shared" ref="H47:H55" si="4">SUM(F47*G47/1000)</f>
        <v>3.2195671000000003</v>
      </c>
      <c r="I47" s="16">
        <f t="shared" ref="I47:I49" si="5">F47/2*G47</f>
        <v>1609.7835500000001</v>
      </c>
      <c r="J47" s="32"/>
      <c r="L47" s="25"/>
      <c r="M47" s="26"/>
      <c r="N47" s="27"/>
    </row>
    <row r="48" spans="1:14" ht="15.75" customHeight="1">
      <c r="A48" s="38">
        <v>15</v>
      </c>
      <c r="B48" s="131" t="s">
        <v>34</v>
      </c>
      <c r="C48" s="132" t="s">
        <v>104</v>
      </c>
      <c r="D48" s="131" t="s">
        <v>42</v>
      </c>
      <c r="E48" s="133">
        <v>118.2</v>
      </c>
      <c r="F48" s="134">
        <f>E48*2/1000</f>
        <v>0.2364</v>
      </c>
      <c r="G48" s="16">
        <v>579.48</v>
      </c>
      <c r="H48" s="135">
        <f t="shared" si="4"/>
        <v>0.13698907199999999</v>
      </c>
      <c r="I48" s="16">
        <f t="shared" si="5"/>
        <v>68.494535999999997</v>
      </c>
      <c r="J48" s="32"/>
      <c r="L48" s="25"/>
      <c r="M48" s="26"/>
      <c r="N48" s="27"/>
    </row>
    <row r="49" spans="1:22" ht="15.75" customHeight="1">
      <c r="A49" s="38">
        <v>16</v>
      </c>
      <c r="B49" s="131" t="s">
        <v>35</v>
      </c>
      <c r="C49" s="132" t="s">
        <v>104</v>
      </c>
      <c r="D49" s="131" t="s">
        <v>42</v>
      </c>
      <c r="E49" s="133">
        <v>4675</v>
      </c>
      <c r="F49" s="134">
        <f>SUM(E49*2/1000)</f>
        <v>9.35</v>
      </c>
      <c r="G49" s="16">
        <v>579.48</v>
      </c>
      <c r="H49" s="135">
        <f t="shared" si="4"/>
        <v>5.4181379999999999</v>
      </c>
      <c r="I49" s="16">
        <f t="shared" si="5"/>
        <v>2709.069</v>
      </c>
      <c r="J49" s="32"/>
      <c r="L49" s="25"/>
      <c r="M49" s="26"/>
      <c r="N49" s="27"/>
    </row>
    <row r="50" spans="1:22" ht="15.75" customHeight="1">
      <c r="A50" s="38">
        <v>17</v>
      </c>
      <c r="B50" s="131" t="s">
        <v>36</v>
      </c>
      <c r="C50" s="132" t="s">
        <v>104</v>
      </c>
      <c r="D50" s="131" t="s">
        <v>42</v>
      </c>
      <c r="E50" s="133">
        <v>4675</v>
      </c>
      <c r="F50" s="134">
        <f>SUM(E50*2/1000)</f>
        <v>9.35</v>
      </c>
      <c r="G50" s="16">
        <v>606.77</v>
      </c>
      <c r="H50" s="135">
        <f t="shared" si="4"/>
        <v>5.6732994999999988</v>
      </c>
      <c r="I50" s="16">
        <f>F50/2*G50</f>
        <v>2836.6497499999996</v>
      </c>
      <c r="J50" s="32"/>
      <c r="L50" s="25"/>
      <c r="M50" s="26"/>
      <c r="N50" s="27"/>
    </row>
    <row r="51" spans="1:22" ht="15.75" customHeight="1">
      <c r="A51" s="38">
        <v>18</v>
      </c>
      <c r="B51" s="131" t="s">
        <v>60</v>
      </c>
      <c r="C51" s="132" t="s">
        <v>104</v>
      </c>
      <c r="D51" s="131" t="s">
        <v>241</v>
      </c>
      <c r="E51" s="133">
        <v>3988</v>
      </c>
      <c r="F51" s="134">
        <f>SUM(E51*5/1000)</f>
        <v>19.940000000000001</v>
      </c>
      <c r="G51" s="16">
        <v>1142.7</v>
      </c>
      <c r="H51" s="135">
        <f t="shared" si="4"/>
        <v>22.785438000000003</v>
      </c>
      <c r="I51" s="16">
        <f>F51/5*G51</f>
        <v>4557.0876000000007</v>
      </c>
      <c r="J51" s="32"/>
      <c r="L51" s="25"/>
      <c r="M51" s="26"/>
      <c r="N51" s="27"/>
    </row>
    <row r="52" spans="1:22" ht="31.5" customHeight="1">
      <c r="A52" s="38">
        <v>19</v>
      </c>
      <c r="B52" s="131" t="s">
        <v>106</v>
      </c>
      <c r="C52" s="132" t="s">
        <v>104</v>
      </c>
      <c r="D52" s="131" t="s">
        <v>42</v>
      </c>
      <c r="E52" s="133">
        <v>3988</v>
      </c>
      <c r="F52" s="134">
        <f>SUM(E52*2/1000)</f>
        <v>7.976</v>
      </c>
      <c r="G52" s="16">
        <v>1213.55</v>
      </c>
      <c r="H52" s="135">
        <f t="shared" si="4"/>
        <v>9.6792748</v>
      </c>
      <c r="I52" s="16">
        <f t="shared" ref="I52:I54" si="6">F52/2*G52</f>
        <v>4839.6373999999996</v>
      </c>
      <c r="J52" s="32"/>
      <c r="L52" s="25"/>
      <c r="M52" s="26"/>
      <c r="N52" s="27"/>
    </row>
    <row r="53" spans="1:22" ht="31.5" customHeight="1">
      <c r="A53" s="38">
        <v>20</v>
      </c>
      <c r="B53" s="131" t="s">
        <v>107</v>
      </c>
      <c r="C53" s="132" t="s">
        <v>37</v>
      </c>
      <c r="D53" s="131" t="s">
        <v>42</v>
      </c>
      <c r="E53" s="133">
        <v>30</v>
      </c>
      <c r="F53" s="134">
        <f>SUM(E53*2/100)</f>
        <v>0.6</v>
      </c>
      <c r="G53" s="16">
        <v>2730.49</v>
      </c>
      <c r="H53" s="135">
        <f>SUM(F53*G53/1000)</f>
        <v>1.6382939999999999</v>
      </c>
      <c r="I53" s="16">
        <f t="shared" si="6"/>
        <v>819.14699999999993</v>
      </c>
      <c r="J53" s="32"/>
      <c r="L53" s="25"/>
      <c r="M53" s="26"/>
      <c r="N53" s="27"/>
    </row>
    <row r="54" spans="1:22" ht="15.75" customHeight="1">
      <c r="A54" s="38">
        <v>21</v>
      </c>
      <c r="B54" s="131" t="s">
        <v>38</v>
      </c>
      <c r="C54" s="132" t="s">
        <v>39</v>
      </c>
      <c r="D54" s="131" t="s">
        <v>42</v>
      </c>
      <c r="E54" s="133">
        <v>1</v>
      </c>
      <c r="F54" s="134">
        <v>0.02</v>
      </c>
      <c r="G54" s="16">
        <v>5652.13</v>
      </c>
      <c r="H54" s="135">
        <f t="shared" si="4"/>
        <v>0.11304260000000001</v>
      </c>
      <c r="I54" s="16">
        <f t="shared" si="6"/>
        <v>56.521300000000004</v>
      </c>
      <c r="J54" s="32"/>
      <c r="L54" s="25"/>
      <c r="M54" s="26"/>
      <c r="N54" s="27"/>
    </row>
    <row r="55" spans="1:22" ht="15.75" hidden="1" customHeight="1">
      <c r="A55" s="38">
        <v>18</v>
      </c>
      <c r="B55" s="131" t="s">
        <v>41</v>
      </c>
      <c r="C55" s="132" t="s">
        <v>124</v>
      </c>
      <c r="D55" s="131" t="s">
        <v>76</v>
      </c>
      <c r="E55" s="133">
        <v>236</v>
      </c>
      <c r="F55" s="134">
        <f>SUM(E55)*3</f>
        <v>708</v>
      </c>
      <c r="G55" s="16">
        <v>65.67</v>
      </c>
      <c r="H55" s="135">
        <f t="shared" si="4"/>
        <v>46.49436</v>
      </c>
      <c r="I55" s="16">
        <f>E55*G55</f>
        <v>15498.12</v>
      </c>
      <c r="J55" s="32"/>
      <c r="L55" s="25"/>
      <c r="M55" s="26"/>
      <c r="N55" s="27"/>
    </row>
    <row r="56" spans="1:22" ht="15.75" customHeight="1">
      <c r="A56" s="174" t="s">
        <v>176</v>
      </c>
      <c r="B56" s="175"/>
      <c r="C56" s="175"/>
      <c r="D56" s="175"/>
      <c r="E56" s="175"/>
      <c r="F56" s="175"/>
      <c r="G56" s="175"/>
      <c r="H56" s="175"/>
      <c r="I56" s="176"/>
      <c r="J56" s="32"/>
      <c r="L56" s="25"/>
      <c r="M56" s="26"/>
      <c r="N56" s="27"/>
    </row>
    <row r="57" spans="1:22" ht="15.75" hidden="1" customHeight="1">
      <c r="A57" s="38"/>
      <c r="B57" s="155" t="s">
        <v>45</v>
      </c>
      <c r="C57" s="132"/>
      <c r="D57" s="131"/>
      <c r="E57" s="133"/>
      <c r="F57" s="134"/>
      <c r="G57" s="134"/>
      <c r="H57" s="135"/>
      <c r="I57" s="16"/>
      <c r="J57" s="32"/>
      <c r="L57" s="25"/>
      <c r="M57" s="26"/>
      <c r="N57" s="27"/>
    </row>
    <row r="58" spans="1:22" ht="31.5" hidden="1" customHeight="1">
      <c r="A58" s="38">
        <v>19</v>
      </c>
      <c r="B58" s="131" t="s">
        <v>149</v>
      </c>
      <c r="C58" s="132" t="s">
        <v>100</v>
      </c>
      <c r="D58" s="131" t="s">
        <v>125</v>
      </c>
      <c r="E58" s="133">
        <v>30</v>
      </c>
      <c r="F58" s="134">
        <f>SUM(E58*6/100)</f>
        <v>1.8</v>
      </c>
      <c r="G58" s="16">
        <v>1547.28</v>
      </c>
      <c r="H58" s="135">
        <f>SUM(F58*G58/1000)</f>
        <v>2.785104</v>
      </c>
      <c r="I58" s="16">
        <f>F58/6*G58</f>
        <v>464.18399999999997</v>
      </c>
      <c r="J58" s="32"/>
      <c r="L58" s="25"/>
    </row>
    <row r="59" spans="1:22" ht="15.75" hidden="1" customHeight="1">
      <c r="A59" s="38">
        <v>20</v>
      </c>
      <c r="B59" s="140" t="s">
        <v>150</v>
      </c>
      <c r="C59" s="141" t="s">
        <v>151</v>
      </c>
      <c r="D59" s="140" t="s">
        <v>42</v>
      </c>
      <c r="E59" s="142">
        <v>6</v>
      </c>
      <c r="F59" s="143">
        <v>12</v>
      </c>
      <c r="G59" s="16">
        <v>180.78</v>
      </c>
      <c r="H59" s="144">
        <f>G59*F59/1000</f>
        <v>2.1693600000000002</v>
      </c>
      <c r="I59" s="16">
        <f>F59/2*G59</f>
        <v>1084.68</v>
      </c>
    </row>
    <row r="60" spans="1:22" ht="15.75" hidden="1" customHeight="1">
      <c r="A60" s="38">
        <v>21</v>
      </c>
      <c r="B60" s="140" t="s">
        <v>152</v>
      </c>
      <c r="C60" s="141" t="s">
        <v>55</v>
      </c>
      <c r="D60" s="140" t="s">
        <v>40</v>
      </c>
      <c r="E60" s="142">
        <v>6</v>
      </c>
      <c r="F60" s="143">
        <f>E60*4/100</f>
        <v>0.24</v>
      </c>
      <c r="G60" s="16">
        <v>1547.28</v>
      </c>
      <c r="H60" s="144">
        <f>G60*F60/1000</f>
        <v>0.37134719999999999</v>
      </c>
      <c r="I60" s="16">
        <f>F60/4*G60</f>
        <v>92.836799999999997</v>
      </c>
    </row>
    <row r="61" spans="1:22" ht="15.75" customHeight="1">
      <c r="A61" s="38"/>
      <c r="B61" s="156" t="s">
        <v>46</v>
      </c>
      <c r="C61" s="141"/>
      <c r="D61" s="140"/>
      <c r="E61" s="142"/>
      <c r="F61" s="143"/>
      <c r="G61" s="16"/>
      <c r="H61" s="144"/>
      <c r="I61" s="16"/>
    </row>
    <row r="62" spans="1:22" ht="15.75" hidden="1" customHeight="1">
      <c r="A62" s="38">
        <v>22</v>
      </c>
      <c r="B62" s="140" t="s">
        <v>153</v>
      </c>
      <c r="C62" s="141" t="s">
        <v>55</v>
      </c>
      <c r="D62" s="140" t="s">
        <v>56</v>
      </c>
      <c r="E62" s="142">
        <v>997</v>
      </c>
      <c r="F62" s="143">
        <v>9.9700000000000006</v>
      </c>
      <c r="G62" s="16">
        <v>793.61</v>
      </c>
      <c r="H62" s="144">
        <f>F62*G62/1000</f>
        <v>7.9122917000000008</v>
      </c>
      <c r="I62" s="16">
        <f>G62*F62</f>
        <v>7912.2917000000007</v>
      </c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9"/>
    </row>
    <row r="63" spans="1:22" ht="15.75" customHeight="1">
      <c r="A63" s="38">
        <v>22</v>
      </c>
      <c r="B63" s="140" t="s">
        <v>154</v>
      </c>
      <c r="C63" s="141" t="s">
        <v>25</v>
      </c>
      <c r="D63" s="140" t="s">
        <v>30</v>
      </c>
      <c r="E63" s="142">
        <v>394</v>
      </c>
      <c r="F63" s="145">
        <f>E63*12</f>
        <v>4728</v>
      </c>
      <c r="G63" s="126">
        <v>2.6</v>
      </c>
      <c r="H63" s="143">
        <f>F63*G63/1000</f>
        <v>12.292800000000002</v>
      </c>
      <c r="I63" s="16">
        <f>F63/12*G63</f>
        <v>1024.4000000000001</v>
      </c>
      <c r="J63" s="34"/>
      <c r="K63" s="34"/>
      <c r="L63" s="3"/>
      <c r="M63" s="3"/>
      <c r="N63" s="3"/>
      <c r="O63" s="3"/>
      <c r="P63" s="3"/>
      <c r="Q63" s="3"/>
      <c r="R63" s="3"/>
      <c r="S63" s="3"/>
      <c r="T63" s="3"/>
      <c r="U63" s="3"/>
    </row>
    <row r="64" spans="1:22" ht="15.75" customHeight="1">
      <c r="A64" s="38"/>
      <c r="B64" s="156" t="s">
        <v>47</v>
      </c>
      <c r="C64" s="141"/>
      <c r="D64" s="140"/>
      <c r="E64" s="142"/>
      <c r="F64" s="145"/>
      <c r="G64" s="145"/>
      <c r="H64" s="143" t="s">
        <v>179</v>
      </c>
      <c r="I64" s="16"/>
      <c r="J64" s="3"/>
      <c r="K64" s="3"/>
      <c r="L64" s="3"/>
      <c r="M64" s="3"/>
      <c r="N64" s="3"/>
      <c r="O64" s="3"/>
      <c r="P64" s="3"/>
      <c r="Q64" s="3"/>
      <c r="S64" s="3"/>
      <c r="T64" s="3"/>
      <c r="U64" s="3"/>
    </row>
    <row r="65" spans="1:21" ht="15.75" customHeight="1">
      <c r="A65" s="38">
        <v>24</v>
      </c>
      <c r="B65" s="18" t="s">
        <v>48</v>
      </c>
      <c r="C65" s="20" t="s">
        <v>124</v>
      </c>
      <c r="D65" s="131" t="s">
        <v>72</v>
      </c>
      <c r="E65" s="23">
        <v>15</v>
      </c>
      <c r="F65" s="134">
        <v>15</v>
      </c>
      <c r="G65" s="16">
        <v>222.4</v>
      </c>
      <c r="H65" s="146">
        <f t="shared" ref="H65:H78" si="7">SUM(F65*G65/1000)</f>
        <v>3.3359999999999999</v>
      </c>
      <c r="I65" s="16">
        <f>G65*13</f>
        <v>2891.2000000000003</v>
      </c>
      <c r="J65" s="5"/>
      <c r="K65" s="5"/>
      <c r="L65" s="5"/>
      <c r="M65" s="5"/>
      <c r="N65" s="5"/>
      <c r="O65" s="5"/>
      <c r="P65" s="5"/>
      <c r="Q65" s="5"/>
      <c r="R65" s="166"/>
      <c r="S65" s="166"/>
      <c r="T65" s="166"/>
      <c r="U65" s="166"/>
    </row>
    <row r="66" spans="1:21" ht="15.75" hidden="1" customHeight="1">
      <c r="A66" s="38">
        <v>25</v>
      </c>
      <c r="B66" s="18" t="s">
        <v>49</v>
      </c>
      <c r="C66" s="20" t="s">
        <v>124</v>
      </c>
      <c r="D66" s="131" t="s">
        <v>72</v>
      </c>
      <c r="E66" s="23">
        <v>10</v>
      </c>
      <c r="F66" s="134">
        <v>10</v>
      </c>
      <c r="G66" s="16">
        <v>76.25</v>
      </c>
      <c r="H66" s="146">
        <f t="shared" si="7"/>
        <v>0.76249999999999996</v>
      </c>
      <c r="I66" s="16">
        <f>G66</f>
        <v>76.25</v>
      </c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</row>
    <row r="67" spans="1:21" ht="15.75" hidden="1" customHeight="1">
      <c r="A67" s="38"/>
      <c r="B67" s="18" t="s">
        <v>50</v>
      </c>
      <c r="C67" s="20" t="s">
        <v>126</v>
      </c>
      <c r="D67" s="18" t="s">
        <v>56</v>
      </c>
      <c r="E67" s="133">
        <v>28608</v>
      </c>
      <c r="F67" s="16">
        <f>SUM(E67/100)</f>
        <v>286.08</v>
      </c>
      <c r="G67" s="16">
        <v>199.77</v>
      </c>
      <c r="H67" s="146">
        <f t="shared" si="7"/>
        <v>57.150201600000003</v>
      </c>
      <c r="I67" s="16">
        <f>F67*G67</f>
        <v>57150.2016</v>
      </c>
    </row>
    <row r="68" spans="1:21" ht="15.75" hidden="1" customHeight="1">
      <c r="A68" s="38"/>
      <c r="B68" s="18" t="s">
        <v>51</v>
      </c>
      <c r="C68" s="20" t="s">
        <v>127</v>
      </c>
      <c r="D68" s="18"/>
      <c r="E68" s="133">
        <v>28608</v>
      </c>
      <c r="F68" s="16">
        <f>SUM(E68/1000)</f>
        <v>28.608000000000001</v>
      </c>
      <c r="G68" s="16">
        <v>155.57</v>
      </c>
      <c r="H68" s="146">
        <f t="shared" si="7"/>
        <v>4.4505465599999994</v>
      </c>
      <c r="I68" s="16">
        <f t="shared" ref="I68:I72" si="8">F68*G68</f>
        <v>4450.5465599999998</v>
      </c>
    </row>
    <row r="69" spans="1:21" ht="15.75" hidden="1" customHeight="1">
      <c r="A69" s="38"/>
      <c r="B69" s="18" t="s">
        <v>52</v>
      </c>
      <c r="C69" s="20" t="s">
        <v>83</v>
      </c>
      <c r="D69" s="18" t="s">
        <v>56</v>
      </c>
      <c r="E69" s="133">
        <v>4550</v>
      </c>
      <c r="F69" s="16">
        <f>SUM(E69/100)</f>
        <v>45.5</v>
      </c>
      <c r="G69" s="16">
        <v>2074.63</v>
      </c>
      <c r="H69" s="146">
        <f t="shared" si="7"/>
        <v>94.395665000000008</v>
      </c>
      <c r="I69" s="16">
        <f t="shared" si="8"/>
        <v>94395.665000000008</v>
      </c>
    </row>
    <row r="70" spans="1:21" ht="15.75" hidden="1" customHeight="1">
      <c r="A70" s="38"/>
      <c r="B70" s="147" t="s">
        <v>128</v>
      </c>
      <c r="C70" s="20" t="s">
        <v>33</v>
      </c>
      <c r="D70" s="18"/>
      <c r="E70" s="133">
        <v>58.5</v>
      </c>
      <c r="F70" s="16">
        <f>SUM(E70)</f>
        <v>58.5</v>
      </c>
      <c r="G70" s="16">
        <v>45.32</v>
      </c>
      <c r="H70" s="146">
        <f t="shared" si="7"/>
        <v>2.6512199999999999</v>
      </c>
      <c r="I70" s="16">
        <f t="shared" si="8"/>
        <v>2651.22</v>
      </c>
    </row>
    <row r="71" spans="1:21" ht="15.75" hidden="1" customHeight="1">
      <c r="A71" s="38"/>
      <c r="B71" s="147" t="s">
        <v>129</v>
      </c>
      <c r="C71" s="20" t="s">
        <v>33</v>
      </c>
      <c r="D71" s="18"/>
      <c r="E71" s="133">
        <v>58.5</v>
      </c>
      <c r="F71" s="16">
        <f>SUM(E71)</f>
        <v>58.5</v>
      </c>
      <c r="G71" s="16">
        <v>42.28</v>
      </c>
      <c r="H71" s="146">
        <f t="shared" si="7"/>
        <v>2.4733800000000001</v>
      </c>
      <c r="I71" s="16">
        <f t="shared" si="8"/>
        <v>2473.38</v>
      </c>
    </row>
    <row r="72" spans="1:21" ht="15.75" customHeight="1">
      <c r="A72" s="38">
        <v>25</v>
      </c>
      <c r="B72" s="18" t="s">
        <v>61</v>
      </c>
      <c r="C72" s="20" t="s">
        <v>62</v>
      </c>
      <c r="D72" s="18" t="s">
        <v>56</v>
      </c>
      <c r="E72" s="23">
        <v>5</v>
      </c>
      <c r="F72" s="134">
        <v>5</v>
      </c>
      <c r="G72" s="16">
        <v>49.88</v>
      </c>
      <c r="H72" s="146">
        <f t="shared" si="7"/>
        <v>0.24940000000000001</v>
      </c>
      <c r="I72" s="16">
        <f t="shared" si="8"/>
        <v>249.4</v>
      </c>
    </row>
    <row r="73" spans="1:21" ht="15.75" hidden="1" customHeight="1">
      <c r="A73" s="38"/>
      <c r="B73" s="115" t="s">
        <v>77</v>
      </c>
      <c r="C73" s="20"/>
      <c r="D73" s="18"/>
      <c r="E73" s="23"/>
      <c r="F73" s="16"/>
      <c r="G73" s="16"/>
      <c r="H73" s="146" t="s">
        <v>179</v>
      </c>
      <c r="I73" s="16"/>
    </row>
    <row r="74" spans="1:21" ht="15.75" hidden="1" customHeight="1">
      <c r="A74" s="38"/>
      <c r="B74" s="18" t="s">
        <v>78</v>
      </c>
      <c r="C74" s="20" t="s">
        <v>80</v>
      </c>
      <c r="D74" s="18"/>
      <c r="E74" s="23">
        <v>10</v>
      </c>
      <c r="F74" s="16">
        <v>1</v>
      </c>
      <c r="G74" s="16">
        <v>501.62</v>
      </c>
      <c r="H74" s="146">
        <f t="shared" si="7"/>
        <v>0.50161999999999995</v>
      </c>
      <c r="I74" s="16">
        <v>0</v>
      </c>
    </row>
    <row r="75" spans="1:21" ht="15.75" hidden="1" customHeight="1">
      <c r="A75" s="38"/>
      <c r="B75" s="18" t="s">
        <v>79</v>
      </c>
      <c r="C75" s="20" t="s">
        <v>31</v>
      </c>
      <c r="D75" s="18"/>
      <c r="E75" s="23">
        <v>3</v>
      </c>
      <c r="F75" s="126">
        <v>3</v>
      </c>
      <c r="G75" s="16">
        <v>852.99</v>
      </c>
      <c r="H75" s="146">
        <f>F75*G75/1000</f>
        <v>2.5589700000000004</v>
      </c>
      <c r="I75" s="16">
        <v>0</v>
      </c>
    </row>
    <row r="76" spans="1:21" ht="15.75" hidden="1" customHeight="1">
      <c r="A76" s="38"/>
      <c r="B76" s="18" t="s">
        <v>131</v>
      </c>
      <c r="C76" s="20" t="s">
        <v>31</v>
      </c>
      <c r="D76" s="18"/>
      <c r="E76" s="23">
        <v>1</v>
      </c>
      <c r="F76" s="16">
        <v>1</v>
      </c>
      <c r="G76" s="16">
        <v>358.51</v>
      </c>
      <c r="H76" s="146">
        <f>G76*F76/1000</f>
        <v>0.35851</v>
      </c>
      <c r="I76" s="16">
        <v>0</v>
      </c>
    </row>
    <row r="77" spans="1:21" ht="15.75" hidden="1" customHeight="1">
      <c r="A77" s="38"/>
      <c r="B77" s="149" t="s">
        <v>81</v>
      </c>
      <c r="C77" s="20"/>
      <c r="D77" s="18"/>
      <c r="E77" s="23"/>
      <c r="F77" s="16"/>
      <c r="G77" s="16" t="s">
        <v>179</v>
      </c>
      <c r="H77" s="146" t="s">
        <v>179</v>
      </c>
      <c r="I77" s="16"/>
    </row>
    <row r="78" spans="1:21" ht="15.75" hidden="1" customHeight="1">
      <c r="A78" s="38"/>
      <c r="B78" s="68" t="s">
        <v>242</v>
      </c>
      <c r="C78" s="20" t="s">
        <v>83</v>
      </c>
      <c r="D78" s="18"/>
      <c r="E78" s="23"/>
      <c r="F78" s="16">
        <v>1.2</v>
      </c>
      <c r="G78" s="16">
        <v>2759.44</v>
      </c>
      <c r="H78" s="146">
        <f t="shared" si="7"/>
        <v>3.311328</v>
      </c>
      <c r="I78" s="16">
        <v>0</v>
      </c>
    </row>
    <row r="79" spans="1:21" ht="15.75" hidden="1" customHeight="1">
      <c r="A79" s="38"/>
      <c r="B79" s="125" t="s">
        <v>108</v>
      </c>
      <c r="C79" s="125"/>
      <c r="D79" s="125"/>
      <c r="E79" s="125"/>
      <c r="F79" s="125"/>
      <c r="G79" s="137"/>
      <c r="H79" s="150">
        <f>SUM(H58:H78)</f>
        <v>197.73024405999999</v>
      </c>
      <c r="I79" s="137"/>
    </row>
    <row r="80" spans="1:21" ht="15.75" hidden="1" customHeight="1">
      <c r="A80" s="38"/>
      <c r="B80" s="157" t="s">
        <v>130</v>
      </c>
      <c r="C80" s="29"/>
      <c r="D80" s="28"/>
      <c r="E80" s="127"/>
      <c r="F80" s="158">
        <v>1</v>
      </c>
      <c r="G80" s="16">
        <v>23072.1</v>
      </c>
      <c r="H80" s="146">
        <f>G80*F80/1000</f>
        <v>23.072099999999999</v>
      </c>
      <c r="I80" s="16">
        <v>0</v>
      </c>
    </row>
    <row r="81" spans="1:9" ht="15.75" customHeight="1">
      <c r="A81" s="167" t="s">
        <v>177</v>
      </c>
      <c r="B81" s="168"/>
      <c r="C81" s="168"/>
      <c r="D81" s="168"/>
      <c r="E81" s="168"/>
      <c r="F81" s="168"/>
      <c r="G81" s="168"/>
      <c r="H81" s="168"/>
      <c r="I81" s="169"/>
    </row>
    <row r="82" spans="1:9" ht="15.75" customHeight="1">
      <c r="A82" s="38">
        <v>26</v>
      </c>
      <c r="B82" s="131" t="s">
        <v>132</v>
      </c>
      <c r="C82" s="20" t="s">
        <v>58</v>
      </c>
      <c r="D82" s="92" t="s">
        <v>59</v>
      </c>
      <c r="E82" s="16">
        <v>6980.3</v>
      </c>
      <c r="F82" s="16">
        <f>SUM(E82*12)</f>
        <v>83763.600000000006</v>
      </c>
      <c r="G82" s="16">
        <v>2.1</v>
      </c>
      <c r="H82" s="146">
        <f>SUM(F82*G82/1000)</f>
        <v>175.90356000000003</v>
      </c>
      <c r="I82" s="16">
        <f>F82/12*G82</f>
        <v>14658.630000000001</v>
      </c>
    </row>
    <row r="83" spans="1:9" ht="31.5" customHeight="1">
      <c r="A83" s="38">
        <v>27</v>
      </c>
      <c r="B83" s="18" t="s">
        <v>84</v>
      </c>
      <c r="C83" s="20"/>
      <c r="D83" s="92" t="s">
        <v>59</v>
      </c>
      <c r="E83" s="133">
        <f>E82</f>
        <v>6980.3</v>
      </c>
      <c r="F83" s="16">
        <f>E83*12</f>
        <v>83763.600000000006</v>
      </c>
      <c r="G83" s="16">
        <v>1.63</v>
      </c>
      <c r="H83" s="146">
        <f>F83*G83/1000</f>
        <v>136.53466800000001</v>
      </c>
      <c r="I83" s="16">
        <f>F83/12*G83</f>
        <v>11377.888999999999</v>
      </c>
    </row>
    <row r="84" spans="1:9" ht="15.75" customHeight="1">
      <c r="A84" s="38"/>
      <c r="B84" s="55" t="s">
        <v>88</v>
      </c>
      <c r="C84" s="149"/>
      <c r="D84" s="148"/>
      <c r="E84" s="137"/>
      <c r="F84" s="137"/>
      <c r="G84" s="137"/>
      <c r="H84" s="150">
        <f>H83</f>
        <v>136.53466800000001</v>
      </c>
      <c r="I84" s="137">
        <f>I16+I17+I18+I20+I21+I24+I25+I26+I27+I30+I31+I33+I34+I47+I48+I49+I50+I51+I52+I53+I54+I63+I65+I72+I82+I83</f>
        <v>114572.47991788884</v>
      </c>
    </row>
    <row r="85" spans="1:9" ht="15.75" customHeight="1">
      <c r="A85" s="38"/>
      <c r="B85" s="88" t="s">
        <v>64</v>
      </c>
      <c r="C85" s="20"/>
      <c r="D85" s="68"/>
      <c r="E85" s="16"/>
      <c r="F85" s="16"/>
      <c r="G85" s="16"/>
      <c r="H85" s="16"/>
      <c r="I85" s="16"/>
    </row>
    <row r="86" spans="1:9" ht="15.75" customHeight="1">
      <c r="A86" s="38">
        <v>28</v>
      </c>
      <c r="B86" s="89" t="s">
        <v>155</v>
      </c>
      <c r="C86" s="110" t="s">
        <v>124</v>
      </c>
      <c r="D86" s="18"/>
      <c r="E86" s="23"/>
      <c r="F86" s="16">
        <v>1440</v>
      </c>
      <c r="G86" s="16">
        <v>50.68</v>
      </c>
      <c r="H86" s="146">
        <f t="shared" ref="H86:H97" si="9">G86*F86/1000</f>
        <v>72.979199999999992</v>
      </c>
      <c r="I86" s="16">
        <f>G86*120</f>
        <v>6081.6</v>
      </c>
    </row>
    <row r="87" spans="1:9" ht="15.75" customHeight="1">
      <c r="A87" s="38">
        <v>29</v>
      </c>
      <c r="B87" s="89" t="s">
        <v>90</v>
      </c>
      <c r="C87" s="110" t="s">
        <v>124</v>
      </c>
      <c r="D87" s="18"/>
      <c r="E87" s="23"/>
      <c r="F87" s="16">
        <v>19</v>
      </c>
      <c r="G87" s="16">
        <v>180.15</v>
      </c>
      <c r="H87" s="146">
        <f t="shared" si="9"/>
        <v>3.4228499999999999</v>
      </c>
      <c r="I87" s="16">
        <f>G87</f>
        <v>180.15</v>
      </c>
    </row>
    <row r="88" spans="1:9" ht="31.5" customHeight="1">
      <c r="A88" s="38">
        <v>30</v>
      </c>
      <c r="B88" s="89" t="s">
        <v>156</v>
      </c>
      <c r="C88" s="110" t="s">
        <v>37</v>
      </c>
      <c r="D88" s="18"/>
      <c r="E88" s="23"/>
      <c r="F88" s="16">
        <f>5/100</f>
        <v>0.05</v>
      </c>
      <c r="G88" s="16">
        <v>3397.65</v>
      </c>
      <c r="H88" s="146">
        <f t="shared" si="9"/>
        <v>0.16988250000000002</v>
      </c>
      <c r="I88" s="16">
        <f>G88*0.01</f>
        <v>33.976500000000001</v>
      </c>
    </row>
    <row r="89" spans="1:9" ht="15.75" customHeight="1">
      <c r="A89" s="38">
        <v>31</v>
      </c>
      <c r="B89" s="153" t="s">
        <v>160</v>
      </c>
      <c r="C89" s="154" t="s">
        <v>161</v>
      </c>
      <c r="D89" s="68"/>
      <c r="E89" s="16"/>
      <c r="F89" s="16">
        <f>24/3</f>
        <v>8</v>
      </c>
      <c r="G89" s="16">
        <v>1063.47</v>
      </c>
      <c r="H89" s="146">
        <f>G89*F89/1000</f>
        <v>8.5077600000000011</v>
      </c>
      <c r="I89" s="16">
        <f>G89</f>
        <v>1063.47</v>
      </c>
    </row>
    <row r="90" spans="1:9" ht="31.5" customHeight="1">
      <c r="A90" s="38">
        <v>32</v>
      </c>
      <c r="B90" s="89" t="s">
        <v>213</v>
      </c>
      <c r="C90" s="110" t="s">
        <v>89</v>
      </c>
      <c r="D90" s="68"/>
      <c r="E90" s="16"/>
      <c r="F90" s="16">
        <v>5</v>
      </c>
      <c r="G90" s="16">
        <v>771.29</v>
      </c>
      <c r="H90" s="146">
        <f t="shared" si="9"/>
        <v>3.8564499999999997</v>
      </c>
      <c r="I90" s="16">
        <f>G90*2</f>
        <v>1542.58</v>
      </c>
    </row>
    <row r="91" spans="1:9" ht="31.5" customHeight="1">
      <c r="A91" s="38">
        <v>33</v>
      </c>
      <c r="B91" s="89" t="s">
        <v>214</v>
      </c>
      <c r="C91" s="110" t="s">
        <v>183</v>
      </c>
      <c r="D91" s="68"/>
      <c r="E91" s="16"/>
      <c r="F91" s="16">
        <v>10</v>
      </c>
      <c r="G91" s="16">
        <v>960.74</v>
      </c>
      <c r="H91" s="146">
        <f t="shared" si="9"/>
        <v>9.6074000000000002</v>
      </c>
      <c r="I91" s="16">
        <f>G91*5</f>
        <v>4803.7</v>
      </c>
    </row>
    <row r="92" spans="1:9" ht="15.75" customHeight="1">
      <c r="A92" s="38">
        <v>34</v>
      </c>
      <c r="B92" s="89" t="s">
        <v>216</v>
      </c>
      <c r="C92" s="110" t="s">
        <v>124</v>
      </c>
      <c r="D92" s="68"/>
      <c r="E92" s="16"/>
      <c r="F92" s="16">
        <v>7</v>
      </c>
      <c r="G92" s="16">
        <v>109.73</v>
      </c>
      <c r="H92" s="146">
        <f t="shared" si="9"/>
        <v>0.76810999999999996</v>
      </c>
      <c r="I92" s="16">
        <f>G92*2</f>
        <v>219.46</v>
      </c>
    </row>
    <row r="93" spans="1:9" ht="15.75" customHeight="1">
      <c r="A93" s="38">
        <v>35</v>
      </c>
      <c r="B93" s="89" t="s">
        <v>219</v>
      </c>
      <c r="C93" s="110" t="s">
        <v>124</v>
      </c>
      <c r="D93" s="68"/>
      <c r="E93" s="16"/>
      <c r="F93" s="16">
        <v>3</v>
      </c>
      <c r="G93" s="16">
        <v>89.15</v>
      </c>
      <c r="H93" s="146">
        <f t="shared" si="9"/>
        <v>0.26745000000000002</v>
      </c>
      <c r="I93" s="16">
        <f>G93*2</f>
        <v>178.3</v>
      </c>
    </row>
    <row r="94" spans="1:9" ht="15.75" customHeight="1">
      <c r="A94" s="38">
        <v>36</v>
      </c>
      <c r="B94" s="109" t="s">
        <v>225</v>
      </c>
      <c r="C94" s="38" t="s">
        <v>124</v>
      </c>
      <c r="D94" s="18"/>
      <c r="E94" s="23"/>
      <c r="F94" s="16">
        <v>2</v>
      </c>
      <c r="G94" s="16">
        <v>78.89</v>
      </c>
      <c r="H94" s="146">
        <f t="shared" si="9"/>
        <v>0.15778</v>
      </c>
      <c r="I94" s="16">
        <f>G94*2</f>
        <v>157.78</v>
      </c>
    </row>
    <row r="95" spans="1:9" ht="15.75" customHeight="1">
      <c r="A95" s="38">
        <v>37</v>
      </c>
      <c r="B95" s="89" t="s">
        <v>226</v>
      </c>
      <c r="C95" s="110" t="s">
        <v>124</v>
      </c>
      <c r="D95" s="18"/>
      <c r="E95" s="23"/>
      <c r="F95" s="16">
        <v>2</v>
      </c>
      <c r="G95" s="16">
        <v>581.91999999999996</v>
      </c>
      <c r="H95" s="146">
        <f t="shared" si="9"/>
        <v>1.16384</v>
      </c>
      <c r="I95" s="16">
        <f t="shared" ref="I95:I96" si="10">G95*2</f>
        <v>1163.8399999999999</v>
      </c>
    </row>
    <row r="96" spans="1:9" ht="31.5" customHeight="1">
      <c r="A96" s="38">
        <v>38</v>
      </c>
      <c r="B96" s="89" t="s">
        <v>227</v>
      </c>
      <c r="C96" s="110" t="s">
        <v>228</v>
      </c>
      <c r="D96" s="18"/>
      <c r="E96" s="23"/>
      <c r="F96" s="16">
        <v>2</v>
      </c>
      <c r="G96" s="16">
        <v>1096.78</v>
      </c>
      <c r="H96" s="146">
        <f t="shared" si="9"/>
        <v>2.1935599999999997</v>
      </c>
      <c r="I96" s="16">
        <f t="shared" si="10"/>
        <v>2193.56</v>
      </c>
    </row>
    <row r="97" spans="1:9" ht="15.75" customHeight="1">
      <c r="A97" s="38">
        <v>39</v>
      </c>
      <c r="B97" s="111" t="s">
        <v>229</v>
      </c>
      <c r="C97" s="152" t="s">
        <v>183</v>
      </c>
      <c r="D97" s="18"/>
      <c r="E97" s="23"/>
      <c r="F97" s="16">
        <v>1</v>
      </c>
      <c r="G97" s="16">
        <v>743.13</v>
      </c>
      <c r="H97" s="146">
        <f t="shared" si="9"/>
        <v>0.74312999999999996</v>
      </c>
      <c r="I97" s="16">
        <f>G97</f>
        <v>743.13</v>
      </c>
    </row>
    <row r="98" spans="1:9" ht="15.75" customHeight="1">
      <c r="A98" s="38"/>
      <c r="B98" s="62" t="s">
        <v>53</v>
      </c>
      <c r="C98" s="58"/>
      <c r="D98" s="72"/>
      <c r="E98" s="58">
        <v>1</v>
      </c>
      <c r="F98" s="58"/>
      <c r="G98" s="58"/>
      <c r="H98" s="58"/>
      <c r="I98" s="40">
        <f>SUM(I86:I97)</f>
        <v>18361.5465</v>
      </c>
    </row>
    <row r="99" spans="1:9">
      <c r="A99" s="38"/>
      <c r="B99" s="68" t="s">
        <v>85</v>
      </c>
      <c r="C99" s="19"/>
      <c r="D99" s="19"/>
      <c r="E99" s="59"/>
      <c r="F99" s="59"/>
      <c r="G99" s="60"/>
      <c r="H99" s="60"/>
      <c r="I99" s="22">
        <v>0</v>
      </c>
    </row>
    <row r="100" spans="1:9">
      <c r="A100" s="73"/>
      <c r="B100" s="63" t="s">
        <v>54</v>
      </c>
      <c r="C100" s="46"/>
      <c r="D100" s="46"/>
      <c r="E100" s="46"/>
      <c r="F100" s="46"/>
      <c r="G100" s="46"/>
      <c r="H100" s="46"/>
      <c r="I100" s="61">
        <f>I84+I98</f>
        <v>132934.02641788885</v>
      </c>
    </row>
    <row r="101" spans="1:9" ht="15.75">
      <c r="A101" s="170" t="s">
        <v>273</v>
      </c>
      <c r="B101" s="170"/>
      <c r="C101" s="170"/>
      <c r="D101" s="170"/>
      <c r="E101" s="170"/>
      <c r="F101" s="170"/>
      <c r="G101" s="170"/>
      <c r="H101" s="170"/>
      <c r="I101" s="170"/>
    </row>
    <row r="102" spans="1:9" ht="15.75" customHeight="1">
      <c r="A102" s="108"/>
      <c r="B102" s="171" t="s">
        <v>274</v>
      </c>
      <c r="C102" s="171"/>
      <c r="D102" s="171"/>
      <c r="E102" s="171"/>
      <c r="F102" s="171"/>
      <c r="G102" s="171"/>
      <c r="H102" s="130"/>
      <c r="I102" s="3"/>
    </row>
    <row r="103" spans="1:9">
      <c r="A103" s="120"/>
      <c r="B103" s="164" t="s">
        <v>6</v>
      </c>
      <c r="C103" s="164"/>
      <c r="D103" s="164"/>
      <c r="E103" s="164"/>
      <c r="F103" s="164"/>
      <c r="G103" s="164"/>
      <c r="H103" s="33"/>
      <c r="I103" s="5"/>
    </row>
    <row r="104" spans="1:9">
      <c r="A104" s="10"/>
      <c r="B104" s="10"/>
      <c r="C104" s="10"/>
      <c r="D104" s="10"/>
      <c r="E104" s="10"/>
      <c r="F104" s="10"/>
      <c r="G104" s="10"/>
      <c r="H104" s="10"/>
      <c r="I104" s="10"/>
    </row>
    <row r="105" spans="1:9" ht="15.75">
      <c r="A105" s="172" t="s">
        <v>7</v>
      </c>
      <c r="B105" s="172"/>
      <c r="C105" s="172"/>
      <c r="D105" s="172"/>
      <c r="E105" s="172"/>
      <c r="F105" s="172"/>
      <c r="G105" s="172"/>
      <c r="H105" s="172"/>
      <c r="I105" s="172"/>
    </row>
    <row r="106" spans="1:9" ht="15.75">
      <c r="A106" s="172" t="s">
        <v>8</v>
      </c>
      <c r="B106" s="172"/>
      <c r="C106" s="172"/>
      <c r="D106" s="172"/>
      <c r="E106" s="172"/>
      <c r="F106" s="172"/>
      <c r="G106" s="172"/>
      <c r="H106" s="172"/>
      <c r="I106" s="172"/>
    </row>
    <row r="107" spans="1:9" ht="15.75">
      <c r="A107" s="161" t="s">
        <v>65</v>
      </c>
      <c r="B107" s="161"/>
      <c r="C107" s="161"/>
      <c r="D107" s="161"/>
      <c r="E107" s="161"/>
      <c r="F107" s="161"/>
      <c r="G107" s="161"/>
      <c r="H107" s="161"/>
      <c r="I107" s="161"/>
    </row>
    <row r="108" spans="1:9" ht="15.75">
      <c r="A108" s="11"/>
    </row>
    <row r="109" spans="1:9" ht="15.75">
      <c r="A109" s="162" t="s">
        <v>9</v>
      </c>
      <c r="B109" s="162"/>
      <c r="C109" s="162"/>
      <c r="D109" s="162"/>
      <c r="E109" s="162"/>
      <c r="F109" s="162"/>
      <c r="G109" s="162"/>
      <c r="H109" s="162"/>
      <c r="I109" s="162"/>
    </row>
    <row r="110" spans="1:9" ht="15.75" customHeight="1">
      <c r="A110" s="4"/>
    </row>
    <row r="111" spans="1:9" ht="15.75" customHeight="1">
      <c r="B111" s="117" t="s">
        <v>10</v>
      </c>
      <c r="C111" s="163" t="s">
        <v>170</v>
      </c>
      <c r="D111" s="163"/>
      <c r="E111" s="163"/>
      <c r="F111" s="128"/>
      <c r="I111" s="119"/>
    </row>
    <row r="112" spans="1:9" ht="15.75" customHeight="1">
      <c r="A112" s="120"/>
      <c r="C112" s="164" t="s">
        <v>11</v>
      </c>
      <c r="D112" s="164"/>
      <c r="E112" s="164"/>
      <c r="F112" s="33"/>
      <c r="I112" s="118" t="s">
        <v>12</v>
      </c>
    </row>
    <row r="113" spans="1:9" ht="15.75" customHeight="1">
      <c r="A113" s="34"/>
      <c r="C113" s="12"/>
      <c r="D113" s="12"/>
      <c r="G113" s="12"/>
      <c r="H113" s="12"/>
    </row>
    <row r="114" spans="1:9" ht="15.75">
      <c r="B114" s="117" t="s">
        <v>13</v>
      </c>
      <c r="C114" s="165"/>
      <c r="D114" s="165"/>
      <c r="E114" s="165"/>
      <c r="F114" s="129"/>
      <c r="I114" s="119"/>
    </row>
    <row r="115" spans="1:9">
      <c r="A115" s="120"/>
      <c r="C115" s="166" t="s">
        <v>11</v>
      </c>
      <c r="D115" s="166"/>
      <c r="E115" s="166"/>
      <c r="F115" s="120"/>
      <c r="I115" s="118" t="s">
        <v>12</v>
      </c>
    </row>
    <row r="116" spans="1:9" ht="15.75">
      <c r="A116" s="4" t="s">
        <v>14</v>
      </c>
    </row>
    <row r="117" spans="1:9">
      <c r="A117" s="159" t="s">
        <v>15</v>
      </c>
      <c r="B117" s="159"/>
      <c r="C117" s="159"/>
      <c r="D117" s="159"/>
      <c r="E117" s="159"/>
      <c r="F117" s="159"/>
      <c r="G117" s="159"/>
      <c r="H117" s="159"/>
      <c r="I117" s="159"/>
    </row>
    <row r="118" spans="1:9" ht="45" customHeight="1">
      <c r="A118" s="160" t="s">
        <v>16</v>
      </c>
      <c r="B118" s="160"/>
      <c r="C118" s="160"/>
      <c r="D118" s="160"/>
      <c r="E118" s="160"/>
      <c r="F118" s="160"/>
      <c r="G118" s="160"/>
      <c r="H118" s="160"/>
      <c r="I118" s="160"/>
    </row>
    <row r="119" spans="1:9" ht="30" customHeight="1">
      <c r="A119" s="160" t="s">
        <v>17</v>
      </c>
      <c r="B119" s="160"/>
      <c r="C119" s="160"/>
      <c r="D119" s="160"/>
      <c r="E119" s="160"/>
      <c r="F119" s="160"/>
      <c r="G119" s="160"/>
      <c r="H119" s="160"/>
      <c r="I119" s="160"/>
    </row>
    <row r="120" spans="1:9" ht="30" customHeight="1">
      <c r="A120" s="160" t="s">
        <v>21</v>
      </c>
      <c r="B120" s="160"/>
      <c r="C120" s="160"/>
      <c r="D120" s="160"/>
      <c r="E120" s="160"/>
      <c r="F120" s="160"/>
      <c r="G120" s="160"/>
      <c r="H120" s="160"/>
      <c r="I120" s="160"/>
    </row>
    <row r="121" spans="1:9" ht="15" customHeight="1">
      <c r="A121" s="160" t="s">
        <v>20</v>
      </c>
      <c r="B121" s="160"/>
      <c r="C121" s="160"/>
      <c r="D121" s="160"/>
      <c r="E121" s="160"/>
      <c r="F121" s="160"/>
      <c r="G121" s="160"/>
      <c r="H121" s="160"/>
      <c r="I121" s="160"/>
    </row>
  </sheetData>
  <autoFilter ref="I12:I60"/>
  <mergeCells count="28">
    <mergeCell ref="A118:I118"/>
    <mergeCell ref="A119:I119"/>
    <mergeCell ref="A120:I120"/>
    <mergeCell ref="A121:I121"/>
    <mergeCell ref="A109:I109"/>
    <mergeCell ref="C111:E111"/>
    <mergeCell ref="C112:E112"/>
    <mergeCell ref="C114:E114"/>
    <mergeCell ref="C115:E115"/>
    <mergeCell ref="A117:I117"/>
    <mergeCell ref="A101:I101"/>
    <mergeCell ref="B102:G102"/>
    <mergeCell ref="B103:G103"/>
    <mergeCell ref="A105:I105"/>
    <mergeCell ref="A106:I106"/>
    <mergeCell ref="A107:I107"/>
    <mergeCell ref="A15:I15"/>
    <mergeCell ref="A28:I28"/>
    <mergeCell ref="A46:I46"/>
    <mergeCell ref="A56:I56"/>
    <mergeCell ref="R65:U65"/>
    <mergeCell ref="A81:I81"/>
    <mergeCell ref="A3:I3"/>
    <mergeCell ref="A4:I4"/>
    <mergeCell ref="A5:I5"/>
    <mergeCell ref="A8:I8"/>
    <mergeCell ref="A10:I10"/>
    <mergeCell ref="A14:I14"/>
  </mergeCells>
  <pageMargins left="0.70866141732283472" right="0.23622047244094491" top="0.27559055118110237" bottom="0.27559055118110237" header="0.31496062992125984" footer="0.31496062992125984"/>
  <pageSetup paperSize="9" scale="60" orientation="portrait" r:id="rId1"/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12</vt:i4>
      </vt:variant>
      <vt:variant>
        <vt:lpstr>Именованные диапазоны</vt:lpstr>
      </vt:variant>
      <vt:variant>
        <vt:i4>14</vt:i4>
      </vt:variant>
    </vt:vector>
  </HeadingPairs>
  <TitlesOfParts>
    <vt:vector size="26" baseType="lpstr">
      <vt:lpstr>01.16</vt:lpstr>
      <vt:lpstr>02.16</vt:lpstr>
      <vt:lpstr>03.16</vt:lpstr>
      <vt:lpstr>04.16</vt:lpstr>
      <vt:lpstr>05.16</vt:lpstr>
      <vt:lpstr>06.16</vt:lpstr>
      <vt:lpstr>07.16</vt:lpstr>
      <vt:lpstr>08.16</vt:lpstr>
      <vt:lpstr>09.16</vt:lpstr>
      <vt:lpstr>10.16</vt:lpstr>
      <vt:lpstr>11.16</vt:lpstr>
      <vt:lpstr>12.16</vt:lpstr>
      <vt:lpstr>'04.16'!Заголовки_для_печати</vt:lpstr>
      <vt:lpstr>'10.16'!Заголовки_для_печати</vt:lpstr>
      <vt:lpstr>'01.16'!Область_печати</vt:lpstr>
      <vt:lpstr>'02.16'!Область_печати</vt:lpstr>
      <vt:lpstr>'03.16'!Область_печати</vt:lpstr>
      <vt:lpstr>'04.16'!Область_печати</vt:lpstr>
      <vt:lpstr>'05.16'!Область_печати</vt:lpstr>
      <vt:lpstr>'06.16'!Область_печати</vt:lpstr>
      <vt:lpstr>'07.16'!Область_печати</vt:lpstr>
      <vt:lpstr>'08.16'!Область_печати</vt:lpstr>
      <vt:lpstr>'09.16'!Область_печати</vt:lpstr>
      <vt:lpstr>'10.16'!Область_печати</vt:lpstr>
      <vt:lpstr>'11.16'!Область_печати</vt:lpstr>
      <vt:lpstr>'12.16'!Область_печати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2017-05-12T08:50:28Z</cp:lastPrinted>
  <dcterms:created xsi:type="dcterms:W3CDTF">2016-03-25T08:33:47Z</dcterms:created>
  <dcterms:modified xsi:type="dcterms:W3CDTF">2017-05-12T08:50:49Z</dcterms:modified>
</cp:coreProperties>
</file>