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8" sheetId="18" r:id="rId1"/>
    <sheet name="02.18" sheetId="19" r:id="rId2"/>
    <sheet name="03.18" sheetId="20" r:id="rId3"/>
    <sheet name="04.18" sheetId="21" r:id="rId4"/>
    <sheet name="05.18" sheetId="22" r:id="rId5"/>
    <sheet name="06.18" sheetId="23" r:id="rId6"/>
    <sheet name="07.18" sheetId="24" r:id="rId7"/>
    <sheet name="08.18" sheetId="25" r:id="rId8"/>
    <sheet name="09.18" sheetId="26" r:id="rId9"/>
    <sheet name="10.18" sheetId="27" r:id="rId10"/>
    <sheet name="11.17" sheetId="28" r:id="rId11"/>
    <sheet name="12.18" sheetId="29" r:id="rId12"/>
  </sheets>
  <definedNames>
    <definedName name="_xlnm._FilterDatabase" localSheetId="0" hidden="1">'01.18'!$I$12:$I$71</definedName>
    <definedName name="_xlnm._FilterDatabase" localSheetId="1" hidden="1">'02.18'!$I$12:$I$71</definedName>
    <definedName name="_xlnm._FilterDatabase" localSheetId="2" hidden="1">'03.18'!$I$12:$I$71</definedName>
    <definedName name="_xlnm._FilterDatabase" localSheetId="3" hidden="1">'04.18'!$I$12:$I$66</definedName>
    <definedName name="_xlnm._FilterDatabase" localSheetId="4" hidden="1">'05.18'!$I$12:$I$71</definedName>
    <definedName name="_xlnm._FilterDatabase" localSheetId="5" hidden="1">'06.18'!$I$12:$I$71</definedName>
    <definedName name="_xlnm._FilterDatabase" localSheetId="6" hidden="1">'07.18'!$I$12:$I$71</definedName>
    <definedName name="_xlnm._FilterDatabase" localSheetId="7" hidden="1">'08.18'!$I$12:$I$71</definedName>
    <definedName name="_xlnm._FilterDatabase" localSheetId="8" hidden="1">'09.18'!$I$12:$I$71</definedName>
    <definedName name="_xlnm._FilterDatabase" localSheetId="9" hidden="1">'10.18'!$I$12:$I$71</definedName>
    <definedName name="_xlnm._FilterDatabase" localSheetId="10" hidden="1">'11.17'!$I$12:$I$71</definedName>
    <definedName name="_xlnm._FilterDatabase" localSheetId="11" hidden="1">'12.18'!$I$12:$I$71</definedName>
    <definedName name="_xlnm.Print_Titles" localSheetId="4">'05.18'!$12:$13</definedName>
    <definedName name="_xlnm.Print_Area" localSheetId="0">'01.18'!$A$1:$I$121</definedName>
    <definedName name="_xlnm.Print_Area" localSheetId="1">'02.18'!$A$1:$I$114</definedName>
    <definedName name="_xlnm.Print_Area" localSheetId="2">'03.18'!$A$1:$I$118</definedName>
    <definedName name="_xlnm.Print_Area" localSheetId="3">'04.18'!$A$1:$I$120</definedName>
    <definedName name="_xlnm.Print_Area" localSheetId="4">'05.18'!$A$1:$I$116</definedName>
    <definedName name="_xlnm.Print_Area" localSheetId="5">'06.18'!$A$1:$I$133</definedName>
    <definedName name="_xlnm.Print_Area" localSheetId="6">'07.18'!$A$1:$I$123</definedName>
    <definedName name="_xlnm.Print_Area" localSheetId="7">'08.18'!$A$1:$I$130</definedName>
    <definedName name="_xlnm.Print_Area" localSheetId="8">'09.18'!$A$1:$I$128</definedName>
    <definedName name="_xlnm.Print_Area" localSheetId="9">'10.18'!$A$1:$I$146</definedName>
    <definedName name="_xlnm.Print_Area" localSheetId="10">'11.17'!$A$1:$I$125</definedName>
    <definedName name="_xlnm.Print_Area" localSheetId="11">'12.18'!$A$1:$I$132</definedName>
  </definedNames>
  <calcPr calcId="124519"/>
</workbook>
</file>

<file path=xl/calcChain.xml><?xml version="1.0" encoding="utf-8"?>
<calcChain xmlns="http://schemas.openxmlformats.org/spreadsheetml/2006/main">
  <c r="I105" i="29"/>
  <c r="I83"/>
  <c r="I108"/>
  <c r="I107"/>
  <c r="I106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65"/>
  <c r="I44"/>
  <c r="I101" i="28" l="1"/>
  <c r="I89"/>
  <c r="I100"/>
  <c r="I99"/>
  <c r="I98"/>
  <c r="I97"/>
  <c r="I96"/>
  <c r="I83"/>
  <c r="I95"/>
  <c r="I94"/>
  <c r="I93"/>
  <c r="I92"/>
  <c r="I91"/>
  <c r="I90"/>
  <c r="I88"/>
  <c r="I87"/>
  <c r="I86"/>
  <c r="I85"/>
  <c r="I44"/>
  <c r="I43"/>
  <c r="I122" i="27"/>
  <c r="I83"/>
  <c r="I111"/>
  <c r="I121"/>
  <c r="I118"/>
  <c r="I120"/>
  <c r="I119"/>
  <c r="I117"/>
  <c r="I116"/>
  <c r="I115"/>
  <c r="I114"/>
  <c r="I113"/>
  <c r="I112"/>
  <c r="I107"/>
  <c r="I110"/>
  <c r="I109"/>
  <c r="I108"/>
  <c r="I106" l="1"/>
  <c r="I105"/>
  <c r="I104"/>
  <c r="I103"/>
  <c r="I102"/>
  <c r="I85" l="1"/>
  <c r="I101"/>
  <c r="I100"/>
  <c r="I99"/>
  <c r="I98"/>
  <c r="I97"/>
  <c r="I96"/>
  <c r="I95"/>
  <c r="I94"/>
  <c r="I93"/>
  <c r="I92"/>
  <c r="I91"/>
  <c r="I90"/>
  <c r="I89"/>
  <c r="I88"/>
  <c r="I87"/>
  <c r="I86"/>
  <c r="I83" i="26" l="1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65"/>
  <c r="I106" i="25" l="1"/>
  <c r="I105"/>
  <c r="I104"/>
  <c r="I103"/>
  <c r="I89"/>
  <c r="I65"/>
  <c r="I83" s="1"/>
  <c r="I100" l="1"/>
  <c r="I99"/>
  <c r="I98"/>
  <c r="I97"/>
  <c r="I96"/>
  <c r="I95"/>
  <c r="I94"/>
  <c r="I93"/>
  <c r="I92"/>
  <c r="I91"/>
  <c r="I90"/>
  <c r="I88"/>
  <c r="I87"/>
  <c r="I86"/>
  <c r="I53" i="21"/>
  <c r="I58" i="20"/>
  <c r="I83" i="19"/>
  <c r="I58" i="18"/>
  <c r="I94" i="20"/>
  <c r="I83"/>
  <c r="I99" i="24"/>
  <c r="I83"/>
  <c r="I98"/>
  <c r="I97"/>
  <c r="I96"/>
  <c r="I95"/>
  <c r="I94"/>
  <c r="I93"/>
  <c r="I92"/>
  <c r="I91"/>
  <c r="I90"/>
  <c r="I89"/>
  <c r="I88"/>
  <c r="I87"/>
  <c r="I86"/>
  <c r="I85"/>
  <c r="I87" i="22"/>
  <c r="I92" s="1"/>
  <c r="I90"/>
  <c r="I91"/>
  <c r="I108" i="23" l="1"/>
  <c r="I107"/>
  <c r="I106"/>
  <c r="I105"/>
  <c r="I89"/>
  <c r="I93"/>
  <c r="I83"/>
  <c r="I100"/>
  <c r="I97"/>
  <c r="I96"/>
  <c r="I95"/>
  <c r="I94"/>
  <c r="I92"/>
  <c r="I91"/>
  <c r="I90"/>
  <c r="I88"/>
  <c r="I109" s="1"/>
  <c r="I87"/>
  <c r="I98"/>
  <c r="I103" l="1"/>
  <c r="I102"/>
  <c r="I101"/>
  <c r="I99"/>
  <c r="I85"/>
  <c r="I62" i="22" l="1"/>
  <c r="I89"/>
  <c r="I88"/>
  <c r="I86"/>
  <c r="I97" i="18"/>
  <c r="I90" i="19"/>
  <c r="I93" i="21"/>
  <c r="I95"/>
  <c r="I96" s="1"/>
  <c r="I80"/>
  <c r="I47"/>
  <c r="I46"/>
  <c r="F47"/>
  <c r="F46"/>
  <c r="I90"/>
  <c r="I57"/>
  <c r="I94"/>
  <c r="I92"/>
  <c r="I91"/>
  <c r="I89"/>
  <c r="I88"/>
  <c r="I87"/>
  <c r="I86"/>
  <c r="I85"/>
  <c r="I84"/>
  <c r="I83"/>
  <c r="I82"/>
  <c r="I76"/>
  <c r="I44"/>
  <c r="I93" i="20"/>
  <c r="I92"/>
  <c r="I91"/>
  <c r="I90"/>
  <c r="I89"/>
  <c r="I88"/>
  <c r="I87"/>
  <c r="H93"/>
  <c r="H92"/>
  <c r="H91"/>
  <c r="H90"/>
  <c r="H89"/>
  <c r="H88"/>
  <c r="H87"/>
  <c r="I85"/>
  <c r="H85"/>
  <c r="F62"/>
  <c r="I60"/>
  <c r="I44"/>
  <c r="I43"/>
  <c r="I65" i="19"/>
  <c r="I86"/>
  <c r="I44"/>
  <c r="I87" i="18"/>
  <c r="I89"/>
  <c r="H89"/>
  <c r="I88"/>
  <c r="H88"/>
  <c r="I44" l="1"/>
  <c r="I93" l="1"/>
  <c r="I85" i="19" l="1"/>
  <c r="I89"/>
  <c r="I88"/>
  <c r="I87"/>
  <c r="H89"/>
  <c r="H86"/>
  <c r="H88"/>
  <c r="H87"/>
  <c r="F62"/>
  <c r="I96" i="18"/>
  <c r="H96"/>
  <c r="I95"/>
  <c r="H95"/>
  <c r="I94"/>
  <c r="H94"/>
  <c r="H93"/>
  <c r="I92"/>
  <c r="H92"/>
  <c r="I90"/>
  <c r="H90"/>
  <c r="H87"/>
  <c r="I91"/>
  <c r="H91"/>
  <c r="I86"/>
  <c r="H86"/>
  <c r="I85"/>
  <c r="H85"/>
  <c r="F62"/>
  <c r="H62" s="1"/>
  <c r="H90" i="29" l="1"/>
  <c r="F89"/>
  <c r="H89" s="1"/>
  <c r="H88"/>
  <c r="H91"/>
  <c r="H87"/>
  <c r="H86"/>
  <c r="H85"/>
  <c r="F82"/>
  <c r="I82" s="1"/>
  <c r="F81"/>
  <c r="H81" s="1"/>
  <c r="H79"/>
  <c r="H77"/>
  <c r="F76"/>
  <c r="H76" s="1"/>
  <c r="I74"/>
  <c r="H74"/>
  <c r="I72"/>
  <c r="F72"/>
  <c r="H72" s="1"/>
  <c r="F71"/>
  <c r="H71" s="1"/>
  <c r="F70"/>
  <c r="I70" s="1"/>
  <c r="F69"/>
  <c r="H69" s="1"/>
  <c r="F68"/>
  <c r="I68" s="1"/>
  <c r="F67"/>
  <c r="H67" s="1"/>
  <c r="H66"/>
  <c r="H65"/>
  <c r="H63"/>
  <c r="I62"/>
  <c r="H60"/>
  <c r="F59"/>
  <c r="I59" s="1"/>
  <c r="F58"/>
  <c r="H58" s="1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I43" s="1"/>
  <c r="F42"/>
  <c r="H42" s="1"/>
  <c r="F41"/>
  <c r="I41" s="1"/>
  <c r="F40"/>
  <c r="H40" s="1"/>
  <c r="I39"/>
  <c r="H39"/>
  <c r="H37"/>
  <c r="H36"/>
  <c r="I35"/>
  <c r="H35"/>
  <c r="I34"/>
  <c r="F33"/>
  <c r="I33" s="1"/>
  <c r="F32"/>
  <c r="I32" s="1"/>
  <c r="F31"/>
  <c r="I31" s="1"/>
  <c r="F28"/>
  <c r="I28" s="1"/>
  <c r="F27"/>
  <c r="H27" s="1"/>
  <c r="F26"/>
  <c r="I26" s="1"/>
  <c r="I25"/>
  <c r="H25"/>
  <c r="F24"/>
  <c r="I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94" i="28"/>
  <c r="H93"/>
  <c r="H90"/>
  <c r="H89"/>
  <c r="I65"/>
  <c r="H92"/>
  <c r="H91"/>
  <c r="H88"/>
  <c r="H87"/>
  <c r="H86"/>
  <c r="H85"/>
  <c r="F82"/>
  <c r="H82" s="1"/>
  <c r="H81"/>
  <c r="F81"/>
  <c r="I81" s="1"/>
  <c r="H79"/>
  <c r="H77"/>
  <c r="H76"/>
  <c r="F76"/>
  <c r="I74"/>
  <c r="H74"/>
  <c r="I72"/>
  <c r="F72"/>
  <c r="H72" s="1"/>
  <c r="H71"/>
  <c r="F71"/>
  <c r="I71" s="1"/>
  <c r="F70"/>
  <c r="H70" s="1"/>
  <c r="F69"/>
  <c r="I69" s="1"/>
  <c r="F68"/>
  <c r="H68" s="1"/>
  <c r="H67"/>
  <c r="F67"/>
  <c r="I67" s="1"/>
  <c r="H66"/>
  <c r="H65"/>
  <c r="H63"/>
  <c r="H62"/>
  <c r="H60"/>
  <c r="F59"/>
  <c r="H59" s="1"/>
  <c r="F58"/>
  <c r="I58" s="1"/>
  <c r="F57"/>
  <c r="H57" s="1"/>
  <c r="I54"/>
  <c r="F54"/>
  <c r="H54" s="1"/>
  <c r="I53"/>
  <c r="H53"/>
  <c r="F52"/>
  <c r="I52" s="1"/>
  <c r="F51"/>
  <c r="H51" s="1"/>
  <c r="H50"/>
  <c r="F50"/>
  <c r="I50" s="1"/>
  <c r="F49"/>
  <c r="H49" s="1"/>
  <c r="F48"/>
  <c r="I48" s="1"/>
  <c r="F47"/>
  <c r="H47" s="1"/>
  <c r="F46"/>
  <c r="I46" s="1"/>
  <c r="H44"/>
  <c r="F43"/>
  <c r="H43" s="1"/>
  <c r="F42"/>
  <c r="I42" s="1"/>
  <c r="F41"/>
  <c r="H41" s="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H27"/>
  <c r="F27"/>
  <c r="I27" s="1"/>
  <c r="F26"/>
  <c r="H26" s="1"/>
  <c r="I25"/>
  <c r="H25"/>
  <c r="F24"/>
  <c r="I24" s="1"/>
  <c r="F23"/>
  <c r="H23" s="1"/>
  <c r="H22"/>
  <c r="F22"/>
  <c r="I22" s="1"/>
  <c r="F21"/>
  <c r="H21" s="1"/>
  <c r="F20"/>
  <c r="I20" s="1"/>
  <c r="F19"/>
  <c r="H19" s="1"/>
  <c r="E18"/>
  <c r="F18" s="1"/>
  <c r="F17"/>
  <c r="I17" s="1"/>
  <c r="F16"/>
  <c r="H16" s="1"/>
  <c r="H97" i="27"/>
  <c r="F96"/>
  <c r="H96" s="1"/>
  <c r="H95"/>
  <c r="H94"/>
  <c r="H93"/>
  <c r="H24" i="29" l="1"/>
  <c r="H33"/>
  <c r="H31"/>
  <c r="H18"/>
  <c r="I18"/>
  <c r="H16"/>
  <c r="I17"/>
  <c r="H19"/>
  <c r="I20"/>
  <c r="H21"/>
  <c r="I22"/>
  <c r="H23"/>
  <c r="H26"/>
  <c r="I27"/>
  <c r="H28"/>
  <c r="H32"/>
  <c r="I40"/>
  <c r="H41"/>
  <c r="I42"/>
  <c r="H43"/>
  <c r="I46"/>
  <c r="H47"/>
  <c r="I48"/>
  <c r="H49"/>
  <c r="I50"/>
  <c r="H51"/>
  <c r="I52"/>
  <c r="I58"/>
  <c r="H59"/>
  <c r="H62"/>
  <c r="I67"/>
  <c r="H68"/>
  <c r="I69"/>
  <c r="H70"/>
  <c r="I71"/>
  <c r="I81"/>
  <c r="H82"/>
  <c r="H17" i="28"/>
  <c r="H20"/>
  <c r="H24"/>
  <c r="H46"/>
  <c r="H69"/>
  <c r="H58"/>
  <c r="H48"/>
  <c r="H52"/>
  <c r="H33"/>
  <c r="H31"/>
  <c r="H42"/>
  <c r="H40"/>
  <c r="I18"/>
  <c r="H18"/>
  <c r="I21"/>
  <c r="I26"/>
  <c r="I32"/>
  <c r="I41"/>
  <c r="I59"/>
  <c r="I68"/>
  <c r="I70"/>
  <c r="I16"/>
  <c r="I19"/>
  <c r="I23"/>
  <c r="I28"/>
  <c r="I47"/>
  <c r="I49"/>
  <c r="I51"/>
  <c r="I62"/>
  <c r="I82"/>
  <c r="I110" i="29" l="1"/>
  <c r="I103" i="28"/>
  <c r="H91" i="27" l="1"/>
  <c r="I65"/>
  <c r="H92" l="1"/>
  <c r="H90"/>
  <c r="F89"/>
  <c r="H89" s="1"/>
  <c r="H88"/>
  <c r="H87"/>
  <c r="H86"/>
  <c r="H85"/>
  <c r="F82"/>
  <c r="H82" s="1"/>
  <c r="F81"/>
  <c r="I81" s="1"/>
  <c r="H79"/>
  <c r="H77"/>
  <c r="F76"/>
  <c r="H76" s="1"/>
  <c r="I74"/>
  <c r="H74"/>
  <c r="I72"/>
  <c r="F72"/>
  <c r="H72" s="1"/>
  <c r="F71"/>
  <c r="I71" s="1"/>
  <c r="F70"/>
  <c r="H70" s="1"/>
  <c r="F69"/>
  <c r="I69" s="1"/>
  <c r="F68"/>
  <c r="H68" s="1"/>
  <c r="F67"/>
  <c r="I67" s="1"/>
  <c r="H66"/>
  <c r="H65"/>
  <c r="H63"/>
  <c r="H62"/>
  <c r="H60"/>
  <c r="F59"/>
  <c r="H59" s="1"/>
  <c r="F58"/>
  <c r="I58" s="1"/>
  <c r="F57"/>
  <c r="H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I35"/>
  <c r="H35"/>
  <c r="I34"/>
  <c r="F33"/>
  <c r="I33" s="1"/>
  <c r="F32"/>
  <c r="H32" s="1"/>
  <c r="F31"/>
  <c r="I31" s="1"/>
  <c r="F28"/>
  <c r="I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96" i="26"/>
  <c r="H95"/>
  <c r="H94"/>
  <c r="H93"/>
  <c r="H92"/>
  <c r="H91"/>
  <c r="F90"/>
  <c r="H90" s="1"/>
  <c r="H89"/>
  <c r="H88"/>
  <c r="H87"/>
  <c r="H86"/>
  <c r="H28" i="27" l="1"/>
  <c r="I18"/>
  <c r="H18"/>
  <c r="I16"/>
  <c r="H17"/>
  <c r="I19"/>
  <c r="H20"/>
  <c r="I21"/>
  <c r="H22"/>
  <c r="I23"/>
  <c r="H24"/>
  <c r="I26"/>
  <c r="H27"/>
  <c r="H31"/>
  <c r="I32"/>
  <c r="H33"/>
  <c r="H40"/>
  <c r="I41"/>
  <c r="H42"/>
  <c r="I43"/>
  <c r="H46"/>
  <c r="I47"/>
  <c r="H48"/>
  <c r="I49"/>
  <c r="H50"/>
  <c r="I51"/>
  <c r="H52"/>
  <c r="H58"/>
  <c r="I59"/>
  <c r="I62"/>
  <c r="H67"/>
  <c r="I68"/>
  <c r="H69"/>
  <c r="I70"/>
  <c r="H71"/>
  <c r="H81"/>
  <c r="I82"/>
  <c r="H85" i="26"/>
  <c r="I72"/>
  <c r="F82"/>
  <c r="H82" s="1"/>
  <c r="F81"/>
  <c r="I81" s="1"/>
  <c r="H79"/>
  <c r="H77"/>
  <c r="F76"/>
  <c r="H76" s="1"/>
  <c r="I74"/>
  <c r="H74"/>
  <c r="F72"/>
  <c r="H72" s="1"/>
  <c r="F71"/>
  <c r="H71" s="1"/>
  <c r="F70"/>
  <c r="I70" s="1"/>
  <c r="F69"/>
  <c r="H69" s="1"/>
  <c r="F68"/>
  <c r="I68" s="1"/>
  <c r="F67"/>
  <c r="H67" s="1"/>
  <c r="H66"/>
  <c r="H65"/>
  <c r="H63"/>
  <c r="I62"/>
  <c r="H60"/>
  <c r="F59"/>
  <c r="I59" s="1"/>
  <c r="F58"/>
  <c r="H58" s="1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102" i="25"/>
  <c r="F101"/>
  <c r="H101" s="1"/>
  <c r="H93"/>
  <c r="H88"/>
  <c r="H87"/>
  <c r="H86"/>
  <c r="I85"/>
  <c r="H85"/>
  <c r="F82"/>
  <c r="I82" s="1"/>
  <c r="F81"/>
  <c r="I81" s="1"/>
  <c r="H79"/>
  <c r="H77"/>
  <c r="F76"/>
  <c r="H76" s="1"/>
  <c r="I74"/>
  <c r="H74"/>
  <c r="F72"/>
  <c r="H72" s="1"/>
  <c r="F71"/>
  <c r="H71" s="1"/>
  <c r="F70"/>
  <c r="I70" s="1"/>
  <c r="F69"/>
  <c r="H69" s="1"/>
  <c r="F68"/>
  <c r="I68" s="1"/>
  <c r="F67"/>
  <c r="H67" s="1"/>
  <c r="H66"/>
  <c r="H65"/>
  <c r="H63"/>
  <c r="I62"/>
  <c r="H60"/>
  <c r="F59"/>
  <c r="I59" s="1"/>
  <c r="F58"/>
  <c r="H58" s="1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89" i="24"/>
  <c r="H92"/>
  <c r="F91"/>
  <c r="H91" s="1"/>
  <c r="H90"/>
  <c r="H88"/>
  <c r="H87"/>
  <c r="H86"/>
  <c r="H85"/>
  <c r="I74"/>
  <c r="I65"/>
  <c r="F82"/>
  <c r="H82" s="1"/>
  <c r="F81"/>
  <c r="I81" s="1"/>
  <c r="H79"/>
  <c r="H77"/>
  <c r="F76"/>
  <c r="H76" s="1"/>
  <c r="H74"/>
  <c r="F72"/>
  <c r="H72" s="1"/>
  <c r="F71"/>
  <c r="I71" s="1"/>
  <c r="F70"/>
  <c r="H70" s="1"/>
  <c r="F69"/>
  <c r="I69" s="1"/>
  <c r="F68"/>
  <c r="H68" s="1"/>
  <c r="F67"/>
  <c r="I67" s="1"/>
  <c r="H66"/>
  <c r="H65"/>
  <c r="H63"/>
  <c r="H62"/>
  <c r="H60"/>
  <c r="F59"/>
  <c r="H59" s="1"/>
  <c r="F58"/>
  <c r="I58" s="1"/>
  <c r="F57"/>
  <c r="H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04" i="23"/>
  <c r="H103"/>
  <c r="H102"/>
  <c r="H101"/>
  <c r="H100"/>
  <c r="H99"/>
  <c r="H98"/>
  <c r="I86"/>
  <c r="H86"/>
  <c r="H85"/>
  <c r="I65"/>
  <c r="F82"/>
  <c r="H82" s="1"/>
  <c r="F81"/>
  <c r="I81" s="1"/>
  <c r="H79"/>
  <c r="H77"/>
  <c r="F76"/>
  <c r="H76" s="1"/>
  <c r="H74"/>
  <c r="F72"/>
  <c r="F71"/>
  <c r="I71" s="1"/>
  <c r="F70"/>
  <c r="H70" s="1"/>
  <c r="F69"/>
  <c r="I69" s="1"/>
  <c r="F68"/>
  <c r="H68" s="1"/>
  <c r="F67"/>
  <c r="I67" s="1"/>
  <c r="H66"/>
  <c r="H65"/>
  <c r="H63"/>
  <c r="H62"/>
  <c r="H60"/>
  <c r="F59"/>
  <c r="H59" s="1"/>
  <c r="F58"/>
  <c r="I58" s="1"/>
  <c r="F57"/>
  <c r="H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9" i="22"/>
  <c r="H88"/>
  <c r="H87"/>
  <c r="I85"/>
  <c r="H86"/>
  <c r="H85"/>
  <c r="I34"/>
  <c r="I35"/>
  <c r="I25"/>
  <c r="F82"/>
  <c r="H82" s="1"/>
  <c r="F81"/>
  <c r="I81" s="1"/>
  <c r="H79"/>
  <c r="H77"/>
  <c r="F76"/>
  <c r="H76" s="1"/>
  <c r="H74"/>
  <c r="F72"/>
  <c r="H72" s="1"/>
  <c r="F71"/>
  <c r="H71" s="1"/>
  <c r="F70"/>
  <c r="H70" s="1"/>
  <c r="F69"/>
  <c r="H69" s="1"/>
  <c r="F68"/>
  <c r="H68" s="1"/>
  <c r="F67"/>
  <c r="H67" s="1"/>
  <c r="H66"/>
  <c r="I65"/>
  <c r="H65"/>
  <c r="H63"/>
  <c r="F62"/>
  <c r="H60"/>
  <c r="F59"/>
  <c r="I59" s="1"/>
  <c r="F58"/>
  <c r="H58" s="1"/>
  <c r="F57"/>
  <c r="H57" s="1"/>
  <c r="I54"/>
  <c r="F54"/>
  <c r="H54" s="1"/>
  <c r="I53"/>
  <c r="H53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3"/>
  <c r="H33" s="1"/>
  <c r="F32"/>
  <c r="H32" s="1"/>
  <c r="F31"/>
  <c r="H31" s="1"/>
  <c r="F28"/>
  <c r="H28" s="1"/>
  <c r="F27"/>
  <c r="I27" s="1"/>
  <c r="F26"/>
  <c r="H26" s="1"/>
  <c r="H25"/>
  <c r="F24"/>
  <c r="H24" s="1"/>
  <c r="F23"/>
  <c r="H23" s="1"/>
  <c r="F22"/>
  <c r="H22" s="1"/>
  <c r="F21"/>
  <c r="I21" s="1"/>
  <c r="F20"/>
  <c r="H20" s="1"/>
  <c r="F19"/>
  <c r="E18"/>
  <c r="F18" s="1"/>
  <c r="F17"/>
  <c r="I17" s="1"/>
  <c r="F16"/>
  <c r="H16" s="1"/>
  <c r="F93" i="21"/>
  <c r="F92"/>
  <c r="H92" s="1"/>
  <c r="F91"/>
  <c r="H91" s="1"/>
  <c r="H90"/>
  <c r="H89"/>
  <c r="H88"/>
  <c r="H87"/>
  <c r="H86"/>
  <c r="H85"/>
  <c r="H72" i="23" l="1"/>
  <c r="I72"/>
  <c r="H19" i="22"/>
  <c r="I19"/>
  <c r="H59"/>
  <c r="H93" i="21"/>
  <c r="I124" i="27"/>
  <c r="H69" i="23"/>
  <c r="H81"/>
  <c r="H18" i="26"/>
  <c r="I18"/>
  <c r="H16"/>
  <c r="I17"/>
  <c r="I106" s="1"/>
  <c r="H19"/>
  <c r="I20"/>
  <c r="H21"/>
  <c r="I22"/>
  <c r="H23"/>
  <c r="I24"/>
  <c r="H26"/>
  <c r="I27"/>
  <c r="H28"/>
  <c r="I31"/>
  <c r="H32"/>
  <c r="I33"/>
  <c r="I40"/>
  <c r="H41"/>
  <c r="I42"/>
  <c r="H43"/>
  <c r="I46"/>
  <c r="H47"/>
  <c r="I48"/>
  <c r="H49"/>
  <c r="I50"/>
  <c r="H51"/>
  <c r="I52"/>
  <c r="I58"/>
  <c r="H59"/>
  <c r="H62"/>
  <c r="I67"/>
  <c r="H68"/>
  <c r="I69"/>
  <c r="H70"/>
  <c r="I71"/>
  <c r="H81"/>
  <c r="I82"/>
  <c r="H82" i="25"/>
  <c r="H18"/>
  <c r="I18"/>
  <c r="H16"/>
  <c r="I17"/>
  <c r="H19"/>
  <c r="I20"/>
  <c r="H21"/>
  <c r="I22"/>
  <c r="H23"/>
  <c r="I24"/>
  <c r="H26"/>
  <c r="I27"/>
  <c r="H28"/>
  <c r="I31"/>
  <c r="H32"/>
  <c r="I33"/>
  <c r="I40"/>
  <c r="H41"/>
  <c r="I42"/>
  <c r="H43"/>
  <c r="I46"/>
  <c r="H47"/>
  <c r="I48"/>
  <c r="H49"/>
  <c r="I50"/>
  <c r="H51"/>
  <c r="I52"/>
  <c r="I58"/>
  <c r="H59"/>
  <c r="H62"/>
  <c r="I67"/>
  <c r="H68"/>
  <c r="I69"/>
  <c r="H70"/>
  <c r="I71"/>
  <c r="H81"/>
  <c r="H33" i="24"/>
  <c r="I18"/>
  <c r="H18"/>
  <c r="I16"/>
  <c r="H17"/>
  <c r="I19"/>
  <c r="H20"/>
  <c r="I21"/>
  <c r="H22"/>
  <c r="I23"/>
  <c r="H24"/>
  <c r="I26"/>
  <c r="H27"/>
  <c r="I28"/>
  <c r="H31"/>
  <c r="I32"/>
  <c r="H40"/>
  <c r="I41"/>
  <c r="H42"/>
  <c r="I43"/>
  <c r="H46"/>
  <c r="I47"/>
  <c r="H48"/>
  <c r="I49"/>
  <c r="H50"/>
  <c r="I51"/>
  <c r="H52"/>
  <c r="H58"/>
  <c r="I59"/>
  <c r="I62"/>
  <c r="H67"/>
  <c r="I68"/>
  <c r="H69"/>
  <c r="I70"/>
  <c r="H71"/>
  <c r="H81"/>
  <c r="I82"/>
  <c r="H67" i="23"/>
  <c r="H71"/>
  <c r="I18"/>
  <c r="H18"/>
  <c r="I16"/>
  <c r="H17"/>
  <c r="I19"/>
  <c r="H20"/>
  <c r="I21"/>
  <c r="H22"/>
  <c r="I23"/>
  <c r="H24"/>
  <c r="I26"/>
  <c r="H27"/>
  <c r="I28"/>
  <c r="H31"/>
  <c r="I32"/>
  <c r="H33"/>
  <c r="H40"/>
  <c r="I41"/>
  <c r="H42"/>
  <c r="I43"/>
  <c r="H46"/>
  <c r="I47"/>
  <c r="H48"/>
  <c r="I49"/>
  <c r="H50"/>
  <c r="I51"/>
  <c r="H52"/>
  <c r="H58"/>
  <c r="I59"/>
  <c r="I62"/>
  <c r="I68"/>
  <c r="I70"/>
  <c r="I82"/>
  <c r="H21" i="22"/>
  <c r="H81"/>
  <c r="I23"/>
  <c r="I31"/>
  <c r="I33"/>
  <c r="I48"/>
  <c r="I46"/>
  <c r="I71"/>
  <c r="I69"/>
  <c r="I22"/>
  <c r="I32"/>
  <c r="I49"/>
  <c r="I47"/>
  <c r="I67"/>
  <c r="I70"/>
  <c r="I68"/>
  <c r="H62"/>
  <c r="H51"/>
  <c r="H43"/>
  <c r="H41"/>
  <c r="H17"/>
  <c r="H27"/>
  <c r="I18"/>
  <c r="H18"/>
  <c r="I16"/>
  <c r="I20"/>
  <c r="I24"/>
  <c r="I26"/>
  <c r="I28"/>
  <c r="I40"/>
  <c r="I42"/>
  <c r="I50"/>
  <c r="I52"/>
  <c r="I58"/>
  <c r="I82"/>
  <c r="I83" s="1"/>
  <c r="I101" i="24" l="1"/>
  <c r="I111" i="23"/>
  <c r="I108" i="25"/>
  <c r="I94" i="22"/>
  <c r="H84" i="21" l="1"/>
  <c r="H83"/>
  <c r="H82"/>
  <c r="F79"/>
  <c r="I79" s="1"/>
  <c r="F78"/>
  <c r="I78" s="1"/>
  <c r="H74"/>
  <c r="H72"/>
  <c r="F71"/>
  <c r="H71" s="1"/>
  <c r="H69"/>
  <c r="F67"/>
  <c r="H67" s="1"/>
  <c r="F66"/>
  <c r="H66" s="1"/>
  <c r="F65"/>
  <c r="H65" s="1"/>
  <c r="F64"/>
  <c r="H64" s="1"/>
  <c r="F63"/>
  <c r="H63" s="1"/>
  <c r="F62"/>
  <c r="H62" s="1"/>
  <c r="H61"/>
  <c r="I60"/>
  <c r="H60"/>
  <c r="H58"/>
  <c r="F57"/>
  <c r="H55"/>
  <c r="F54"/>
  <c r="I54" s="1"/>
  <c r="F53"/>
  <c r="H53" s="1"/>
  <c r="F52"/>
  <c r="H52" s="1"/>
  <c r="I49"/>
  <c r="F49"/>
  <c r="H49" s="1"/>
  <c r="I48"/>
  <c r="H48"/>
  <c r="H44"/>
  <c r="F43"/>
  <c r="I43" s="1"/>
  <c r="F42"/>
  <c r="H42" s="1"/>
  <c r="F41"/>
  <c r="I41" s="1"/>
  <c r="F40"/>
  <c r="H40" s="1"/>
  <c r="I39"/>
  <c r="H39"/>
  <c r="H37"/>
  <c r="H36"/>
  <c r="H35"/>
  <c r="F33"/>
  <c r="H33" s="1"/>
  <c r="F32"/>
  <c r="H32" s="1"/>
  <c r="F31"/>
  <c r="H31" s="1"/>
  <c r="F28"/>
  <c r="H28" s="1"/>
  <c r="F27"/>
  <c r="I27" s="1"/>
  <c r="F26"/>
  <c r="H26" s="1"/>
  <c r="H25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53" i="20"/>
  <c r="I86"/>
  <c r="H86"/>
  <c r="F82"/>
  <c r="I82" s="1"/>
  <c r="F81"/>
  <c r="H81" s="1"/>
  <c r="H79"/>
  <c r="H77"/>
  <c r="F76"/>
  <c r="H76" s="1"/>
  <c r="H74"/>
  <c r="F72"/>
  <c r="H72" s="1"/>
  <c r="F71"/>
  <c r="H71" s="1"/>
  <c r="F70"/>
  <c r="H70" s="1"/>
  <c r="F69"/>
  <c r="H69" s="1"/>
  <c r="F68"/>
  <c r="H68" s="1"/>
  <c r="F67"/>
  <c r="H67" s="1"/>
  <c r="H66"/>
  <c r="I65"/>
  <c r="H65"/>
  <c r="H63"/>
  <c r="H62"/>
  <c r="H60"/>
  <c r="F59"/>
  <c r="H59" s="1"/>
  <c r="F58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F42"/>
  <c r="H42" s="1"/>
  <c r="F41"/>
  <c r="I41" s="1"/>
  <c r="F40"/>
  <c r="H40" s="1"/>
  <c r="I39"/>
  <c r="H39"/>
  <c r="H37"/>
  <c r="H36"/>
  <c r="H35"/>
  <c r="F33"/>
  <c r="H33" s="1"/>
  <c r="F32"/>
  <c r="H32" s="1"/>
  <c r="F31"/>
  <c r="H31" s="1"/>
  <c r="F28"/>
  <c r="H28" s="1"/>
  <c r="F27"/>
  <c r="I27" s="1"/>
  <c r="F26"/>
  <c r="H26" s="1"/>
  <c r="H25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85" i="19"/>
  <c r="F82"/>
  <c r="I82" s="1"/>
  <c r="F81"/>
  <c r="H81" s="1"/>
  <c r="H79"/>
  <c r="H77"/>
  <c r="F76"/>
  <c r="H76" s="1"/>
  <c r="H74"/>
  <c r="F72"/>
  <c r="H72" s="1"/>
  <c r="F71"/>
  <c r="H71" s="1"/>
  <c r="F70"/>
  <c r="H70" s="1"/>
  <c r="F69"/>
  <c r="H69" s="1"/>
  <c r="F68"/>
  <c r="H68" s="1"/>
  <c r="F67"/>
  <c r="H67" s="1"/>
  <c r="H66"/>
  <c r="H65"/>
  <c r="H63"/>
  <c r="H62"/>
  <c r="H60"/>
  <c r="F59"/>
  <c r="H59" s="1"/>
  <c r="F58"/>
  <c r="I58" s="1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F40"/>
  <c r="H40" s="1"/>
  <c r="I39"/>
  <c r="H39"/>
  <c r="H37"/>
  <c r="H36"/>
  <c r="H35"/>
  <c r="F33"/>
  <c r="H33" s="1"/>
  <c r="F32"/>
  <c r="H32" s="1"/>
  <c r="F31"/>
  <c r="H31" s="1"/>
  <c r="F28"/>
  <c r="H28" s="1"/>
  <c r="F27"/>
  <c r="I27" s="1"/>
  <c r="F26"/>
  <c r="H26" s="1"/>
  <c r="H25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82" i="18"/>
  <c r="F81"/>
  <c r="H81" s="1"/>
  <c r="H74"/>
  <c r="H79"/>
  <c r="H77"/>
  <c r="F76"/>
  <c r="H76" s="1"/>
  <c r="F72"/>
  <c r="H72" s="1"/>
  <c r="F71"/>
  <c r="H71" s="1"/>
  <c r="F70"/>
  <c r="H70" s="1"/>
  <c r="F69"/>
  <c r="H69" s="1"/>
  <c r="F68"/>
  <c r="H68" s="1"/>
  <c r="F67"/>
  <c r="H67" s="1"/>
  <c r="H66"/>
  <c r="I65"/>
  <c r="H65"/>
  <c r="H63"/>
  <c r="I62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F42"/>
  <c r="I42" s="1"/>
  <c r="F41"/>
  <c r="H41" s="1"/>
  <c r="F40"/>
  <c r="I40" s="1"/>
  <c r="I39"/>
  <c r="H39"/>
  <c r="H37"/>
  <c r="H36"/>
  <c r="H35"/>
  <c r="F33"/>
  <c r="H33" s="1"/>
  <c r="F32"/>
  <c r="H32" s="1"/>
  <c r="F31"/>
  <c r="H31" s="1"/>
  <c r="F28"/>
  <c r="H28" s="1"/>
  <c r="F27"/>
  <c r="H27" s="1"/>
  <c r="F26"/>
  <c r="H26" s="1"/>
  <c r="H25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79" i="21" l="1"/>
  <c r="H43" i="18"/>
  <c r="I43"/>
  <c r="I18" i="21"/>
  <c r="H18"/>
  <c r="I16"/>
  <c r="H17"/>
  <c r="I20"/>
  <c r="H21"/>
  <c r="I24"/>
  <c r="I26"/>
  <c r="H27"/>
  <c r="I28"/>
  <c r="I40"/>
  <c r="H41"/>
  <c r="I42"/>
  <c r="H43"/>
  <c r="H54"/>
  <c r="H57"/>
  <c r="H78"/>
  <c r="I18" i="20"/>
  <c r="H18"/>
  <c r="I16"/>
  <c r="H17"/>
  <c r="I20"/>
  <c r="H21"/>
  <c r="I24"/>
  <c r="I26"/>
  <c r="H27"/>
  <c r="I28"/>
  <c r="I40"/>
  <c r="H41"/>
  <c r="I42"/>
  <c r="H43"/>
  <c r="I50"/>
  <c r="H58"/>
  <c r="I59"/>
  <c r="I62"/>
  <c r="I81"/>
  <c r="H82"/>
  <c r="I18" i="19"/>
  <c r="H18"/>
  <c r="I16"/>
  <c r="H17"/>
  <c r="I20"/>
  <c r="H21"/>
  <c r="I24"/>
  <c r="I26"/>
  <c r="H27"/>
  <c r="I28"/>
  <c r="I40"/>
  <c r="H41"/>
  <c r="I42"/>
  <c r="H43"/>
  <c r="I50"/>
  <c r="H58"/>
  <c r="I59"/>
  <c r="I62"/>
  <c r="I81"/>
  <c r="H82"/>
  <c r="H17" i="18"/>
  <c r="H59"/>
  <c r="H82"/>
  <c r="I82"/>
  <c r="I81"/>
  <c r="I50"/>
  <c r="H40"/>
  <c r="I41"/>
  <c r="H42"/>
  <c r="I28"/>
  <c r="I27"/>
  <c r="I18"/>
  <c r="H18"/>
  <c r="I16"/>
  <c r="I20"/>
  <c r="H21"/>
  <c r="I24"/>
  <c r="I26"/>
  <c r="I98" i="21" l="1"/>
  <c r="I92" i="19"/>
  <c r="I96" i="20"/>
  <c r="I83" i="18"/>
  <c r="I99" s="1"/>
</calcChain>
</file>

<file path=xl/sharedStrings.xml><?xml version="1.0" encoding="utf-8"?>
<sst xmlns="http://schemas.openxmlformats.org/spreadsheetml/2006/main" count="2888" uniqueCount="341">
  <si>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</si>
  <si>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</si>
  <si>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</si>
  <si>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</si>
  <si>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</si>
  <si>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</si>
  <si>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</si>
  <si>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</si>
  <si>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</si>
  <si>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</si>
  <si>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</si>
  <si>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</si>
  <si>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</si>
  <si>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</si>
  <si>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</si>
  <si>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</si>
  <si>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</si>
  <si>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</si>
  <si>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</si>
  <si>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</si>
  <si>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</si>
  <si>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</si>
  <si>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</si>
  <si>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</si>
  <si>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</si>
  <si>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</si>
  <si>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</si>
  <si>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</si>
  <si>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</si>
  <si>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</si>
  <si>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</si>
  <si>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</si>
  <si>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</si>
  <si>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</si>
  <si>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</si>
  <si>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</si>
  <si>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</si>
  <si>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</si>
  <si>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</si>
  <si>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</si>
  <si>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</si>
  <si>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</si>
  <si>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</si>
  <si>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</si>
  <si>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</si>
  <si>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</si>
  <si>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</si>
  <si>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</si>
  <si>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</si>
  <si>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</si>
  <si>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</si>
  <si>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</si>
  <si>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</si>
  <si>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</si>
  <si>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</si>
  <si>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</si>
  <si>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</si>
  <si>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</si>
  <si>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</si>
  <si>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</si>
  <si>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</si>
  <si>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</si>
  <si>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</si>
  <si>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</si>
  <si>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</si>
  <si>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</si>
  <si>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</si>
  <si>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</si>
  <si>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</si>
  <si>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</si>
  <si>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</si>
  <si>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</si>
  <si>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</si>
  <si>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</si>
  <si>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</si>
  <si>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</si>
  <si>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</si>
  <si>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</si>
  <si>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</si>
  <si>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</si>
  <si>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</si>
  <si>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</si>
  <si>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</si>
  <si>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</si>
  <si>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</si>
  <si>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</si>
  <si>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</si>
  <si>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</si>
  <si>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</si>
  <si>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Работа автовышки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</si>
  <si>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</si>
  <si>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</si>
  <si>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</si>
  <si>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</si>
  <si>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</si>
  <si>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</si>
  <si>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</si>
  <si>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Очистка водостоков от наледи</t>
  </si>
  <si>
    <t>Дератизация</t>
  </si>
  <si>
    <t>10 м2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</si>
  <si>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</si>
  <si>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</si>
  <si>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</si>
  <si>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</si>
  <si>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Снятие показаний эл.счетчика коммунального назначения</t>
  </si>
  <si>
    <t>маш/час</t>
  </si>
  <si>
    <t>Влажная протирка подоконников</t>
  </si>
  <si>
    <t>Влажная протирка отопительных приборов</t>
  </si>
  <si>
    <t>1 соединение</t>
  </si>
  <si>
    <t>Внеплановая проверка вентканалов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</si>
  <si>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</si>
  <si>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</si>
  <si>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</si>
  <si>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</si>
  <si>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</si>
  <si>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</si>
  <si>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</si>
  <si>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</si>
  <si>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</si>
  <si>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</si>
  <si>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</si>
  <si>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78 раз за сезон</t>
  </si>
  <si>
    <t>Уборка контейнерной площадки (16 кв.м.)</t>
  </si>
  <si>
    <t>50 раз за сезон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</si>
  <si>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</si>
  <si>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</si>
  <si>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</si>
  <si>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</si>
  <si>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шт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</si>
  <si>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</si>
  <si>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</si>
  <si>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</si>
  <si>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</si>
  <si>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</si>
  <si>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</si>
  <si>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</si>
  <si>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№4а по ул.Нефтяников пгт.Ярега
</t>
  </si>
  <si>
    <t>Влажная протирка шкафов для щитов и слаботочн. устройств</t>
  </si>
  <si>
    <t xml:space="preserve">1 раз в месяц   </t>
  </si>
  <si>
    <t>Очистка урн от мусора</t>
  </si>
  <si>
    <t>26 раз в сезон</t>
  </si>
  <si>
    <t>Подметание территории с усовершенствованным покрытием асф.: крыльца, контейнерн пл., проезд, тротуар</t>
  </si>
  <si>
    <t>12 раз за сезон</t>
  </si>
  <si>
    <t>Осмотр электросетей, арматуры и электооборудования на лестничных клетках</t>
  </si>
  <si>
    <t>5 раз в год</t>
  </si>
  <si>
    <t>Очистка кровли от мусора</t>
  </si>
  <si>
    <t>Очистка края кровли от слежавшегося снега со сбрасыванием сосулек (козырьки)</t>
  </si>
  <si>
    <t xml:space="preserve">6 раз за сезон </t>
  </si>
  <si>
    <t>8 раз в год</t>
  </si>
  <si>
    <t>12 раз в год</t>
  </si>
  <si>
    <t xml:space="preserve"> </t>
  </si>
  <si>
    <t>Внеплановый осмотр электросетей, армазуры и электрооборудования на лестничных клетках</t>
  </si>
  <si>
    <t>Смена арматуры - вентилей и клапанов обратных муфтовых диаметром до 32 мм</t>
  </si>
  <si>
    <t>Смена трубопроводов на полипропиленовые трубы PN25 диаметром 20 мм</t>
  </si>
  <si>
    <t>Смена трубопроводов на полипропиленовые трубы PN25 диаметром 25 мм</t>
  </si>
  <si>
    <r>
      <t xml:space="preserve">    Собственники помещений в многоквартирном доме, расположенном по адресу: пгт.Ярега, ул.Нефтяников, д.4а,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30.04.2013г. стороны, и ООО «Жилсервис»,  именуемое в дальнейшем "Исполнитель",  в лице генерального директора Куканова Юрия Леонидовича, действующего на основании Устава,  с другой стороны,  совместно именуемые "Стороны",  составили настоящий Акт о нижеследующем:</t>
    </r>
  </si>
  <si>
    <t>АКТ №1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</si>
  <si>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</si>
  <si>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</si>
  <si>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</si>
  <si>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 xml:space="preserve"> - Уборка контейнерной площадки (16 кв.м.)</t>
  </si>
  <si>
    <t>Спуск воды после промывки СО в канализацию</t>
  </si>
  <si>
    <t>Итого месячные затраты</t>
  </si>
  <si>
    <t>АКТ №2</t>
  </si>
  <si>
    <t>АКТ №3</t>
  </si>
  <si>
    <t>АКТ №4</t>
  </si>
  <si>
    <t>АКТ №5</t>
  </si>
  <si>
    <t xml:space="preserve">Герметизация стыков трубопроводов    </t>
  </si>
  <si>
    <t>1 место</t>
  </si>
  <si>
    <t>АКТ №6</t>
  </si>
  <si>
    <t xml:space="preserve">Уплотнение сгонов с применением льняной пряди или асбестового шнура (без разборки сгонов) </t>
  </si>
  <si>
    <t>АКТ №7</t>
  </si>
  <si>
    <t>Внеплановый осмотр вводных электрических щитков</t>
  </si>
  <si>
    <t>100шт</t>
  </si>
  <si>
    <t>АКТ №8</t>
  </si>
  <si>
    <t>III. Содержание общего имущества МКД</t>
  </si>
  <si>
    <t>IV. Прочие услуги</t>
  </si>
  <si>
    <t>АКТ №9</t>
  </si>
  <si>
    <t>АКТ №10</t>
  </si>
  <si>
    <t>АКТ №11</t>
  </si>
  <si>
    <t>АКТ №12</t>
  </si>
  <si>
    <t>за период с 01.01.2018 г. по 31.01.2018 г.</t>
  </si>
  <si>
    <r>
      <t>1. Исполнителем  предъявлены  к  приемке  следующие  оказанные  на  основании  Договора  на  содержание  и  ремонт  многоквартирного  дома  №</t>
    </r>
    <r>
      <rPr>
        <u/>
        <sz val="12"/>
        <rFont val="Times New Roman"/>
        <family val="1"/>
        <charset val="204"/>
      </rPr>
      <t xml:space="preserve">  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д.4а</t>
    </r>
  </si>
  <si>
    <t>Установка хомута диаметром до 50 мм</t>
  </si>
  <si>
    <t>Прочистка фановой трубы</t>
  </si>
  <si>
    <t>Очистка канализационной сети внутренней</t>
  </si>
  <si>
    <t>1м</t>
  </si>
  <si>
    <t>Утепление трубопроводов минеральной ватой</t>
  </si>
  <si>
    <t>1 мЗ</t>
  </si>
  <si>
    <t>Устройство теплоизоляции шлаком</t>
  </si>
  <si>
    <t>Работа гона</t>
  </si>
  <si>
    <t>за период с 01.02.2018 г. по 28.02.2018 г.</t>
  </si>
  <si>
    <t>Прогрев системы ХВС, канализации</t>
  </si>
  <si>
    <t>Смена вентилей ПП диаметром 20 мм</t>
  </si>
  <si>
    <t>Смена арматуры - вентилей и клапанов обратных муфтовых диаметром до 50 мм</t>
  </si>
  <si>
    <t>за период с 01.03.2018 г. по 31.03.2018 г.</t>
  </si>
  <si>
    <t>Внеплановый осмотр элекгросетей, арматуры и электрооборудования на чердаках и подвалах</t>
  </si>
  <si>
    <t>за период с 01.04.2018 г. по 30.04.2018 г.</t>
  </si>
  <si>
    <t xml:space="preserve">Отопление </t>
  </si>
  <si>
    <t>Очистка края кровли от слежавшегося снега со сбрасыванием сосулек (10% отS кровли)</t>
  </si>
  <si>
    <t>Смена внутренних трубопроводов из чугунных канализационных труб диаметром до 100 мм( без стоимости креплений)</t>
  </si>
  <si>
    <t>Прочистка приборов канализации</t>
  </si>
  <si>
    <t>1шт</t>
  </si>
  <si>
    <t>Прочистка внутреннего металлического водостока от засора</t>
  </si>
  <si>
    <t>Вывертывание и ввертывание радиаторной пробки</t>
  </si>
  <si>
    <t>Внеплановый осмотр рулонной кровли</t>
  </si>
  <si>
    <t>Мелкий ремонт электропроводки</t>
  </si>
  <si>
    <t>Внеплановый осмотр СО И ГВС</t>
  </si>
  <si>
    <t>*29</t>
  </si>
  <si>
    <t>*29 - справочно</t>
  </si>
  <si>
    <t>*24</t>
  </si>
  <si>
    <t>*24 - справочно</t>
  </si>
  <si>
    <t>*32</t>
  </si>
  <si>
    <t>*32 - справочно</t>
  </si>
  <si>
    <t>за период с 01.05.2018 г. по 31.05.2018 г.</t>
  </si>
  <si>
    <t>7 ч</t>
  </si>
  <si>
    <t>Ремонт и регулировка доводчика ( без стоимости доводчика)</t>
  </si>
  <si>
    <t>Герметизация межпанельных швов ( 7 подъезд)</t>
  </si>
  <si>
    <t>п.м</t>
  </si>
  <si>
    <t>14,20 п.м</t>
  </si>
  <si>
    <t>за период с 01.06.2018 г. по 30.06.2018 г.</t>
  </si>
  <si>
    <t>Разборка короба для работ ВДИС</t>
  </si>
  <si>
    <t>Восстановление короба после работы ВДИС</t>
  </si>
  <si>
    <t>Внеплановый осмотр кровли рулонной</t>
  </si>
  <si>
    <t>Ремонт и регулировка доводчика ( со стоимостью доводчика)</t>
  </si>
  <si>
    <t>Муфта 20</t>
  </si>
  <si>
    <t>Муфта разъемная 25*3/4 ВР</t>
  </si>
  <si>
    <t>Смена трубопроводов на полипропиленовые трубы PN20 диаметром 20 мм</t>
  </si>
  <si>
    <t>Муфта разъемная 25*20 ВР</t>
  </si>
  <si>
    <t>Муфта разъемная 25*3/4 НР</t>
  </si>
  <si>
    <t>Муфта 25*20</t>
  </si>
  <si>
    <t>*19</t>
  </si>
  <si>
    <t>*19-справочно</t>
  </si>
  <si>
    <t>Работа ротенбергера</t>
  </si>
  <si>
    <t>час</t>
  </si>
  <si>
    <t>Водоотлив из подвала электрическими (механическими) насосами (100 м3 воды)</t>
  </si>
  <si>
    <t>10 м3</t>
  </si>
  <si>
    <t>Дезинфекция подвала</t>
  </si>
  <si>
    <t>сорбент</t>
  </si>
  <si>
    <t>кг</t>
  </si>
  <si>
    <t>2. Всего за период с 01.05.2018 по 31.05.2018 выполнено работ (оказано услуг) на общую сумму: 234659,05 руб.</t>
  </si>
  <si>
    <t>(двести тридцать четыре тысячи шестьсот пятьдесят девять рублей 5 копеек)</t>
  </si>
  <si>
    <t>2. Всего за период с 01.06.2018 по 30.06.2018 выполнено работ (оказано услуг) на общую сумму: 115820,61 руб.</t>
  </si>
  <si>
    <t>(сто пятнадцать тысяч восемьсот двадцать рублей 61 копейка))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</si>
  <si>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</si>
  <si>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</si>
  <si>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расположенном по адресу: пгт.Ярега, ул.Нефтяников, д.4а,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30.04.2013г. стороны, и ООО «Движение»,  именуемое в дальнейшем "Исполнитель",  в лице генерального директора Куканова Юрия Леонидовича, действующего на основании Устава,  с другой стороны,  совместно именуемые "Стороны",  составили настоящий Акт о нижеследующем:</t>
    </r>
  </si>
  <si>
    <t>Переходник 25*20</t>
  </si>
  <si>
    <t>Тройник 25</t>
  </si>
  <si>
    <t>Муфта разъемная 25*20 НР</t>
  </si>
  <si>
    <t>Муфта 32*20</t>
  </si>
  <si>
    <t>Муфта разъемная 32*25</t>
  </si>
  <si>
    <t>2. Всего за период с 01.07.2018 по 31.07.2018 выполнено работ (оказано услуг) на общую сумму: 89750,91 руб.</t>
  </si>
  <si>
    <t>(восемьдесят девять тысяч семьсот пятьдесят рублей 91 копейка)</t>
  </si>
  <si>
    <t>213м2</t>
  </si>
  <si>
    <t>2. Всего за период с 01.01.2018 по 31.01.2018 выполнено работ (оказано услуг) на общую сумму: 134486,33 руб.</t>
  </si>
  <si>
    <t>(сто тридцать четыре тысячи четыреста восемьдесят шесть рублей 33 копейки)</t>
  </si>
  <si>
    <t>*23</t>
  </si>
  <si>
    <t>*23 - справочно</t>
  </si>
  <si>
    <t>2. Всего за период с 01.02.2018 по 28.02.2018 выполнено работ (оказано услуг) на общую сумму: 109220,31 руб.</t>
  </si>
  <si>
    <t>(сто девять тысяч двести двадцать рублей 31 копейка)</t>
  </si>
  <si>
    <t>60м2</t>
  </si>
  <si>
    <t>2. Всего за период с 01.03.2018 по 31.03.2018 выполнено работ (оказано услуг) на общую сумму: 92128,16 руб.</t>
  </si>
  <si>
    <t>(девяносто две тысячи сто двадцать восемь рублей 16  копеек)</t>
  </si>
  <si>
    <t>2. Всего за период с 01.04.2018 по 30.04.2018 выполнено работ (оказано услуг) на общую сумму: 132185,82 руб.</t>
  </si>
  <si>
    <t>(сто тридцать две тысячи сто восемьдесят пять рублей 82 копейки)</t>
  </si>
  <si>
    <t>за период с 01.08.2018 г. по 31.08.2018 г.</t>
  </si>
  <si>
    <t>Валка сухостойных и больных деревьев в городских условиях -ель, пихта, береза, лиственница, ольха диаметром до 300 мм</t>
  </si>
  <si>
    <t>Обвод 20</t>
  </si>
  <si>
    <t>Муфта разъемная 20*1/2 ВР</t>
  </si>
  <si>
    <t>Муфта разъемная 20*1/2 НР</t>
  </si>
  <si>
    <t>Колено 20-45</t>
  </si>
  <si>
    <t>Тройник 25*20</t>
  </si>
  <si>
    <t>Колено 25-90</t>
  </si>
  <si>
    <t>Колено 20*90</t>
  </si>
  <si>
    <t>*18</t>
  </si>
  <si>
    <t>*18-справочно</t>
  </si>
  <si>
    <t>2. Всего за период с 01.08.2018 по 31.08.2018 выполнено работ (оказано услуг) на общую сумму: 90170,24 руб.</t>
  </si>
  <si>
    <t>(девяносто тысяч сто семьдесят рублей 24 копейки)</t>
  </si>
  <si>
    <t>за период с 01.09.2018 г. по 30.09.2018 г.</t>
  </si>
  <si>
    <t>Укрепление ступений</t>
  </si>
  <si>
    <t>10 ступ.</t>
  </si>
  <si>
    <t>Замена трансформаторов тока</t>
  </si>
  <si>
    <t>Осмотр водопроводов, канализации, отопления в квартирах</t>
  </si>
  <si>
    <t>100 кв.</t>
  </si>
  <si>
    <t>Ниппель 1/2 НР</t>
  </si>
  <si>
    <t>Смена внутренних трубопроводов  32*5,4</t>
  </si>
  <si>
    <t>кв 118</t>
  </si>
  <si>
    <t>Муфта разъемная 32*25 НР</t>
  </si>
  <si>
    <t>Колено 32-90</t>
  </si>
  <si>
    <t>Тройник 32*20</t>
  </si>
  <si>
    <t>Муфта переходная 32*25</t>
  </si>
  <si>
    <t>*31</t>
  </si>
  <si>
    <t>*31-справочно</t>
  </si>
  <si>
    <t>2. Всего за период с 01.09.2018 по 30.09.2018 выполнено работ (оказано услуг) на общую сумму: 120989,18 руб.</t>
  </si>
  <si>
    <t>(сто двадцать тысяч девятьсот восемьдесят девять рублей 18 копеек)</t>
  </si>
  <si>
    <t>за период с 01.10.2018 г. по 31.10.2018 г.</t>
  </si>
  <si>
    <t>Замена фановых труб (труба ПП Dу 100)</t>
  </si>
  <si>
    <t>м</t>
  </si>
  <si>
    <t>Смена полиэтиленовых канализационных труб ППDу 100мм-1м</t>
  </si>
  <si>
    <t xml:space="preserve">Переход чугун пластик Dу 100 </t>
  </si>
  <si>
    <t>Отвод Dу 100-90</t>
  </si>
  <si>
    <t>Спустили пустые баллоны с кровли</t>
  </si>
  <si>
    <t>мЗ</t>
  </si>
  <si>
    <t>Замена кран-буксы</t>
  </si>
  <si>
    <t>Осмотр крыльца</t>
  </si>
  <si>
    <t>Установили раму</t>
  </si>
  <si>
    <t>10 шт</t>
  </si>
  <si>
    <t>Установка заглушек диаметром трубопроводов до 100 мм</t>
  </si>
  <si>
    <t>заглушка</t>
  </si>
  <si>
    <t>Смена ламп накаливания</t>
  </si>
  <si>
    <t>10шт</t>
  </si>
  <si>
    <t>Смена трубопроводов на полипропиленовые трубы PN25 диаметром 20 мм (с 4 этажа до 1)</t>
  </si>
  <si>
    <t>Смена трубопроводов на полипропиленовые трубы PN25 диаметром 25 мм ( с 4 этажа до 1)</t>
  </si>
  <si>
    <t>Смена трубопроводов на полипропиленовые трубы PN20 диаметром 25 мм ( с 4 этажа до 1)</t>
  </si>
  <si>
    <t>4м</t>
  </si>
  <si>
    <t>16м</t>
  </si>
  <si>
    <t>Муфта 25</t>
  </si>
  <si>
    <t>Муфта разъемная 32*25 ВР</t>
  </si>
  <si>
    <t>Пресс муфта 25*3/4 ВР</t>
  </si>
  <si>
    <t>*27</t>
  </si>
  <si>
    <t>*27-справочно</t>
  </si>
  <si>
    <t>2. Всего за период с 01.10.2018 по 31.10.2018 выполнено работ (оказано услуг) на общую сумму: 165424,04 руб.</t>
  </si>
  <si>
    <t>(сто шестьдесят пять  тысяч четыреста двадцать четыре рубля 04 копейки)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</si>
  <si>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</si>
  <si>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</si>
  <si>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Смена дверных приборов - пружины</t>
  </si>
  <si>
    <t>Манжета 50*73</t>
  </si>
  <si>
    <t>Отвод Dу 100-40</t>
  </si>
  <si>
    <t>Патрубок компенсационный Dу 100</t>
  </si>
  <si>
    <t>Муфта 100</t>
  </si>
  <si>
    <t>Смена полиэтиленовых канализационных труб ППDу 100мм-1м (кв.87)</t>
  </si>
  <si>
    <t>*25</t>
  </si>
  <si>
    <t>*25-справочно</t>
  </si>
  <si>
    <t>2. Всего за период с 01.11.2018 по 30.11.2018 выполнено работ (оказано услуг) на общую сумму: 66802,85 руб.</t>
  </si>
  <si>
    <t>(шестьдесят шесть тысяч восемьсот два рубля 85 копеек)</t>
  </si>
  <si>
    <t>за период с 01.12.2018 г. по 31.12.2018 г.</t>
  </si>
  <si>
    <t>Кран (ш) Dу 15</t>
  </si>
  <si>
    <t>Манжета 100</t>
  </si>
  <si>
    <t>2. Всего за период с 01.12.2018 по 31.12.2018 выполнено работ (оказано услуг) на общую сумму: 79948,53 руб.</t>
  </si>
  <si>
    <t>(семьдесят девять тысяч девятьсот сорок восемь рублей 53 копейки)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</si>
</sst>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0" fontId="0" fillId="0" borderId="6" xfId="0" applyBorder="1" applyAlignment="1"/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1"/>
  <sheetViews>
    <sheetView topLeftCell="A86" workbookViewId="0">
      <selection activeCell="I104" sqref="I104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87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156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181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43131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155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/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v>0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/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v>0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46">
        <v>6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v>0</v>
      </c>
      <c r="J25" s="24"/>
      <c r="K25" s="8"/>
      <c r="L25" s="8"/>
      <c r="M25" s="8"/>
    </row>
    <row r="26" spans="1:13" ht="15.75" customHeight="1">
      <c r="A26" s="46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46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46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hidden="1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hidden="1" customHeight="1">
      <c r="A31" s="46">
        <v>2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v>0</v>
      </c>
      <c r="J31" s="24"/>
      <c r="K31" s="8"/>
      <c r="L31" s="8"/>
      <c r="M31" s="8"/>
    </row>
    <row r="32" spans="1:13" ht="31.5" hidden="1" customHeight="1">
      <c r="A32" s="46">
        <v>3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v>0</v>
      </c>
      <c r="J32" s="24"/>
      <c r="K32" s="8"/>
      <c r="L32" s="8"/>
      <c r="M32" s="8"/>
    </row>
    <row r="33" spans="1:14" ht="15.75" hidden="1" customHeight="1">
      <c r="A33" s="46">
        <v>4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v>0</v>
      </c>
      <c r="J33" s="24"/>
      <c r="K33" s="8"/>
      <c r="L33" s="8"/>
      <c r="M33" s="8"/>
    </row>
    <row r="34" spans="1:14" ht="15.75" hidden="1" customHeight="1">
      <c r="A34" s="46"/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v>0</v>
      </c>
      <c r="J34" s="24"/>
      <c r="K34" s="8"/>
      <c r="L34" s="8"/>
      <c r="M34" s="8"/>
    </row>
    <row r="35" spans="1:14" ht="15.75" hidden="1" customHeight="1">
      <c r="A35" s="46">
        <v>5</v>
      </c>
      <c r="B35" s="80" t="s">
        <v>160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v>0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2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2"/>
        <v>3.40896</v>
      </c>
      <c r="I37" s="14">
        <v>0</v>
      </c>
      <c r="J37" s="25"/>
    </row>
    <row r="38" spans="1:14" ht="15.75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2" si="3">F39/6*G39</f>
        <v>3818.05</v>
      </c>
      <c r="J39" s="25"/>
    </row>
    <row r="40" spans="1:14" ht="15.75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4">SUM(F40*G40/1000)</f>
        <v>57.598483674999997</v>
      </c>
      <c r="I40" s="14">
        <f t="shared" si="3"/>
        <v>9599.747279166666</v>
      </c>
      <c r="J40" s="25"/>
    </row>
    <row r="41" spans="1:14" ht="15.75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4"/>
        <v>7.611275</v>
      </c>
      <c r="I41" s="14">
        <f t="shared" si="3"/>
        <v>1268.5458333333333</v>
      </c>
      <c r="J41" s="25"/>
    </row>
    <row r="42" spans="1:14" ht="31.5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4"/>
        <v>9.7495103999999984</v>
      </c>
      <c r="I42" s="14">
        <f t="shared" si="3"/>
        <v>1624.9183999999998</v>
      </c>
      <c r="J42" s="25"/>
    </row>
    <row r="43" spans="1:14" ht="15.75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4"/>
        <v>2.7008100000000002</v>
      </c>
      <c r="I43" s="14">
        <f>F43/7.5*G43</f>
        <v>360.108</v>
      </c>
      <c r="J43" s="25"/>
    </row>
    <row r="44" spans="1:14" ht="15.75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4"/>
        <v>0.71820000000000006</v>
      </c>
      <c r="I44" s="14">
        <f>F44/7.5*G44</f>
        <v>95.76</v>
      </c>
      <c r="J44" s="25"/>
      <c r="L44" s="21"/>
      <c r="M44" s="22"/>
      <c r="N44" s="23"/>
    </row>
    <row r="45" spans="1:14" ht="15.75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15.75" hidden="1" customHeight="1">
      <c r="A46" s="46">
        <v>15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5">SUM(F46*G46/1000)</f>
        <v>2.7870067920000001</v>
      </c>
      <c r="I46" s="14">
        <v>0</v>
      </c>
      <c r="J46" s="25"/>
      <c r="L46" s="21"/>
      <c r="M46" s="22"/>
      <c r="N46" s="23"/>
    </row>
    <row r="47" spans="1:14" ht="15.75" hidden="1" customHeight="1">
      <c r="A47" s="46"/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5"/>
        <v>1.06421502</v>
      </c>
      <c r="I47" s="14">
        <v>0</v>
      </c>
      <c r="J47" s="25"/>
      <c r="L47" s="21"/>
      <c r="M47" s="22"/>
      <c r="N47" s="23"/>
    </row>
    <row r="48" spans="1:14" ht="15.75" hidden="1" customHeight="1">
      <c r="A48" s="46">
        <v>16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5"/>
        <v>6.4812056496000006</v>
      </c>
      <c r="I48" s="14">
        <v>0</v>
      </c>
      <c r="J48" s="25"/>
      <c r="L48" s="21"/>
      <c r="M48" s="22"/>
      <c r="N48" s="23"/>
    </row>
    <row r="49" spans="1:14" ht="15.75" hidden="1" customHeight="1">
      <c r="A49" s="46">
        <v>17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5"/>
        <v>3.4193309809999999</v>
      </c>
      <c r="I49" s="14">
        <v>0</v>
      </c>
      <c r="J49" s="25"/>
      <c r="L49" s="21"/>
      <c r="M49" s="22"/>
      <c r="N49" s="23"/>
    </row>
    <row r="50" spans="1:14" ht="15.75" customHeight="1">
      <c r="A50" s="46">
        <v>16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5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13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5"/>
        <v>7.9628296799999996</v>
      </c>
      <c r="I51" s="14">
        <v>0</v>
      </c>
      <c r="J51" s="25"/>
      <c r="L51" s="21"/>
      <c r="M51" s="22"/>
      <c r="N51" s="23"/>
    </row>
    <row r="52" spans="1:14" ht="31.5" hidden="1" customHeight="1">
      <c r="A52" s="46">
        <v>14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5"/>
        <v>2.1843919999999999</v>
      </c>
      <c r="I52" s="14">
        <v>0</v>
      </c>
      <c r="J52" s="25"/>
      <c r="L52" s="21"/>
      <c r="M52" s="22"/>
      <c r="N52" s="23"/>
    </row>
    <row r="53" spans="1:14" ht="15.75" hidden="1" customHeight="1">
      <c r="A53" s="46">
        <v>15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5"/>
        <v>0.11304260000000001</v>
      </c>
      <c r="I53" s="14">
        <v>0</v>
      </c>
      <c r="J53" s="25"/>
      <c r="L53" s="21"/>
      <c r="M53" s="22"/>
      <c r="N53" s="23"/>
    </row>
    <row r="54" spans="1:14" ht="15.75" customHeight="1">
      <c r="A54" s="46">
        <v>17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5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158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customHeight="1">
      <c r="A56" s="59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customHeight="1">
      <c r="A58" s="46">
        <v>18</v>
      </c>
      <c r="B58" s="80" t="s">
        <v>146</v>
      </c>
      <c r="C58" s="69" t="s">
        <v>110</v>
      </c>
      <c r="D58" s="80" t="s">
        <v>254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G58*2.13</f>
        <v>3295.7063999999996</v>
      </c>
      <c r="J58" s="25"/>
      <c r="L58" s="21"/>
      <c r="M58" s="22"/>
      <c r="N58" s="23"/>
    </row>
    <row r="59" spans="1:14" ht="15.75" customHeight="1">
      <c r="A59" s="46">
        <v>19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75" t="s">
        <v>43</v>
      </c>
      <c r="C61" s="75"/>
      <c r="D61" s="75"/>
      <c r="E61" s="75"/>
      <c r="F61" s="75"/>
      <c r="G61" s="75"/>
      <c r="H61" s="75"/>
      <c r="I61" s="38"/>
      <c r="J61" s="25"/>
      <c r="L61" s="21"/>
      <c r="M61" s="22"/>
      <c r="N61" s="23"/>
    </row>
    <row r="62" spans="1:14" ht="15.75" customHeight="1">
      <c r="A62" s="46">
        <v>20</v>
      </c>
      <c r="B62" s="64" t="s">
        <v>98</v>
      </c>
      <c r="C62" s="58" t="s">
        <v>25</v>
      </c>
      <c r="D62" s="64" t="s">
        <v>149</v>
      </c>
      <c r="E62" s="120">
        <v>200</v>
      </c>
      <c r="F62" s="121">
        <f>E62*12</f>
        <v>2400</v>
      </c>
      <c r="G62" s="67">
        <v>1.2</v>
      </c>
      <c r="H62" s="122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customHeight="1">
      <c r="A64" s="46"/>
      <c r="B64" s="75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customHeight="1">
      <c r="A65" s="46">
        <v>21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6">SUM(F65*G65/1000)</f>
        <v>8.8960000000000008</v>
      </c>
      <c r="I65" s="14">
        <f>G65</f>
        <v>222.4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6"/>
        <v>1.14375</v>
      </c>
      <c r="I66" s="14">
        <v>0</v>
      </c>
      <c r="J66" s="25"/>
      <c r="L66" s="21"/>
      <c r="M66" s="22"/>
      <c r="N66" s="23"/>
    </row>
    <row r="67" spans="1:22" ht="15.75" hidden="1" customHeight="1">
      <c r="A67" s="31">
        <v>8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6"/>
        <v>52.290731999999998</v>
      </c>
      <c r="I67" s="14">
        <v>0</v>
      </c>
      <c r="J67" s="25"/>
      <c r="L67" s="21"/>
      <c r="M67" s="22"/>
      <c r="N67" s="23"/>
    </row>
    <row r="68" spans="1:22" ht="15.75" hidden="1" customHeight="1">
      <c r="A68" s="31">
        <v>9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6"/>
        <v>4.0720960800000006</v>
      </c>
      <c r="I68" s="14">
        <v>0</v>
      </c>
      <c r="J68" s="25"/>
      <c r="L68" s="21"/>
      <c r="M68" s="22"/>
      <c r="N68" s="23"/>
    </row>
    <row r="69" spans="1:22" ht="15.75" hidden="1" customHeight="1">
      <c r="A69" s="31">
        <v>10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6"/>
        <v>56.637399000000002</v>
      </c>
      <c r="I69" s="14">
        <v>0</v>
      </c>
      <c r="J69" s="25"/>
      <c r="L69" s="21"/>
    </row>
    <row r="70" spans="1:22" ht="15.75" hidden="1" customHeight="1">
      <c r="A70" s="31">
        <v>11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6"/>
        <v>0.91908960000000006</v>
      </c>
      <c r="I70" s="14">
        <v>0</v>
      </c>
    </row>
    <row r="71" spans="1:22" ht="15.75" hidden="1" customHeight="1">
      <c r="A71" s="31">
        <v>12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6"/>
        <v>0.85743840000000016</v>
      </c>
      <c r="I71" s="14">
        <v>0</v>
      </c>
    </row>
    <row r="72" spans="1:22" ht="15.75" hidden="1" customHeight="1">
      <c r="A72" s="31">
        <v>13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6"/>
        <v>0.59856000000000009</v>
      </c>
      <c r="I72" s="14">
        <v>0</v>
      </c>
    </row>
    <row r="73" spans="1:22" ht="15.75" hidden="1" customHeight="1">
      <c r="A73" s="59"/>
      <c r="B73" s="75" t="s">
        <v>132</v>
      </c>
      <c r="C73" s="75"/>
      <c r="D73" s="75"/>
      <c r="E73" s="75"/>
      <c r="F73" s="75"/>
      <c r="G73" s="75"/>
      <c r="H73" s="75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1">
        <v>36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v>0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159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22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23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59"/>
      <c r="B83" s="44" t="s">
        <v>80</v>
      </c>
      <c r="C83" s="46"/>
      <c r="D83" s="17"/>
      <c r="E83" s="17"/>
      <c r="F83" s="17"/>
      <c r="G83" s="20"/>
      <c r="H83" s="20"/>
      <c r="I83" s="33">
        <f>SUM(I16+I17+I18+I20+I21+I24+I26+I27+I28+I39+I40+I41+I42+I43+I44+I50+I54+I58+I59+I62+I65+I81+I82)</f>
        <v>111466.27315849999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15.75" customHeight="1">
      <c r="A85" s="31">
        <v>24</v>
      </c>
      <c r="B85" s="62" t="s">
        <v>183</v>
      </c>
      <c r="C85" s="66" t="s">
        <v>84</v>
      </c>
      <c r="D85" s="57"/>
      <c r="E85" s="14"/>
      <c r="F85" s="14">
        <v>2</v>
      </c>
      <c r="G85" s="14">
        <v>203.68</v>
      </c>
      <c r="H85" s="77">
        <f t="shared" ref="H85" si="7">G85*F85/1000</f>
        <v>0.40736</v>
      </c>
      <c r="I85" s="123">
        <f>G85*2</f>
        <v>407.36</v>
      </c>
    </row>
    <row r="86" spans="1:9" ht="15.75" customHeight="1">
      <c r="A86" s="31">
        <v>25</v>
      </c>
      <c r="B86" s="102" t="s">
        <v>184</v>
      </c>
      <c r="C86" s="103" t="s">
        <v>93</v>
      </c>
      <c r="D86" s="57"/>
      <c r="E86" s="14"/>
      <c r="F86" s="14">
        <v>2</v>
      </c>
      <c r="G86" s="14">
        <v>1165.73</v>
      </c>
      <c r="H86" s="77">
        <f>G86*F86/1000</f>
        <v>2.3314599999999999</v>
      </c>
      <c r="I86" s="123">
        <f>G86*2</f>
        <v>2331.46</v>
      </c>
    </row>
    <row r="87" spans="1:9" ht="31.5" customHeight="1">
      <c r="A87" s="31">
        <v>26</v>
      </c>
      <c r="B87" s="62" t="s">
        <v>152</v>
      </c>
      <c r="C87" s="66" t="s">
        <v>94</v>
      </c>
      <c r="D87" s="57"/>
      <c r="E87" s="14"/>
      <c r="F87" s="14">
        <v>3</v>
      </c>
      <c r="G87" s="14">
        <v>835.68</v>
      </c>
      <c r="H87" s="77">
        <f t="shared" ref="H87:H96" si="8">G87*F87/1000</f>
        <v>2.5070399999999999</v>
      </c>
      <c r="I87" s="123">
        <f>G87*(1+3)</f>
        <v>3342.72</v>
      </c>
    </row>
    <row r="88" spans="1:9" ht="15.75" customHeight="1">
      <c r="A88" s="31">
        <v>27</v>
      </c>
      <c r="B88" s="62" t="s">
        <v>193</v>
      </c>
      <c r="C88" s="66" t="s">
        <v>94</v>
      </c>
      <c r="D88" s="57"/>
      <c r="E88" s="14"/>
      <c r="F88" s="14">
        <v>2</v>
      </c>
      <c r="G88" s="14">
        <v>784.36</v>
      </c>
      <c r="H88" s="77">
        <f>G88*F88/1000</f>
        <v>1.5687200000000001</v>
      </c>
      <c r="I88" s="14">
        <f>G88*2</f>
        <v>1568.72</v>
      </c>
    </row>
    <row r="89" spans="1:9" ht="31.5" customHeight="1">
      <c r="A89" s="31">
        <v>28</v>
      </c>
      <c r="B89" s="62" t="s">
        <v>194</v>
      </c>
      <c r="C89" s="66" t="s">
        <v>94</v>
      </c>
      <c r="D89" s="57"/>
      <c r="E89" s="14"/>
      <c r="F89" s="14">
        <v>1</v>
      </c>
      <c r="G89" s="14">
        <v>1061.67</v>
      </c>
      <c r="H89" s="77">
        <f>G89*F89/1000</f>
        <v>1.0616700000000001</v>
      </c>
      <c r="I89" s="14">
        <f>G89</f>
        <v>1061.67</v>
      </c>
    </row>
    <row r="90" spans="1:9" ht="31.5" customHeight="1">
      <c r="A90" s="31">
        <v>29</v>
      </c>
      <c r="B90" s="62" t="s">
        <v>91</v>
      </c>
      <c r="C90" s="66" t="s">
        <v>94</v>
      </c>
      <c r="D90" s="57"/>
      <c r="E90" s="14"/>
      <c r="F90" s="14">
        <v>1</v>
      </c>
      <c r="G90" s="14">
        <v>613.44000000000005</v>
      </c>
      <c r="H90" s="77">
        <f t="shared" si="8"/>
        <v>0.6134400000000001</v>
      </c>
      <c r="I90" s="14">
        <f>G90</f>
        <v>613.44000000000005</v>
      </c>
    </row>
    <row r="91" spans="1:9" ht="15.75" customHeight="1">
      <c r="A91" s="31">
        <v>30</v>
      </c>
      <c r="B91" s="62" t="s">
        <v>185</v>
      </c>
      <c r="C91" s="66" t="s">
        <v>186</v>
      </c>
      <c r="D91" s="16"/>
      <c r="E91" s="20"/>
      <c r="F91" s="14">
        <v>15</v>
      </c>
      <c r="G91" s="14">
        <v>134.12</v>
      </c>
      <c r="H91" s="77">
        <f>G91*F91/1000</f>
        <v>2.0118</v>
      </c>
      <c r="I91" s="123">
        <f>G91*(15)</f>
        <v>2011.8000000000002</v>
      </c>
    </row>
    <row r="92" spans="1:9" ht="15.75" customHeight="1">
      <c r="A92" s="31">
        <v>31</v>
      </c>
      <c r="B92" s="62" t="s">
        <v>187</v>
      </c>
      <c r="C92" s="66" t="s">
        <v>188</v>
      </c>
      <c r="D92" s="57"/>
      <c r="E92" s="14"/>
      <c r="F92" s="14">
        <v>0.5</v>
      </c>
      <c r="G92" s="14">
        <v>3370.66</v>
      </c>
      <c r="H92" s="77">
        <f t="shared" si="8"/>
        <v>1.68533</v>
      </c>
      <c r="I92" s="14">
        <f>G92*0.5</f>
        <v>1685.33</v>
      </c>
    </row>
    <row r="93" spans="1:9" ht="15.75" customHeight="1">
      <c r="A93" s="31" t="s">
        <v>212</v>
      </c>
      <c r="B93" s="62" t="s">
        <v>104</v>
      </c>
      <c r="C93" s="66" t="s">
        <v>128</v>
      </c>
      <c r="D93" s="57"/>
      <c r="E93" s="14"/>
      <c r="F93" s="14">
        <v>282</v>
      </c>
      <c r="G93" s="14">
        <v>55.55</v>
      </c>
      <c r="H93" s="77">
        <f t="shared" si="8"/>
        <v>15.665099999999999</v>
      </c>
      <c r="I93" s="123">
        <f>G93*121</f>
        <v>6721.5499999999993</v>
      </c>
    </row>
    <row r="94" spans="1:9" ht="15.75" customHeight="1">
      <c r="A94" s="31">
        <v>33</v>
      </c>
      <c r="B94" s="106" t="s">
        <v>189</v>
      </c>
      <c r="C94" s="66" t="s">
        <v>188</v>
      </c>
      <c r="D94" s="57"/>
      <c r="E94" s="14"/>
      <c r="F94" s="14">
        <v>2</v>
      </c>
      <c r="G94" s="14">
        <v>2456.7800000000002</v>
      </c>
      <c r="H94" s="77">
        <f t="shared" si="8"/>
        <v>4.9135600000000004</v>
      </c>
      <c r="I94" s="14">
        <f>G94*2</f>
        <v>4913.5600000000004</v>
      </c>
    </row>
    <row r="95" spans="1:9" ht="15.75" customHeight="1">
      <c r="A95" s="31">
        <v>34</v>
      </c>
      <c r="B95" s="57" t="s">
        <v>89</v>
      </c>
      <c r="C95" s="18" t="s">
        <v>105</v>
      </c>
      <c r="D95" s="57"/>
      <c r="E95" s="14"/>
      <c r="F95" s="14">
        <v>2</v>
      </c>
      <c r="G95" s="14">
        <v>1645</v>
      </c>
      <c r="H95" s="77">
        <f t="shared" si="8"/>
        <v>3.29</v>
      </c>
      <c r="I95" s="14">
        <f>G95*2</f>
        <v>3290</v>
      </c>
    </row>
    <row r="96" spans="1:9" ht="15.75" customHeight="1">
      <c r="A96" s="31">
        <v>35</v>
      </c>
      <c r="B96" s="102" t="s">
        <v>190</v>
      </c>
      <c r="C96" s="103" t="s">
        <v>105</v>
      </c>
      <c r="D96" s="16"/>
      <c r="E96" s="20"/>
      <c r="F96" s="14">
        <v>1</v>
      </c>
      <c r="G96" s="14">
        <v>1794</v>
      </c>
      <c r="H96" s="77">
        <f t="shared" si="8"/>
        <v>1.794</v>
      </c>
      <c r="I96" s="123">
        <f>G96</f>
        <v>1794</v>
      </c>
    </row>
    <row r="97" spans="1:9" ht="15.75" customHeight="1">
      <c r="A97" s="31"/>
      <c r="B97" s="51" t="s">
        <v>51</v>
      </c>
      <c r="C97" s="47"/>
      <c r="D97" s="60"/>
      <c r="E97" s="60"/>
      <c r="F97" s="47">
        <v>1</v>
      </c>
      <c r="G97" s="47"/>
      <c r="H97" s="47"/>
      <c r="I97" s="33">
        <f>SUM(I85:I96)-I93</f>
        <v>23020.060000000005</v>
      </c>
    </row>
    <row r="98" spans="1:9" ht="15.75" customHeight="1">
      <c r="A98" s="31"/>
      <c r="B98" s="57" t="s">
        <v>78</v>
      </c>
      <c r="C98" s="17"/>
      <c r="D98" s="17"/>
      <c r="E98" s="17"/>
      <c r="F98" s="48"/>
      <c r="G98" s="49"/>
      <c r="H98" s="49"/>
      <c r="I98" s="19">
        <v>0</v>
      </c>
    </row>
    <row r="99" spans="1:9" ht="15.75" customHeight="1">
      <c r="A99" s="61"/>
      <c r="B99" s="52" t="s">
        <v>162</v>
      </c>
      <c r="C99" s="37"/>
      <c r="D99" s="37"/>
      <c r="E99" s="37"/>
      <c r="F99" s="37"/>
      <c r="G99" s="37"/>
      <c r="H99" s="37"/>
      <c r="I99" s="50">
        <f>I83+I97</f>
        <v>134486.3331585</v>
      </c>
    </row>
    <row r="100" spans="1:9" ht="15.75" customHeight="1">
      <c r="A100" s="166" t="s">
        <v>213</v>
      </c>
      <c r="B100" s="167"/>
      <c r="C100" s="167"/>
      <c r="D100" s="167"/>
      <c r="E100" s="167"/>
      <c r="F100" s="167"/>
      <c r="G100" s="167"/>
      <c r="H100" s="167"/>
      <c r="I100" s="167"/>
    </row>
    <row r="101" spans="1:9" ht="15.75" customHeight="1">
      <c r="A101" s="168" t="s">
        <v>255</v>
      </c>
      <c r="B101" s="168"/>
      <c r="C101" s="168"/>
      <c r="D101" s="168"/>
      <c r="E101" s="168"/>
      <c r="F101" s="168"/>
      <c r="G101" s="168"/>
      <c r="H101" s="168"/>
      <c r="I101" s="168"/>
    </row>
    <row r="102" spans="1:9" ht="15.75" customHeight="1">
      <c r="A102" s="76"/>
      <c r="B102" s="158" t="s">
        <v>256</v>
      </c>
      <c r="C102" s="158"/>
      <c r="D102" s="158"/>
      <c r="E102" s="158"/>
      <c r="F102" s="158"/>
      <c r="G102" s="158"/>
      <c r="H102" s="79"/>
      <c r="I102" s="3"/>
    </row>
    <row r="103" spans="1:9" ht="15.75" customHeight="1">
      <c r="A103" s="71"/>
      <c r="B103" s="154" t="s">
        <v>6</v>
      </c>
      <c r="C103" s="154"/>
      <c r="D103" s="154"/>
      <c r="E103" s="154"/>
      <c r="F103" s="154"/>
      <c r="G103" s="154"/>
      <c r="H103" s="26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59" t="s">
        <v>7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5.75" customHeight="1">
      <c r="A106" s="159" t="s">
        <v>8</v>
      </c>
      <c r="B106" s="159"/>
      <c r="C106" s="159"/>
      <c r="D106" s="159"/>
      <c r="E106" s="159"/>
      <c r="F106" s="159"/>
      <c r="G106" s="159"/>
      <c r="H106" s="159"/>
      <c r="I106" s="159"/>
    </row>
    <row r="107" spans="1:9" ht="15.75" customHeight="1">
      <c r="A107" s="160" t="s">
        <v>61</v>
      </c>
      <c r="B107" s="160"/>
      <c r="C107" s="160"/>
      <c r="D107" s="160"/>
      <c r="E107" s="160"/>
      <c r="F107" s="160"/>
      <c r="G107" s="160"/>
      <c r="H107" s="160"/>
      <c r="I107" s="160"/>
    </row>
    <row r="108" spans="1:9" ht="15.75" customHeight="1">
      <c r="A108" s="11"/>
    </row>
    <row r="109" spans="1:9" ht="15.75" customHeight="1">
      <c r="A109" s="161" t="s">
        <v>9</v>
      </c>
      <c r="B109" s="161"/>
      <c r="C109" s="161"/>
      <c r="D109" s="161"/>
      <c r="E109" s="161"/>
      <c r="F109" s="161"/>
      <c r="G109" s="161"/>
      <c r="H109" s="161"/>
      <c r="I109" s="161"/>
    </row>
    <row r="110" spans="1:9" ht="15.75" customHeight="1">
      <c r="A110" s="4"/>
    </row>
    <row r="111" spans="1:9" ht="15.75" customHeight="1">
      <c r="B111" s="70" t="s">
        <v>10</v>
      </c>
      <c r="C111" s="153" t="s">
        <v>92</v>
      </c>
      <c r="D111" s="153"/>
      <c r="E111" s="153"/>
      <c r="F111" s="153"/>
      <c r="I111" s="73"/>
    </row>
    <row r="112" spans="1:9" ht="15.75" customHeight="1">
      <c r="A112" s="71"/>
      <c r="C112" s="154" t="s">
        <v>11</v>
      </c>
      <c r="D112" s="154"/>
      <c r="E112" s="154"/>
      <c r="F112" s="154"/>
      <c r="I112" s="72" t="s">
        <v>12</v>
      </c>
    </row>
    <row r="113" spans="1:9" ht="15.75" customHeight="1">
      <c r="A113" s="27"/>
      <c r="C113" s="12"/>
      <c r="D113" s="12"/>
      <c r="E113" s="12"/>
      <c r="G113" s="12"/>
      <c r="H113" s="12"/>
    </row>
    <row r="114" spans="1:9" ht="15.75" customHeight="1">
      <c r="B114" s="70" t="s">
        <v>13</v>
      </c>
      <c r="C114" s="155"/>
      <c r="D114" s="155"/>
      <c r="E114" s="155"/>
      <c r="F114" s="155"/>
      <c r="I114" s="73"/>
    </row>
    <row r="115" spans="1:9" ht="15.75" customHeight="1">
      <c r="A115" s="71"/>
      <c r="C115" s="156" t="s">
        <v>11</v>
      </c>
      <c r="D115" s="156"/>
      <c r="E115" s="156"/>
      <c r="F115" s="156"/>
      <c r="I115" s="72" t="s">
        <v>12</v>
      </c>
    </row>
    <row r="116" spans="1:9" ht="15.75" customHeight="1">
      <c r="A116" s="4" t="s">
        <v>14</v>
      </c>
    </row>
    <row r="117" spans="1:9">
      <c r="A117" s="157" t="s">
        <v>15</v>
      </c>
      <c r="B117" s="157"/>
      <c r="C117" s="157"/>
      <c r="D117" s="157"/>
      <c r="E117" s="157"/>
      <c r="F117" s="157"/>
      <c r="G117" s="157"/>
      <c r="H117" s="157"/>
      <c r="I117" s="157"/>
    </row>
    <row r="118" spans="1:9" ht="45" customHeight="1">
      <c r="A118" s="146" t="s">
        <v>16</v>
      </c>
      <c r="B118" s="146"/>
      <c r="C118" s="146"/>
      <c r="D118" s="146"/>
      <c r="E118" s="146"/>
      <c r="F118" s="146"/>
      <c r="G118" s="146"/>
      <c r="H118" s="146"/>
      <c r="I118" s="146"/>
    </row>
    <row r="119" spans="1:9" ht="30" customHeight="1">
      <c r="A119" s="146" t="s">
        <v>17</v>
      </c>
      <c r="B119" s="146"/>
      <c r="C119" s="146"/>
      <c r="D119" s="146"/>
      <c r="E119" s="146"/>
      <c r="F119" s="146"/>
      <c r="G119" s="146"/>
      <c r="H119" s="146"/>
      <c r="I119" s="146"/>
    </row>
    <row r="120" spans="1:9" ht="30" customHeight="1">
      <c r="A120" s="146" t="s">
        <v>21</v>
      </c>
      <c r="B120" s="146"/>
      <c r="C120" s="146"/>
      <c r="D120" s="146"/>
      <c r="E120" s="146"/>
      <c r="F120" s="146"/>
      <c r="G120" s="146"/>
      <c r="H120" s="146"/>
      <c r="I120" s="146"/>
    </row>
    <row r="121" spans="1:9" ht="15" customHeight="1">
      <c r="A121" s="146" t="s">
        <v>20</v>
      </c>
      <c r="B121" s="146"/>
      <c r="C121" s="146"/>
      <c r="D121" s="146"/>
      <c r="E121" s="146"/>
      <c r="F121" s="146"/>
      <c r="G121" s="146"/>
      <c r="H121" s="146"/>
      <c r="I121" s="146"/>
    </row>
  </sheetData>
  <autoFilter ref="I12:I71"/>
  <mergeCells count="30">
    <mergeCell ref="R76:U76"/>
    <mergeCell ref="A101:I101"/>
    <mergeCell ref="A3:I3"/>
    <mergeCell ref="A4:I4"/>
    <mergeCell ref="A5:I5"/>
    <mergeCell ref="A8:I8"/>
    <mergeCell ref="A10:I10"/>
    <mergeCell ref="A14:I14"/>
    <mergeCell ref="A109:I109"/>
    <mergeCell ref="A15:I15"/>
    <mergeCell ref="A29:I29"/>
    <mergeCell ref="A45:I45"/>
    <mergeCell ref="A55:I55"/>
    <mergeCell ref="A100:I100"/>
    <mergeCell ref="A119:I119"/>
    <mergeCell ref="A120:I120"/>
    <mergeCell ref="A121:I121"/>
    <mergeCell ref="A80:I80"/>
    <mergeCell ref="A84:I84"/>
    <mergeCell ref="C111:F111"/>
    <mergeCell ref="C112:F112"/>
    <mergeCell ref="C114:F114"/>
    <mergeCell ref="C115:F115"/>
    <mergeCell ref="A117:I117"/>
    <mergeCell ref="A118:I118"/>
    <mergeCell ref="B102:G102"/>
    <mergeCell ref="B103:G103"/>
    <mergeCell ref="A105:I105"/>
    <mergeCell ref="A106:I106"/>
    <mergeCell ref="A107:I10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46"/>
  <sheetViews>
    <sheetView topLeftCell="A86" workbookViewId="0">
      <selection activeCell="B127" sqref="B127:G127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244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178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296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43404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246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>
        <v>4</v>
      </c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f>F19/2*G19</f>
        <v>326.7072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>
        <v>7</v>
      </c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f>F22*G22</f>
        <v>2215.2558719999997</v>
      </c>
      <c r="J22" s="24"/>
      <c r="K22" s="8"/>
      <c r="L22" s="8"/>
      <c r="M22" s="8"/>
    </row>
    <row r="23" spans="1:13" ht="15.75" hidden="1" customHeight="1">
      <c r="A23" s="31">
        <v>8</v>
      </c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f>F23*G23</f>
        <v>42.784140000000001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31">
        <v>10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f>F25*G25</f>
        <v>82.125600000000006</v>
      </c>
      <c r="J25" s="24"/>
      <c r="K25" s="8"/>
      <c r="L25" s="8"/>
      <c r="M25" s="8"/>
    </row>
    <row r="26" spans="1:13" ht="15.75" customHeight="1">
      <c r="A26" s="31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31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31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customHeight="1">
      <c r="A31" s="46">
        <v>10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f>F31/6*G31</f>
        <v>1845.7999560000003</v>
      </c>
      <c r="J31" s="24"/>
      <c r="K31" s="8"/>
      <c r="L31" s="8"/>
      <c r="M31" s="8"/>
    </row>
    <row r="32" spans="1:13" ht="31.5" customHeight="1">
      <c r="A32" s="46">
        <v>11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f t="shared" ref="I32:I35" si="2">F32/6*G32</f>
        <v>1841.9757915000002</v>
      </c>
      <c r="J32" s="24"/>
      <c r="K32" s="8"/>
      <c r="L32" s="8"/>
      <c r="M32" s="8"/>
    </row>
    <row r="33" spans="1:14" ht="15.75" hidden="1" customHeight="1">
      <c r="A33" s="46">
        <v>16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f>F33*G33</f>
        <v>8252.7496919999994</v>
      </c>
      <c r="J33" s="24"/>
      <c r="K33" s="8"/>
      <c r="L33" s="8"/>
      <c r="M33" s="8"/>
    </row>
    <row r="34" spans="1:14" ht="15.75" customHeight="1">
      <c r="A34" s="46">
        <v>12</v>
      </c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f t="shared" si="2"/>
        <v>2690.8413333333338</v>
      </c>
      <c r="J34" s="24"/>
      <c r="K34" s="8"/>
      <c r="L34" s="8"/>
      <c r="M34" s="8"/>
    </row>
    <row r="35" spans="1:14" ht="15.75" customHeight="1">
      <c r="A35" s="46">
        <v>13</v>
      </c>
      <c r="B35" s="80" t="s">
        <v>122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f t="shared" si="2"/>
        <v>1464.4916666666666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3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4">
        <v>0</v>
      </c>
      <c r="J37" s="25"/>
    </row>
    <row r="38" spans="1:14" ht="15.75" hidden="1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hidden="1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4" si="4">F39/6*G39</f>
        <v>3818.05</v>
      </c>
      <c r="J39" s="25"/>
    </row>
    <row r="40" spans="1:14" ht="15.75" hidden="1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5">SUM(F40*G40/1000)</f>
        <v>57.598483674999997</v>
      </c>
      <c r="I40" s="14">
        <f t="shared" si="4"/>
        <v>9599.747279166666</v>
      </c>
      <c r="J40" s="25"/>
    </row>
    <row r="41" spans="1:14" ht="15.75" hidden="1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5"/>
        <v>7.611275</v>
      </c>
      <c r="I41" s="14">
        <f t="shared" si="4"/>
        <v>1268.5458333333333</v>
      </c>
      <c r="J41" s="25"/>
    </row>
    <row r="42" spans="1:14" ht="31.5" hidden="1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5"/>
        <v>9.7495103999999984</v>
      </c>
      <c r="I42" s="14">
        <f t="shared" si="4"/>
        <v>1624.9183999999998</v>
      </c>
      <c r="J42" s="25"/>
    </row>
    <row r="43" spans="1:14" ht="15.75" hidden="1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5"/>
        <v>2.7008100000000002</v>
      </c>
      <c r="I43" s="14">
        <f t="shared" si="4"/>
        <v>450.13499999999999</v>
      </c>
      <c r="J43" s="25"/>
    </row>
    <row r="44" spans="1:14" ht="15.75" hidden="1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5"/>
        <v>0.71820000000000006</v>
      </c>
      <c r="I44" s="14">
        <f t="shared" si="4"/>
        <v>119.69999999999999</v>
      </c>
      <c r="J44" s="25"/>
      <c r="L44" s="21"/>
      <c r="M44" s="22"/>
      <c r="N44" s="23"/>
    </row>
    <row r="45" spans="1:14" ht="15.75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15.75" hidden="1" customHeight="1">
      <c r="A46" s="46">
        <v>14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6">SUM(F46*G46/1000)</f>
        <v>2.7870067920000001</v>
      </c>
      <c r="I46" s="14">
        <f t="shared" ref="I46:I48" si="7">F46/2*G46</f>
        <v>1393.5033960000001</v>
      </c>
      <c r="J46" s="25"/>
      <c r="L46" s="21"/>
      <c r="M46" s="22"/>
      <c r="N46" s="23"/>
    </row>
    <row r="47" spans="1:14" ht="15.75" hidden="1" customHeight="1">
      <c r="A47" s="46">
        <v>15</v>
      </c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6"/>
        <v>1.06421502</v>
      </c>
      <c r="I47" s="14">
        <f t="shared" si="7"/>
        <v>532.10751000000005</v>
      </c>
      <c r="J47" s="25"/>
      <c r="L47" s="21"/>
      <c r="M47" s="22"/>
      <c r="N47" s="23"/>
    </row>
    <row r="48" spans="1:14" ht="15.75" hidden="1" customHeight="1">
      <c r="A48" s="46">
        <v>16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6"/>
        <v>6.4812056496000006</v>
      </c>
      <c r="I48" s="14">
        <f t="shared" si="7"/>
        <v>3240.6028248000002</v>
      </c>
      <c r="J48" s="25"/>
      <c r="L48" s="21"/>
      <c r="M48" s="22"/>
      <c r="N48" s="23"/>
    </row>
    <row r="49" spans="1:14" ht="15.75" hidden="1" customHeight="1">
      <c r="A49" s="46">
        <v>17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6"/>
        <v>3.4193309809999999</v>
      </c>
      <c r="I49" s="14">
        <f>F49/2*G49</f>
        <v>1709.6654905</v>
      </c>
      <c r="J49" s="25"/>
      <c r="L49" s="21"/>
      <c r="M49" s="22"/>
      <c r="N49" s="23"/>
    </row>
    <row r="50" spans="1:14" ht="15.75" hidden="1" customHeight="1">
      <c r="A50" s="46">
        <v>18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6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customHeight="1">
      <c r="A51" s="46">
        <v>14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6"/>
        <v>7.9628296799999996</v>
      </c>
      <c r="I51" s="14">
        <f>F51/2*G51</f>
        <v>3981.4148399999999</v>
      </c>
      <c r="J51" s="25"/>
      <c r="L51" s="21"/>
      <c r="M51" s="22"/>
      <c r="N51" s="23"/>
    </row>
    <row r="52" spans="1:14" ht="31.5" customHeight="1">
      <c r="A52" s="46">
        <v>15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6"/>
        <v>2.1843919999999999</v>
      </c>
      <c r="I52" s="14">
        <f>F52/2*G52</f>
        <v>1092.1959999999999</v>
      </c>
      <c r="J52" s="25"/>
      <c r="L52" s="21"/>
      <c r="M52" s="22"/>
      <c r="N52" s="23"/>
    </row>
    <row r="53" spans="1:14" ht="15.75" customHeight="1">
      <c r="A53" s="46">
        <v>16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6"/>
        <v>0.11304260000000001</v>
      </c>
      <c r="I53" s="14">
        <f>F53/2*G53</f>
        <v>56.521300000000004</v>
      </c>
      <c r="J53" s="25"/>
      <c r="L53" s="21"/>
      <c r="M53" s="22"/>
      <c r="N53" s="23"/>
    </row>
    <row r="54" spans="1:14" ht="15.75" customHeight="1">
      <c r="A54" s="46">
        <v>17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6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158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hidden="1" customHeight="1">
      <c r="A56" s="59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hidden="1" customHeight="1">
      <c r="A58" s="46">
        <v>18</v>
      </c>
      <c r="B58" s="80" t="s">
        <v>146</v>
      </c>
      <c r="C58" s="69" t="s">
        <v>110</v>
      </c>
      <c r="D58" s="80" t="s">
        <v>147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F58/6*G58</f>
        <v>2538.1581119999996</v>
      </c>
      <c r="J58" s="25"/>
      <c r="L58" s="21"/>
      <c r="M58" s="22"/>
      <c r="N58" s="23"/>
    </row>
    <row r="59" spans="1:14" ht="15.75" hidden="1" customHeight="1">
      <c r="A59" s="46">
        <v>19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75" t="s">
        <v>43</v>
      </c>
      <c r="C61" s="75"/>
      <c r="D61" s="75"/>
      <c r="E61" s="75"/>
      <c r="F61" s="75"/>
      <c r="G61" s="75"/>
      <c r="H61" s="75"/>
      <c r="I61" s="38"/>
      <c r="J61" s="25"/>
      <c r="L61" s="21"/>
      <c r="M61" s="22"/>
      <c r="N61" s="23"/>
    </row>
    <row r="62" spans="1:14" ht="15.75" customHeight="1">
      <c r="A62" s="46">
        <v>18</v>
      </c>
      <c r="B62" s="91" t="s">
        <v>98</v>
      </c>
      <c r="C62" s="92" t="s">
        <v>25</v>
      </c>
      <c r="D62" s="91" t="s">
        <v>149</v>
      </c>
      <c r="E62" s="93">
        <v>329.4</v>
      </c>
      <c r="F62" s="94">
        <v>2400</v>
      </c>
      <c r="G62" s="97">
        <v>1.2</v>
      </c>
      <c r="H62" s="95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customHeight="1">
      <c r="A64" s="46"/>
      <c r="B64" s="75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customHeight="1">
      <c r="A65" s="46">
        <v>19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8">SUM(F65*G65/1000)</f>
        <v>8.8960000000000008</v>
      </c>
      <c r="I65" s="14">
        <f>G65*5</f>
        <v>1112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8"/>
        <v>1.14375</v>
      </c>
      <c r="I66" s="14">
        <v>0</v>
      </c>
      <c r="J66" s="25"/>
      <c r="L66" s="21"/>
      <c r="M66" s="22"/>
      <c r="N66" s="23"/>
    </row>
    <row r="67" spans="1:22" ht="15.75" hidden="1" customHeight="1">
      <c r="A67" s="31">
        <v>26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8"/>
        <v>52.290731999999998</v>
      </c>
      <c r="I67" s="14">
        <f>F67*G67</f>
        <v>52290.731999999996</v>
      </c>
      <c r="J67" s="25"/>
      <c r="L67" s="21"/>
      <c r="M67" s="22"/>
      <c r="N67" s="23"/>
    </row>
    <row r="68" spans="1:22" ht="15.75" hidden="1" customHeight="1">
      <c r="A68" s="31">
        <v>27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8"/>
        <v>4.0720960800000006</v>
      </c>
      <c r="I68" s="14">
        <f t="shared" ref="I68:I71" si="9">F68*G68</f>
        <v>4072.0960800000003</v>
      </c>
      <c r="J68" s="25"/>
      <c r="L68" s="21"/>
      <c r="M68" s="22"/>
      <c r="N68" s="23"/>
    </row>
    <row r="69" spans="1:22" ht="15.75" hidden="1" customHeight="1">
      <c r="A69" s="31">
        <v>28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8"/>
        <v>56.637399000000002</v>
      </c>
      <c r="I69" s="14">
        <f t="shared" si="9"/>
        <v>56637.399000000005</v>
      </c>
      <c r="J69" s="25"/>
      <c r="L69" s="21"/>
    </row>
    <row r="70" spans="1:22" ht="15.75" hidden="1" customHeight="1">
      <c r="A70" s="31">
        <v>29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8"/>
        <v>0.91908960000000006</v>
      </c>
      <c r="I70" s="14">
        <f t="shared" si="9"/>
        <v>919.08960000000002</v>
      </c>
    </row>
    <row r="71" spans="1:22" ht="15.75" hidden="1" customHeight="1">
      <c r="A71" s="31">
        <v>30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8"/>
        <v>0.85743840000000016</v>
      </c>
      <c r="I71" s="14">
        <f t="shared" si="9"/>
        <v>857.43840000000012</v>
      </c>
    </row>
    <row r="72" spans="1:22" ht="15.75" hidden="1" customHeight="1">
      <c r="A72" s="31">
        <v>21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8"/>
        <v>0.59856000000000009</v>
      </c>
      <c r="I72" s="14">
        <f>G72*12</f>
        <v>598.56000000000006</v>
      </c>
    </row>
    <row r="73" spans="1:22" ht="15.75" hidden="1" customHeight="1">
      <c r="A73" s="59"/>
      <c r="B73" s="75" t="s">
        <v>132</v>
      </c>
      <c r="C73" s="75"/>
      <c r="D73" s="75"/>
      <c r="E73" s="75"/>
      <c r="F73" s="75"/>
      <c r="G73" s="75"/>
      <c r="H73" s="75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1">
        <v>16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f>G74</f>
        <v>27356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159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20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21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59"/>
      <c r="B83" s="44" t="s">
        <v>80</v>
      </c>
      <c r="C83" s="46"/>
      <c r="D83" s="17"/>
      <c r="E83" s="17"/>
      <c r="F83" s="17"/>
      <c r="G83" s="20"/>
      <c r="H83" s="20"/>
      <c r="I83" s="33">
        <f>I82+I81+I65+I62+I54+I53+I52+I51+I35+I34+I32+I31+I28+I27+I26+I24+I21+I20+I18+I17+I16</f>
        <v>101119.82009350001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30" customHeight="1">
      <c r="A85" s="31">
        <v>22</v>
      </c>
      <c r="B85" s="104" t="s">
        <v>283</v>
      </c>
      <c r="C85" s="105" t="s">
        <v>284</v>
      </c>
      <c r="D85" s="57"/>
      <c r="E85" s="14"/>
      <c r="F85" s="14">
        <v>7.0000000000000007E-2</v>
      </c>
      <c r="G85" s="39">
        <v>24829.08</v>
      </c>
      <c r="H85" s="77">
        <f t="shared" ref="H85" si="10">G85*F85/1000</f>
        <v>1.7380356000000003</v>
      </c>
      <c r="I85" s="14">
        <f>G85*0.03</f>
        <v>744.87239999999997</v>
      </c>
    </row>
    <row r="86" spans="1:9" ht="30.75" customHeight="1">
      <c r="A86" s="31">
        <v>23</v>
      </c>
      <c r="B86" s="62" t="s">
        <v>91</v>
      </c>
      <c r="C86" s="66" t="s">
        <v>94</v>
      </c>
      <c r="D86" s="57"/>
      <c r="E86" s="39"/>
      <c r="F86" s="39">
        <v>1089</v>
      </c>
      <c r="G86" s="39">
        <v>613.44000000000005</v>
      </c>
      <c r="H86" s="100">
        <f t="shared" ref="H86:H91" si="11">G86*F86/1000</f>
        <v>668.03616</v>
      </c>
      <c r="I86" s="114">
        <f>G86*1</f>
        <v>613.44000000000005</v>
      </c>
    </row>
    <row r="87" spans="1:9" ht="13.5" customHeight="1">
      <c r="A87" s="31">
        <v>24</v>
      </c>
      <c r="B87" s="62" t="s">
        <v>285</v>
      </c>
      <c r="C87" s="66" t="s">
        <v>128</v>
      </c>
      <c r="D87" s="57"/>
      <c r="E87" s="39"/>
      <c r="F87" s="39">
        <v>8</v>
      </c>
      <c r="G87" s="39">
        <v>38.67</v>
      </c>
      <c r="H87" s="100">
        <f t="shared" si="11"/>
        <v>0.30936000000000002</v>
      </c>
      <c r="I87" s="14">
        <f>G87*1</f>
        <v>38.67</v>
      </c>
    </row>
    <row r="88" spans="1:9" ht="15.75" customHeight="1">
      <c r="A88" s="31">
        <v>25</v>
      </c>
      <c r="B88" s="104" t="s">
        <v>223</v>
      </c>
      <c r="C88" s="105" t="s">
        <v>29</v>
      </c>
      <c r="D88" s="57"/>
      <c r="E88" s="39"/>
      <c r="F88" s="39">
        <v>27.5</v>
      </c>
      <c r="G88" s="39">
        <v>849.49</v>
      </c>
      <c r="H88" s="100">
        <f t="shared" si="11"/>
        <v>23.360975</v>
      </c>
      <c r="I88" s="14">
        <f>G88*0.205</f>
        <v>174.14544999999998</v>
      </c>
    </row>
    <row r="89" spans="1:9" ht="15.75" customHeight="1">
      <c r="A89" s="31">
        <v>26</v>
      </c>
      <c r="B89" s="104" t="s">
        <v>185</v>
      </c>
      <c r="C89" s="105" t="s">
        <v>186</v>
      </c>
      <c r="D89" s="65"/>
      <c r="E89" s="39"/>
      <c r="F89" s="39">
        <f>60/3</f>
        <v>20</v>
      </c>
      <c r="G89" s="39">
        <v>134.12</v>
      </c>
      <c r="H89" s="100">
        <f t="shared" si="11"/>
        <v>2.6823999999999999</v>
      </c>
      <c r="I89" s="14">
        <f>G89*35</f>
        <v>4694.2</v>
      </c>
    </row>
    <row r="90" spans="1:9" ht="18.75" customHeight="1">
      <c r="A90" s="31" t="s">
        <v>320</v>
      </c>
      <c r="B90" s="104" t="s">
        <v>104</v>
      </c>
      <c r="C90" s="105" t="s">
        <v>128</v>
      </c>
      <c r="D90" s="57"/>
      <c r="E90" s="39"/>
      <c r="F90" s="39">
        <v>9</v>
      </c>
      <c r="G90" s="40">
        <v>55.55</v>
      </c>
      <c r="H90" s="100">
        <f t="shared" si="11"/>
        <v>0.49995000000000001</v>
      </c>
      <c r="I90" s="14">
        <f>G90*121</f>
        <v>6721.5499999999993</v>
      </c>
    </row>
    <row r="91" spans="1:9" ht="15.75" customHeight="1">
      <c r="A91" s="31">
        <v>28</v>
      </c>
      <c r="B91" s="57" t="s">
        <v>89</v>
      </c>
      <c r="C91" s="18" t="s">
        <v>105</v>
      </c>
      <c r="D91" s="57"/>
      <c r="E91" s="14"/>
      <c r="F91" s="14">
        <v>44.5</v>
      </c>
      <c r="G91" s="39">
        <v>1645</v>
      </c>
      <c r="H91" s="77">
        <f t="shared" si="11"/>
        <v>73.202500000000001</v>
      </c>
      <c r="I91" s="14">
        <f>G91*1</f>
        <v>1645</v>
      </c>
    </row>
    <row r="92" spans="1:9" ht="18.75" customHeight="1">
      <c r="A92" s="31">
        <v>29</v>
      </c>
      <c r="B92" s="62" t="s">
        <v>167</v>
      </c>
      <c r="C92" s="68" t="s">
        <v>168</v>
      </c>
      <c r="D92" s="65"/>
      <c r="E92" s="39"/>
      <c r="F92" s="39">
        <v>2</v>
      </c>
      <c r="G92" s="39">
        <v>300.61</v>
      </c>
      <c r="H92" s="100">
        <f t="shared" ref="H92" si="12">G92*F92/1000</f>
        <v>0.60121999999999998</v>
      </c>
      <c r="I92" s="14">
        <f>G92*1</f>
        <v>300.61</v>
      </c>
    </row>
    <row r="93" spans="1:9" ht="15.75" customHeight="1">
      <c r="A93" s="31">
        <v>30</v>
      </c>
      <c r="B93" s="104" t="s">
        <v>297</v>
      </c>
      <c r="C93" s="105" t="s">
        <v>298</v>
      </c>
      <c r="D93" s="57"/>
      <c r="E93" s="39"/>
      <c r="F93" s="39">
        <v>2</v>
      </c>
      <c r="G93" s="39">
        <v>732</v>
      </c>
      <c r="H93" s="100">
        <f>G93*F93/1000</f>
        <v>1.464</v>
      </c>
      <c r="I93" s="14">
        <f>G93*3.5</f>
        <v>2562</v>
      </c>
    </row>
    <row r="94" spans="1:9" ht="15.75" customHeight="1">
      <c r="A94" s="31">
        <v>31</v>
      </c>
      <c r="B94" s="104" t="s">
        <v>299</v>
      </c>
      <c r="C94" s="105" t="s">
        <v>128</v>
      </c>
      <c r="D94" s="57"/>
      <c r="E94" s="39"/>
      <c r="F94" s="39">
        <v>10</v>
      </c>
      <c r="G94" s="39">
        <v>864.9</v>
      </c>
      <c r="H94" s="100">
        <f>G94*F94/1000</f>
        <v>8.6489999999999991</v>
      </c>
      <c r="I94" s="14">
        <f>G94*1</f>
        <v>864.9</v>
      </c>
    </row>
    <row r="95" spans="1:9" ht="19.5" customHeight="1">
      <c r="A95" s="31">
        <v>32</v>
      </c>
      <c r="B95" s="104" t="s">
        <v>300</v>
      </c>
      <c r="C95" s="105" t="s">
        <v>128</v>
      </c>
      <c r="D95" s="57"/>
      <c r="E95" s="39"/>
      <c r="F95" s="39">
        <v>4</v>
      </c>
      <c r="G95" s="39">
        <v>109.73</v>
      </c>
      <c r="H95" s="100">
        <f t="shared" ref="H95:H97" si="13">G95*F95/1000</f>
        <v>0.43892000000000003</v>
      </c>
      <c r="I95" s="14">
        <f>G95*8</f>
        <v>877.84</v>
      </c>
    </row>
    <row r="96" spans="1:9" ht="15.75" customHeight="1">
      <c r="A96" s="31">
        <v>33</v>
      </c>
      <c r="B96" s="104" t="s">
        <v>301</v>
      </c>
      <c r="C96" s="105" t="s">
        <v>128</v>
      </c>
      <c r="D96" s="117"/>
      <c r="E96" s="19"/>
      <c r="F96" s="118">
        <f>6.25/10</f>
        <v>0.625</v>
      </c>
      <c r="G96" s="39">
        <v>48.69</v>
      </c>
      <c r="H96" s="100">
        <f t="shared" si="13"/>
        <v>3.043125E-2</v>
      </c>
      <c r="I96" s="14">
        <f>G96*16</f>
        <v>779.04</v>
      </c>
    </row>
    <row r="97" spans="1:9" ht="15.75" customHeight="1">
      <c r="A97" s="31">
        <v>34</v>
      </c>
      <c r="B97" s="144" t="s">
        <v>302</v>
      </c>
      <c r="C97" s="105" t="s">
        <v>303</v>
      </c>
      <c r="D97" s="63"/>
      <c r="E97" s="20"/>
      <c r="F97" s="14">
        <v>191</v>
      </c>
      <c r="G97" s="39">
        <v>253.69</v>
      </c>
      <c r="H97" s="77">
        <f t="shared" si="13"/>
        <v>48.454790000000003</v>
      </c>
      <c r="I97" s="14">
        <f>G97*0.5</f>
        <v>126.845</v>
      </c>
    </row>
    <row r="98" spans="1:9" ht="15.75" customHeight="1">
      <c r="A98" s="31">
        <v>35</v>
      </c>
      <c r="B98" s="104" t="s">
        <v>304</v>
      </c>
      <c r="C98" s="105" t="s">
        <v>94</v>
      </c>
      <c r="D98" s="63"/>
      <c r="E98" s="20"/>
      <c r="F98" s="14"/>
      <c r="G98" s="39">
        <v>364.87</v>
      </c>
      <c r="H98" s="77"/>
      <c r="I98" s="14">
        <f>G98*1</f>
        <v>364.87</v>
      </c>
    </row>
    <row r="99" spans="1:9" ht="15.75" customHeight="1">
      <c r="A99" s="31">
        <v>36</v>
      </c>
      <c r="B99" s="104" t="s">
        <v>305</v>
      </c>
      <c r="C99" s="105" t="s">
        <v>29</v>
      </c>
      <c r="D99" s="63"/>
      <c r="E99" s="20"/>
      <c r="F99" s="14"/>
      <c r="G99" s="39">
        <v>943.51</v>
      </c>
      <c r="H99" s="77"/>
      <c r="I99" s="14">
        <f>G99*0.00512</f>
        <v>4.8307712</v>
      </c>
    </row>
    <row r="100" spans="1:9" ht="15.75" customHeight="1">
      <c r="A100" s="31">
        <v>37</v>
      </c>
      <c r="B100" s="144" t="s">
        <v>306</v>
      </c>
      <c r="C100" s="145" t="s">
        <v>307</v>
      </c>
      <c r="D100" s="63"/>
      <c r="E100" s="20"/>
      <c r="F100" s="14"/>
      <c r="G100" s="39">
        <v>4261.8900000000003</v>
      </c>
      <c r="H100" s="77"/>
      <c r="I100" s="14">
        <f>G100*0.1</f>
        <v>426.18900000000008</v>
      </c>
    </row>
    <row r="101" spans="1:9" ht="15.75" customHeight="1">
      <c r="A101" s="31">
        <v>38</v>
      </c>
      <c r="B101" s="104" t="s">
        <v>308</v>
      </c>
      <c r="C101" s="105" t="s">
        <v>309</v>
      </c>
      <c r="D101" s="63"/>
      <c r="E101" s="20"/>
      <c r="F101" s="14"/>
      <c r="G101" s="39">
        <v>689.92</v>
      </c>
      <c r="H101" s="77"/>
      <c r="I101" s="14">
        <f>G101*1</f>
        <v>689.92</v>
      </c>
    </row>
    <row r="102" spans="1:9" ht="15.75" customHeight="1">
      <c r="A102" s="31">
        <v>39</v>
      </c>
      <c r="B102" s="104" t="s">
        <v>310</v>
      </c>
      <c r="C102" s="105" t="s">
        <v>311</v>
      </c>
      <c r="D102" s="63"/>
      <c r="E102" s="20"/>
      <c r="F102" s="14"/>
      <c r="G102" s="39">
        <v>684.19</v>
      </c>
      <c r="H102" s="77"/>
      <c r="I102" s="14">
        <f>G102*0.2</f>
        <v>136.83800000000002</v>
      </c>
    </row>
    <row r="103" spans="1:9" ht="32.25" customHeight="1">
      <c r="A103" s="31">
        <v>40</v>
      </c>
      <c r="B103" s="62" t="s">
        <v>151</v>
      </c>
      <c r="C103" s="66" t="s">
        <v>37</v>
      </c>
      <c r="D103" s="63"/>
      <c r="E103" s="20"/>
      <c r="F103" s="14"/>
      <c r="G103" s="39">
        <v>3724.37</v>
      </c>
      <c r="H103" s="77"/>
      <c r="I103" s="14">
        <f>G103*0.01</f>
        <v>37.243699999999997</v>
      </c>
    </row>
    <row r="104" spans="1:9" ht="32.25" customHeight="1">
      <c r="A104" s="31">
        <v>41</v>
      </c>
      <c r="B104" s="62" t="s">
        <v>312</v>
      </c>
      <c r="C104" s="66" t="s">
        <v>81</v>
      </c>
      <c r="D104" s="63" t="s">
        <v>315</v>
      </c>
      <c r="E104" s="20"/>
      <c r="F104" s="14"/>
      <c r="G104" s="39">
        <v>1187</v>
      </c>
      <c r="H104" s="77"/>
      <c r="I104" s="14">
        <f>G104*4</f>
        <v>4748</v>
      </c>
    </row>
    <row r="105" spans="1:9" ht="32.25" customHeight="1">
      <c r="A105" s="31">
        <v>42</v>
      </c>
      <c r="B105" s="62" t="s">
        <v>313</v>
      </c>
      <c r="C105" s="66" t="s">
        <v>81</v>
      </c>
      <c r="D105" s="63" t="s">
        <v>316</v>
      </c>
      <c r="E105" s="20"/>
      <c r="F105" s="14"/>
      <c r="G105" s="39">
        <v>1272</v>
      </c>
      <c r="H105" s="77"/>
      <c r="I105" s="14">
        <f>G105*16</f>
        <v>20352</v>
      </c>
    </row>
    <row r="106" spans="1:9" ht="32.25" customHeight="1">
      <c r="A106" s="31">
        <v>43</v>
      </c>
      <c r="B106" s="62" t="s">
        <v>314</v>
      </c>
      <c r="C106" s="66" t="s">
        <v>81</v>
      </c>
      <c r="D106" s="63" t="s">
        <v>316</v>
      </c>
      <c r="E106" s="20"/>
      <c r="F106" s="14"/>
      <c r="G106" s="39">
        <v>1206</v>
      </c>
      <c r="H106" s="77"/>
      <c r="I106" s="14">
        <f>G106*16</f>
        <v>19296</v>
      </c>
    </row>
    <row r="107" spans="1:9" ht="14.25" customHeight="1">
      <c r="A107" s="31">
        <v>44</v>
      </c>
      <c r="B107" s="62" t="s">
        <v>317</v>
      </c>
      <c r="C107" s="66" t="s">
        <v>128</v>
      </c>
      <c r="D107" s="63"/>
      <c r="E107" s="20"/>
      <c r="F107" s="14"/>
      <c r="G107" s="39">
        <v>5.42</v>
      </c>
      <c r="H107" s="77"/>
      <c r="I107" s="14">
        <f>G107*8</f>
        <v>43.36</v>
      </c>
    </row>
    <row r="108" spans="1:9" ht="15" customHeight="1">
      <c r="A108" s="31">
        <v>45</v>
      </c>
      <c r="B108" s="62" t="s">
        <v>274</v>
      </c>
      <c r="C108" s="66" t="s">
        <v>128</v>
      </c>
      <c r="D108" s="63"/>
      <c r="E108" s="20"/>
      <c r="F108" s="14"/>
      <c r="G108" s="39">
        <v>5.42</v>
      </c>
      <c r="H108" s="77"/>
      <c r="I108" s="14">
        <f>G108*12</f>
        <v>65.039999999999992</v>
      </c>
    </row>
    <row r="109" spans="1:9" ht="15.75" customHeight="1">
      <c r="A109" s="31">
        <v>46</v>
      </c>
      <c r="B109" s="62" t="s">
        <v>273</v>
      </c>
      <c r="C109" s="66" t="s">
        <v>128</v>
      </c>
      <c r="D109" s="63"/>
      <c r="E109" s="20"/>
      <c r="F109" s="14"/>
      <c r="G109" s="39">
        <v>8.44</v>
      </c>
      <c r="H109" s="77"/>
      <c r="I109" s="14">
        <f>G109*6</f>
        <v>50.64</v>
      </c>
    </row>
    <row r="110" spans="1:9" ht="17.25" customHeight="1">
      <c r="A110" s="31">
        <v>47</v>
      </c>
      <c r="B110" s="62" t="s">
        <v>225</v>
      </c>
      <c r="C110" s="66" t="s">
        <v>128</v>
      </c>
      <c r="D110" s="63"/>
      <c r="E110" s="20"/>
      <c r="F110" s="14"/>
      <c r="G110" s="39">
        <v>4.46</v>
      </c>
      <c r="H110" s="77"/>
      <c r="I110" s="14">
        <f>G110*4</f>
        <v>17.84</v>
      </c>
    </row>
    <row r="111" spans="1:9" ht="14.25" customHeight="1">
      <c r="A111" s="31">
        <v>48</v>
      </c>
      <c r="B111" s="62" t="s">
        <v>272</v>
      </c>
      <c r="C111" s="66" t="s">
        <v>128</v>
      </c>
      <c r="D111" s="63"/>
      <c r="E111" s="20"/>
      <c r="F111" s="14"/>
      <c r="G111" s="39">
        <v>12.8</v>
      </c>
      <c r="H111" s="77"/>
      <c r="I111" s="14">
        <f>G111*3</f>
        <v>38.400000000000006</v>
      </c>
    </row>
    <row r="112" spans="1:9" ht="15" customHeight="1">
      <c r="A112" s="31">
        <v>49</v>
      </c>
      <c r="B112" s="62" t="s">
        <v>291</v>
      </c>
      <c r="C112" s="66" t="s">
        <v>128</v>
      </c>
      <c r="D112" s="63"/>
      <c r="E112" s="20"/>
      <c r="F112" s="14"/>
      <c r="G112" s="39">
        <v>8.44</v>
      </c>
      <c r="H112" s="77"/>
      <c r="I112" s="14">
        <f>G112*6</f>
        <v>50.64</v>
      </c>
    </row>
    <row r="113" spans="1:9" ht="15" customHeight="1">
      <c r="A113" s="31">
        <v>50</v>
      </c>
      <c r="B113" s="62" t="s">
        <v>269</v>
      </c>
      <c r="C113" s="66" t="s">
        <v>128</v>
      </c>
      <c r="D113" s="63"/>
      <c r="E113" s="20"/>
      <c r="F113" s="14"/>
      <c r="G113" s="39">
        <v>89.92</v>
      </c>
      <c r="H113" s="77"/>
      <c r="I113" s="14">
        <f>G113*4</f>
        <v>359.68</v>
      </c>
    </row>
    <row r="114" spans="1:9" ht="15" customHeight="1">
      <c r="A114" s="31">
        <v>51</v>
      </c>
      <c r="B114" s="62" t="s">
        <v>270</v>
      </c>
      <c r="C114" s="66" t="s">
        <v>128</v>
      </c>
      <c r="D114" s="63"/>
      <c r="E114" s="20"/>
      <c r="F114" s="14"/>
      <c r="G114" s="39">
        <v>95.25</v>
      </c>
      <c r="H114" s="77"/>
      <c r="I114" s="14">
        <f>G114*4</f>
        <v>381</v>
      </c>
    </row>
    <row r="115" spans="1:9" ht="15" customHeight="1">
      <c r="A115" s="31">
        <v>52</v>
      </c>
      <c r="B115" s="62" t="s">
        <v>318</v>
      </c>
      <c r="C115" s="66" t="s">
        <v>128</v>
      </c>
      <c r="D115" s="63"/>
      <c r="E115" s="20"/>
      <c r="F115" s="14"/>
      <c r="G115" s="39">
        <v>196.01</v>
      </c>
      <c r="H115" s="77"/>
      <c r="I115" s="14">
        <f>G115*6</f>
        <v>1176.06</v>
      </c>
    </row>
    <row r="116" spans="1:9" ht="15" customHeight="1">
      <c r="A116" s="31">
        <v>53</v>
      </c>
      <c r="B116" s="62" t="s">
        <v>289</v>
      </c>
      <c r="C116" s="66" t="s">
        <v>128</v>
      </c>
      <c r="D116" s="63"/>
      <c r="E116" s="20"/>
      <c r="F116" s="14"/>
      <c r="G116" s="39">
        <v>14.36</v>
      </c>
      <c r="H116" s="77"/>
      <c r="I116" s="14">
        <f>G116*4</f>
        <v>57.44</v>
      </c>
    </row>
    <row r="117" spans="1:9" ht="15" customHeight="1">
      <c r="A117" s="31">
        <v>54</v>
      </c>
      <c r="B117" s="62" t="s">
        <v>268</v>
      </c>
      <c r="C117" s="66" t="s">
        <v>128</v>
      </c>
      <c r="D117" s="63"/>
      <c r="E117" s="20"/>
      <c r="F117" s="14"/>
      <c r="G117" s="39">
        <v>23.29</v>
      </c>
      <c r="H117" s="77"/>
      <c r="I117" s="14">
        <f>G117*4</f>
        <v>93.16</v>
      </c>
    </row>
    <row r="118" spans="1:9" ht="15" customHeight="1">
      <c r="A118" s="31">
        <v>55</v>
      </c>
      <c r="B118" s="62" t="s">
        <v>229</v>
      </c>
      <c r="C118" s="66" t="s">
        <v>128</v>
      </c>
      <c r="D118" s="63"/>
      <c r="E118" s="20"/>
      <c r="F118" s="14"/>
      <c r="G118" s="39">
        <v>169.24</v>
      </c>
      <c r="H118" s="77"/>
      <c r="I118" s="14">
        <f>G118*4</f>
        <v>676.96</v>
      </c>
    </row>
    <row r="119" spans="1:9" ht="15" customHeight="1">
      <c r="A119" s="31">
        <v>56</v>
      </c>
      <c r="B119" s="62" t="s">
        <v>288</v>
      </c>
      <c r="C119" s="66" t="s">
        <v>128</v>
      </c>
      <c r="D119" s="63"/>
      <c r="E119" s="20"/>
      <c r="F119" s="14"/>
      <c r="G119" s="39">
        <v>196.01</v>
      </c>
      <c r="H119" s="77"/>
      <c r="I119" s="14">
        <f>G119*6</f>
        <v>1176.06</v>
      </c>
    </row>
    <row r="120" spans="1:9" ht="15" customHeight="1">
      <c r="A120" s="31">
        <v>57</v>
      </c>
      <c r="B120" s="62" t="s">
        <v>319</v>
      </c>
      <c r="C120" s="66" t="s">
        <v>128</v>
      </c>
      <c r="D120" s="63"/>
      <c r="E120" s="20"/>
      <c r="F120" s="14"/>
      <c r="G120" s="39">
        <v>186.56</v>
      </c>
      <c r="H120" s="77"/>
      <c r="I120" s="14">
        <f>G120*1</f>
        <v>186.56</v>
      </c>
    </row>
    <row r="121" spans="1:9" ht="15" customHeight="1">
      <c r="A121" s="31">
        <v>58</v>
      </c>
      <c r="B121" s="62" t="s">
        <v>226</v>
      </c>
      <c r="C121" s="66" t="s">
        <v>128</v>
      </c>
      <c r="D121" s="63"/>
      <c r="E121" s="20"/>
      <c r="F121" s="14"/>
      <c r="G121" s="39">
        <v>151.31</v>
      </c>
      <c r="H121" s="77"/>
      <c r="I121" s="14">
        <f>G121*3</f>
        <v>453.93</v>
      </c>
    </row>
    <row r="122" spans="1:9" ht="15.75" customHeight="1">
      <c r="A122" s="31"/>
      <c r="B122" s="51" t="s">
        <v>51</v>
      </c>
      <c r="C122" s="47"/>
      <c r="D122" s="60"/>
      <c r="E122" s="60"/>
      <c r="F122" s="47">
        <v>1</v>
      </c>
      <c r="G122" s="47"/>
      <c r="H122" s="47"/>
      <c r="I122" s="33">
        <f>SUM(I85:I121)-I90</f>
        <v>64304.224321199959</v>
      </c>
    </row>
    <row r="123" spans="1:9" ht="15.75" customHeight="1">
      <c r="A123" s="31"/>
      <c r="B123" s="57" t="s">
        <v>78</v>
      </c>
      <c r="C123" s="17"/>
      <c r="D123" s="17"/>
      <c r="E123" s="17"/>
      <c r="F123" s="48"/>
      <c r="G123" s="49"/>
      <c r="H123" s="49"/>
      <c r="I123" s="19">
        <v>0</v>
      </c>
    </row>
    <row r="124" spans="1:9" ht="15.75" customHeight="1">
      <c r="A124" s="61"/>
      <c r="B124" s="52" t="s">
        <v>162</v>
      </c>
      <c r="C124" s="37"/>
      <c r="D124" s="37"/>
      <c r="E124" s="37"/>
      <c r="F124" s="37"/>
      <c r="G124" s="37"/>
      <c r="H124" s="37"/>
      <c r="I124" s="50">
        <f>I83+I122</f>
        <v>165424.04441469995</v>
      </c>
    </row>
    <row r="125" spans="1:9" ht="15.75" customHeight="1">
      <c r="A125" s="166" t="s">
        <v>321</v>
      </c>
      <c r="B125" s="167"/>
      <c r="C125" s="167"/>
      <c r="D125" s="167"/>
      <c r="E125" s="167"/>
      <c r="F125" s="167"/>
      <c r="G125" s="167"/>
      <c r="H125" s="167"/>
      <c r="I125" s="167"/>
    </row>
    <row r="126" spans="1:9" ht="15.75" customHeight="1">
      <c r="A126" s="168" t="s">
        <v>322</v>
      </c>
      <c r="B126" s="168"/>
      <c r="C126" s="168"/>
      <c r="D126" s="168"/>
      <c r="E126" s="168"/>
      <c r="F126" s="168"/>
      <c r="G126" s="168"/>
      <c r="H126" s="168"/>
      <c r="I126" s="168"/>
    </row>
    <row r="127" spans="1:9" ht="15.75" customHeight="1">
      <c r="A127" s="76"/>
      <c r="B127" s="158" t="s">
        <v>323</v>
      </c>
      <c r="C127" s="158"/>
      <c r="D127" s="158"/>
      <c r="E127" s="158"/>
      <c r="F127" s="158"/>
      <c r="G127" s="158"/>
      <c r="H127" s="79"/>
      <c r="I127" s="3"/>
    </row>
    <row r="128" spans="1:9" ht="15.75" customHeight="1">
      <c r="A128" s="71"/>
      <c r="B128" s="154" t="s">
        <v>6</v>
      </c>
      <c r="C128" s="154"/>
      <c r="D128" s="154"/>
      <c r="E128" s="154"/>
      <c r="F128" s="154"/>
      <c r="G128" s="154"/>
      <c r="H128" s="26"/>
      <c r="I128" s="5"/>
    </row>
    <row r="129" spans="1:9" ht="15.75" customHeight="1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ht="15.75" customHeight="1">
      <c r="A130" s="159" t="s">
        <v>7</v>
      </c>
      <c r="B130" s="159"/>
      <c r="C130" s="159"/>
      <c r="D130" s="159"/>
      <c r="E130" s="159"/>
      <c r="F130" s="159"/>
      <c r="G130" s="159"/>
      <c r="H130" s="159"/>
      <c r="I130" s="159"/>
    </row>
    <row r="131" spans="1:9" ht="15.75" customHeight="1">
      <c r="A131" s="159" t="s">
        <v>8</v>
      </c>
      <c r="B131" s="159"/>
      <c r="C131" s="159"/>
      <c r="D131" s="159"/>
      <c r="E131" s="159"/>
      <c r="F131" s="159"/>
      <c r="G131" s="159"/>
      <c r="H131" s="159"/>
      <c r="I131" s="159"/>
    </row>
    <row r="132" spans="1:9" ht="15.75" customHeight="1">
      <c r="A132" s="160" t="s">
        <v>61</v>
      </c>
      <c r="B132" s="160"/>
      <c r="C132" s="160"/>
      <c r="D132" s="160"/>
      <c r="E132" s="160"/>
      <c r="F132" s="160"/>
      <c r="G132" s="160"/>
      <c r="H132" s="160"/>
      <c r="I132" s="160"/>
    </row>
    <row r="133" spans="1:9" ht="15.75" customHeight="1">
      <c r="A133" s="11"/>
    </row>
    <row r="134" spans="1:9" ht="15.75" customHeight="1">
      <c r="A134" s="161" t="s">
        <v>9</v>
      </c>
      <c r="B134" s="161"/>
      <c r="C134" s="161"/>
      <c r="D134" s="161"/>
      <c r="E134" s="161"/>
      <c r="F134" s="161"/>
      <c r="G134" s="161"/>
      <c r="H134" s="161"/>
      <c r="I134" s="161"/>
    </row>
    <row r="135" spans="1:9" ht="15.75" customHeight="1">
      <c r="A135" s="4"/>
    </row>
    <row r="136" spans="1:9" ht="15.75" customHeight="1">
      <c r="B136" s="70" t="s">
        <v>10</v>
      </c>
      <c r="C136" s="153" t="s">
        <v>92</v>
      </c>
      <c r="D136" s="153"/>
      <c r="E136" s="153"/>
      <c r="F136" s="153"/>
      <c r="I136" s="73"/>
    </row>
    <row r="137" spans="1:9" ht="15.75" customHeight="1">
      <c r="A137" s="71"/>
      <c r="C137" s="154" t="s">
        <v>11</v>
      </c>
      <c r="D137" s="154"/>
      <c r="E137" s="154"/>
      <c r="F137" s="154"/>
      <c r="I137" s="72" t="s">
        <v>12</v>
      </c>
    </row>
    <row r="138" spans="1:9" ht="15.75" customHeight="1">
      <c r="A138" s="27"/>
      <c r="C138" s="12"/>
      <c r="D138" s="12"/>
      <c r="E138" s="12"/>
      <c r="G138" s="12"/>
      <c r="H138" s="12"/>
    </row>
    <row r="139" spans="1:9" ht="15.75" customHeight="1">
      <c r="B139" s="70" t="s">
        <v>13</v>
      </c>
      <c r="C139" s="155"/>
      <c r="D139" s="155"/>
      <c r="E139" s="155"/>
      <c r="F139" s="155"/>
      <c r="I139" s="73"/>
    </row>
    <row r="140" spans="1:9" ht="15.75" customHeight="1">
      <c r="A140" s="71"/>
      <c r="C140" s="156" t="s">
        <v>11</v>
      </c>
      <c r="D140" s="156"/>
      <c r="E140" s="156"/>
      <c r="F140" s="156"/>
      <c r="I140" s="72" t="s">
        <v>12</v>
      </c>
    </row>
    <row r="141" spans="1:9" ht="15.75" customHeight="1">
      <c r="A141" s="4" t="s">
        <v>14</v>
      </c>
    </row>
    <row r="142" spans="1:9">
      <c r="A142" s="157" t="s">
        <v>15</v>
      </c>
      <c r="B142" s="157"/>
      <c r="C142" s="157"/>
      <c r="D142" s="157"/>
      <c r="E142" s="157"/>
      <c r="F142" s="157"/>
      <c r="G142" s="157"/>
      <c r="H142" s="157"/>
      <c r="I142" s="157"/>
    </row>
    <row r="143" spans="1:9" ht="45" customHeight="1">
      <c r="A143" s="146" t="s">
        <v>16</v>
      </c>
      <c r="B143" s="146"/>
      <c r="C143" s="146"/>
      <c r="D143" s="146"/>
      <c r="E143" s="146"/>
      <c r="F143" s="146"/>
      <c r="G143" s="146"/>
      <c r="H143" s="146"/>
      <c r="I143" s="146"/>
    </row>
    <row r="144" spans="1:9" ht="30" customHeight="1">
      <c r="A144" s="146" t="s">
        <v>17</v>
      </c>
      <c r="B144" s="146"/>
      <c r="C144" s="146"/>
      <c r="D144" s="146"/>
      <c r="E144" s="146"/>
      <c r="F144" s="146"/>
      <c r="G144" s="146"/>
      <c r="H144" s="146"/>
      <c r="I144" s="146"/>
    </row>
    <row r="145" spans="1:9" ht="30" customHeight="1">
      <c r="A145" s="146" t="s">
        <v>21</v>
      </c>
      <c r="B145" s="146"/>
      <c r="C145" s="146"/>
      <c r="D145" s="146"/>
      <c r="E145" s="146"/>
      <c r="F145" s="146"/>
      <c r="G145" s="146"/>
      <c r="H145" s="146"/>
      <c r="I145" s="146"/>
    </row>
    <row r="146" spans="1:9" ht="15" customHeight="1">
      <c r="A146" s="146" t="s">
        <v>20</v>
      </c>
      <c r="B146" s="146"/>
      <c r="C146" s="146"/>
      <c r="D146" s="146"/>
      <c r="E146" s="146"/>
      <c r="F146" s="146"/>
      <c r="G146" s="146"/>
      <c r="H146" s="146"/>
      <c r="I146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40:F140"/>
    <mergeCell ref="A84:I84"/>
    <mergeCell ref="A126:I126"/>
    <mergeCell ref="B127:G127"/>
    <mergeCell ref="B128:G128"/>
    <mergeCell ref="A130:I130"/>
    <mergeCell ref="A131:I131"/>
    <mergeCell ref="A132:I132"/>
    <mergeCell ref="A134:I134"/>
    <mergeCell ref="C136:F136"/>
    <mergeCell ref="C137:F137"/>
    <mergeCell ref="C139:F139"/>
    <mergeCell ref="A80:I80"/>
    <mergeCell ref="A125:I125"/>
    <mergeCell ref="A142:I142"/>
    <mergeCell ref="A143:I143"/>
    <mergeCell ref="A144:I144"/>
    <mergeCell ref="A145:I145"/>
    <mergeCell ref="A146:I14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5"/>
  <sheetViews>
    <sheetView workbookViewId="0">
      <selection activeCell="J101" sqref="J101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8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244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179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324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112"/>
      <c r="C6" s="112"/>
      <c r="D6" s="112"/>
      <c r="E6" s="112"/>
      <c r="F6" s="112"/>
      <c r="G6" s="112"/>
      <c r="H6" s="112"/>
      <c r="I6" s="32">
        <v>43434</v>
      </c>
      <c r="J6" s="2"/>
      <c r="K6" s="2"/>
      <c r="L6" s="2"/>
      <c r="M6" s="2"/>
    </row>
    <row r="7" spans="1:13" ht="15.75" customHeight="1">
      <c r="B7" s="110"/>
      <c r="C7" s="110"/>
      <c r="D7" s="110"/>
      <c r="E7" s="11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246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>
        <v>4</v>
      </c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f>F19/2*G19</f>
        <v>326.7072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>
        <v>7</v>
      </c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f>F22*G22</f>
        <v>2215.2558719999997</v>
      </c>
      <c r="J22" s="24"/>
      <c r="K22" s="8"/>
      <c r="L22" s="8"/>
      <c r="M22" s="8"/>
    </row>
    <row r="23" spans="1:13" ht="15.75" hidden="1" customHeight="1">
      <c r="A23" s="31">
        <v>8</v>
      </c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f>F23*G23</f>
        <v>42.784140000000001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31">
        <v>10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f>F25*G25</f>
        <v>82.125600000000006</v>
      </c>
      <c r="J25" s="24"/>
      <c r="K25" s="8"/>
      <c r="L25" s="8"/>
      <c r="M25" s="8"/>
    </row>
    <row r="26" spans="1:13" ht="15.75" customHeight="1">
      <c r="A26" s="31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31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hidden="1" customHeight="1">
      <c r="A28" s="31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hidden="1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hidden="1" customHeight="1">
      <c r="A31" s="46">
        <v>10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f>F31/6*G31</f>
        <v>1845.7999560000003</v>
      </c>
      <c r="J31" s="24"/>
      <c r="K31" s="8"/>
      <c r="L31" s="8"/>
      <c r="M31" s="8"/>
    </row>
    <row r="32" spans="1:13" ht="31.5" hidden="1" customHeight="1">
      <c r="A32" s="46">
        <v>11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f t="shared" ref="I32:I35" si="2">F32/6*G32</f>
        <v>1841.9757915000002</v>
      </c>
      <c r="J32" s="24"/>
      <c r="K32" s="8"/>
      <c r="L32" s="8"/>
      <c r="M32" s="8"/>
    </row>
    <row r="33" spans="1:14" ht="15.75" hidden="1" customHeight="1">
      <c r="A33" s="46">
        <v>16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f>F33*G33</f>
        <v>8252.7496919999994</v>
      </c>
      <c r="J33" s="24"/>
      <c r="K33" s="8"/>
      <c r="L33" s="8"/>
      <c r="M33" s="8"/>
    </row>
    <row r="34" spans="1:14" ht="15.75" hidden="1" customHeight="1">
      <c r="A34" s="46">
        <v>12</v>
      </c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f t="shared" si="2"/>
        <v>2690.8413333333338</v>
      </c>
      <c r="J34" s="24"/>
      <c r="K34" s="8"/>
      <c r="L34" s="8"/>
      <c r="M34" s="8"/>
    </row>
    <row r="35" spans="1:14" ht="15.75" hidden="1" customHeight="1">
      <c r="A35" s="46">
        <v>13</v>
      </c>
      <c r="B35" s="80" t="s">
        <v>122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f t="shared" si="2"/>
        <v>1464.4916666666666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3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4">
        <v>0</v>
      </c>
      <c r="J37" s="25"/>
    </row>
    <row r="38" spans="1:14" ht="15.75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customHeight="1">
      <c r="A39" s="36">
        <v>9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2" si="4">F39/6*G39</f>
        <v>3818.05</v>
      </c>
      <c r="J39" s="25"/>
    </row>
    <row r="40" spans="1:14" ht="15.75" customHeight="1">
      <c r="A40" s="36">
        <v>10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5">SUM(F40*G40/1000)</f>
        <v>57.598483674999997</v>
      </c>
      <c r="I40" s="14">
        <f t="shared" si="4"/>
        <v>9599.747279166666</v>
      </c>
      <c r="J40" s="25"/>
    </row>
    <row r="41" spans="1:14" ht="15.75" customHeight="1">
      <c r="A41" s="36">
        <v>11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5"/>
        <v>7.611275</v>
      </c>
      <c r="I41" s="14">
        <f t="shared" si="4"/>
        <v>1268.5458333333333</v>
      </c>
      <c r="J41" s="25"/>
    </row>
    <row r="42" spans="1:14" ht="31.5" customHeight="1">
      <c r="A42" s="36">
        <v>12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5"/>
        <v>9.7495103999999984</v>
      </c>
      <c r="I42" s="14">
        <f t="shared" si="4"/>
        <v>1624.9183999999998</v>
      </c>
      <c r="J42" s="25"/>
    </row>
    <row r="43" spans="1:14" ht="15.75" customHeight="1">
      <c r="A43" s="36">
        <v>13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5"/>
        <v>2.7008100000000002</v>
      </c>
      <c r="I43" s="14">
        <f>F43/7.5*G43</f>
        <v>360.108</v>
      </c>
      <c r="J43" s="25"/>
    </row>
    <row r="44" spans="1:14" ht="15.75" customHeight="1">
      <c r="A44" s="36">
        <v>14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5"/>
        <v>0.71820000000000006</v>
      </c>
      <c r="I44" s="14">
        <f>F44/7.5*G44</f>
        <v>95.76</v>
      </c>
      <c r="J44" s="25"/>
      <c r="L44" s="21"/>
      <c r="M44" s="22"/>
      <c r="N44" s="23"/>
    </row>
    <row r="45" spans="1:14" ht="15.75" hidden="1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15.75" hidden="1" customHeight="1">
      <c r="A46" s="46">
        <v>14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6">SUM(F46*G46/1000)</f>
        <v>2.7870067920000001</v>
      </c>
      <c r="I46" s="14">
        <f t="shared" ref="I46:I48" si="7">F46/2*G46</f>
        <v>1393.5033960000001</v>
      </c>
      <c r="J46" s="25"/>
      <c r="L46" s="21"/>
      <c r="M46" s="22"/>
      <c r="N46" s="23"/>
    </row>
    <row r="47" spans="1:14" ht="15.75" hidden="1" customHeight="1">
      <c r="A47" s="46">
        <v>15</v>
      </c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6"/>
        <v>1.06421502</v>
      </c>
      <c r="I47" s="14">
        <f t="shared" si="7"/>
        <v>532.10751000000005</v>
      </c>
      <c r="J47" s="25"/>
      <c r="L47" s="21"/>
      <c r="M47" s="22"/>
      <c r="N47" s="23"/>
    </row>
    <row r="48" spans="1:14" ht="15.75" hidden="1" customHeight="1">
      <c r="A48" s="46">
        <v>16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6"/>
        <v>6.4812056496000006</v>
      </c>
      <c r="I48" s="14">
        <f t="shared" si="7"/>
        <v>3240.6028248000002</v>
      </c>
      <c r="J48" s="25"/>
      <c r="L48" s="21"/>
      <c r="M48" s="22"/>
      <c r="N48" s="23"/>
    </row>
    <row r="49" spans="1:14" ht="15.75" hidden="1" customHeight="1">
      <c r="A49" s="46">
        <v>17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6"/>
        <v>3.4193309809999999</v>
      </c>
      <c r="I49" s="14">
        <f>F49/2*G49</f>
        <v>1709.6654905</v>
      </c>
      <c r="J49" s="25"/>
      <c r="L49" s="21"/>
      <c r="M49" s="22"/>
      <c r="N49" s="23"/>
    </row>
    <row r="50" spans="1:14" ht="15.75" hidden="1" customHeight="1">
      <c r="A50" s="46">
        <v>18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6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14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6"/>
        <v>7.9628296799999996</v>
      </c>
      <c r="I51" s="14">
        <f>F51/2*G51</f>
        <v>3981.4148399999999</v>
      </c>
      <c r="J51" s="25"/>
      <c r="L51" s="21"/>
      <c r="M51" s="22"/>
      <c r="N51" s="23"/>
    </row>
    <row r="52" spans="1:14" ht="31.5" hidden="1" customHeight="1">
      <c r="A52" s="46">
        <v>15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6"/>
        <v>2.1843919999999999</v>
      </c>
      <c r="I52" s="14">
        <f>F52/2*G52</f>
        <v>1092.1959999999999</v>
      </c>
      <c r="J52" s="25"/>
      <c r="L52" s="21"/>
      <c r="M52" s="22"/>
      <c r="N52" s="23"/>
    </row>
    <row r="53" spans="1:14" ht="15.75" hidden="1" customHeight="1">
      <c r="A53" s="46">
        <v>16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6"/>
        <v>0.11304260000000001</v>
      </c>
      <c r="I53" s="14">
        <f>F53/2*G53</f>
        <v>56.521300000000004</v>
      </c>
      <c r="J53" s="25"/>
      <c r="L53" s="21"/>
      <c r="M53" s="22"/>
      <c r="N53" s="23"/>
    </row>
    <row r="54" spans="1:14" ht="15.75" hidden="1" customHeight="1">
      <c r="A54" s="46">
        <v>17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6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175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customHeight="1">
      <c r="A56" s="113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hidden="1" customHeight="1">
      <c r="A58" s="46">
        <v>16</v>
      </c>
      <c r="B58" s="80" t="s">
        <v>146</v>
      </c>
      <c r="C58" s="69" t="s">
        <v>110</v>
      </c>
      <c r="D58" s="80" t="s">
        <v>147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F58/6*G58</f>
        <v>2538.1581119999996</v>
      </c>
      <c r="J58" s="25"/>
      <c r="L58" s="21"/>
      <c r="M58" s="22"/>
      <c r="N58" s="23"/>
    </row>
    <row r="59" spans="1:14" ht="15.75" customHeight="1">
      <c r="A59" s="46">
        <v>15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111" t="s">
        <v>43</v>
      </c>
      <c r="C61" s="111"/>
      <c r="D61" s="111"/>
      <c r="E61" s="111"/>
      <c r="F61" s="111"/>
      <c r="G61" s="111"/>
      <c r="H61" s="111"/>
      <c r="I61" s="38"/>
      <c r="J61" s="25"/>
      <c r="L61" s="21"/>
      <c r="M61" s="22"/>
      <c r="N61" s="23"/>
    </row>
    <row r="62" spans="1:14" ht="15.75" customHeight="1">
      <c r="A62" s="46">
        <v>16</v>
      </c>
      <c r="B62" s="91" t="s">
        <v>98</v>
      </c>
      <c r="C62" s="92" t="s">
        <v>25</v>
      </c>
      <c r="D62" s="91" t="s">
        <v>149</v>
      </c>
      <c r="E62" s="93">
        <v>329.4</v>
      </c>
      <c r="F62" s="94">
        <v>2400</v>
      </c>
      <c r="G62" s="97">
        <v>1.2</v>
      </c>
      <c r="H62" s="95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hidden="1" customHeight="1">
      <c r="A64" s="46"/>
      <c r="B64" s="111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hidden="1" customHeight="1">
      <c r="A65" s="46">
        <v>19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8">SUM(F65*G65/1000)</f>
        <v>8.8960000000000008</v>
      </c>
      <c r="I65" s="14">
        <f>G65</f>
        <v>222.4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8"/>
        <v>1.14375</v>
      </c>
      <c r="I66" s="14">
        <v>0</v>
      </c>
      <c r="J66" s="25"/>
      <c r="L66" s="21"/>
      <c r="M66" s="22"/>
      <c r="N66" s="23"/>
    </row>
    <row r="67" spans="1:22" ht="15.75" hidden="1" customHeight="1">
      <c r="A67" s="31">
        <v>26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8"/>
        <v>52.290731999999998</v>
      </c>
      <c r="I67" s="14">
        <f>F67*G67</f>
        <v>52290.731999999996</v>
      </c>
      <c r="J67" s="25"/>
      <c r="L67" s="21"/>
      <c r="M67" s="22"/>
      <c r="N67" s="23"/>
    </row>
    <row r="68" spans="1:22" ht="15.75" hidden="1" customHeight="1">
      <c r="A68" s="31">
        <v>27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8"/>
        <v>4.0720960800000006</v>
      </c>
      <c r="I68" s="14">
        <f t="shared" ref="I68:I71" si="9">F68*G68</f>
        <v>4072.0960800000003</v>
      </c>
      <c r="J68" s="25"/>
      <c r="L68" s="21"/>
      <c r="M68" s="22"/>
      <c r="N68" s="23"/>
    </row>
    <row r="69" spans="1:22" ht="15.75" hidden="1" customHeight="1">
      <c r="A69" s="31">
        <v>28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8"/>
        <v>56.637399000000002</v>
      </c>
      <c r="I69" s="14">
        <f t="shared" si="9"/>
        <v>56637.399000000005</v>
      </c>
      <c r="J69" s="25"/>
      <c r="L69" s="21"/>
    </row>
    <row r="70" spans="1:22" ht="15.75" hidden="1" customHeight="1">
      <c r="A70" s="31">
        <v>29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8"/>
        <v>0.91908960000000006</v>
      </c>
      <c r="I70" s="14">
        <f t="shared" si="9"/>
        <v>919.08960000000002</v>
      </c>
    </row>
    <row r="71" spans="1:22" ht="15.75" hidden="1" customHeight="1">
      <c r="A71" s="31">
        <v>30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8"/>
        <v>0.85743840000000016</v>
      </c>
      <c r="I71" s="14">
        <f t="shared" si="9"/>
        <v>857.43840000000012</v>
      </c>
    </row>
    <row r="72" spans="1:22" ht="15.75" hidden="1" customHeight="1">
      <c r="A72" s="31">
        <v>21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8"/>
        <v>0.59856000000000009</v>
      </c>
      <c r="I72" s="14">
        <f>G72*12</f>
        <v>598.56000000000006</v>
      </c>
    </row>
    <row r="73" spans="1:22" ht="15.75" hidden="1" customHeight="1">
      <c r="A73" s="113"/>
      <c r="B73" s="111" t="s">
        <v>132</v>
      </c>
      <c r="C73" s="111"/>
      <c r="D73" s="111"/>
      <c r="E73" s="111"/>
      <c r="F73" s="111"/>
      <c r="G73" s="111"/>
      <c r="H73" s="111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1">
        <v>16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f>G74</f>
        <v>27356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176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17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18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113"/>
      <c r="B83" s="44" t="s">
        <v>80</v>
      </c>
      <c r="C83" s="46"/>
      <c r="D83" s="17"/>
      <c r="E83" s="17"/>
      <c r="F83" s="17"/>
      <c r="G83" s="20"/>
      <c r="H83" s="20"/>
      <c r="I83" s="33">
        <f>I82+I81+I62+I59+I44+I43+I42+I41+I40+I39+I27+I26+I24+I21+I20+I18+I17+I16</f>
        <v>61488.88791849999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17.25" customHeight="1">
      <c r="A85" s="31">
        <v>19</v>
      </c>
      <c r="B85" s="104" t="s">
        <v>183</v>
      </c>
      <c r="C85" s="105" t="s">
        <v>84</v>
      </c>
      <c r="D85" s="57"/>
      <c r="E85" s="14"/>
      <c r="F85" s="14">
        <v>7.0000000000000007E-2</v>
      </c>
      <c r="G85" s="39">
        <v>203.68</v>
      </c>
      <c r="H85" s="77">
        <f t="shared" ref="H85:H94" si="10">G85*F85/1000</f>
        <v>1.4257600000000002E-2</v>
      </c>
      <c r="I85" s="14">
        <f>G85*1</f>
        <v>203.68</v>
      </c>
    </row>
    <row r="86" spans="1:9" ht="15.75" customHeight="1">
      <c r="A86" s="31">
        <v>20</v>
      </c>
      <c r="B86" s="104" t="s">
        <v>325</v>
      </c>
      <c r="C86" s="105" t="s">
        <v>29</v>
      </c>
      <c r="D86" s="57"/>
      <c r="E86" s="39"/>
      <c r="F86" s="39">
        <v>1089</v>
      </c>
      <c r="G86" s="39">
        <v>18798.34</v>
      </c>
      <c r="H86" s="100">
        <f t="shared" si="10"/>
        <v>20471.392260000001</v>
      </c>
      <c r="I86" s="114">
        <f>G86*0.003198</f>
        <v>60.11709132</v>
      </c>
    </row>
    <row r="87" spans="1:9" ht="15.75" customHeight="1">
      <c r="A87" s="31">
        <v>21</v>
      </c>
      <c r="B87" s="144" t="s">
        <v>326</v>
      </c>
      <c r="C87" s="145" t="s">
        <v>128</v>
      </c>
      <c r="D87" s="57"/>
      <c r="E87" s="39"/>
      <c r="F87" s="39">
        <v>8</v>
      </c>
      <c r="G87" s="39">
        <v>324.01</v>
      </c>
      <c r="H87" s="100">
        <f t="shared" si="10"/>
        <v>2.5920799999999997</v>
      </c>
      <c r="I87" s="14">
        <f>G87*1</f>
        <v>324.01</v>
      </c>
    </row>
    <row r="88" spans="1:9" ht="15" customHeight="1">
      <c r="A88" s="31">
        <v>22</v>
      </c>
      <c r="B88" s="104" t="s">
        <v>34</v>
      </c>
      <c r="C88" s="105" t="s">
        <v>29</v>
      </c>
      <c r="D88" s="57"/>
      <c r="E88" s="39"/>
      <c r="F88" s="39">
        <v>27.5</v>
      </c>
      <c r="G88" s="39">
        <v>790.38</v>
      </c>
      <c r="H88" s="100">
        <f t="shared" si="10"/>
        <v>21.73545</v>
      </c>
      <c r="I88" s="14">
        <f>G88*0.004</f>
        <v>3.1615199999999999</v>
      </c>
    </row>
    <row r="89" spans="1:9" ht="28.5" customHeight="1">
      <c r="A89" s="31">
        <v>23</v>
      </c>
      <c r="B89" s="104" t="s">
        <v>283</v>
      </c>
      <c r="C89" s="105" t="s">
        <v>284</v>
      </c>
      <c r="D89" s="65"/>
      <c r="E89" s="39"/>
      <c r="F89" s="39">
        <v>7</v>
      </c>
      <c r="G89" s="39">
        <v>24829.08</v>
      </c>
      <c r="H89" s="100">
        <f>G89*F89/1000</f>
        <v>173.80356</v>
      </c>
      <c r="I89" s="14">
        <f>G89*0.02</f>
        <v>496.58160000000004</v>
      </c>
    </row>
    <row r="90" spans="1:9" ht="15.75" customHeight="1">
      <c r="A90" s="31">
        <v>24</v>
      </c>
      <c r="B90" s="104" t="s">
        <v>185</v>
      </c>
      <c r="C90" s="105" t="s">
        <v>186</v>
      </c>
      <c r="D90" s="57"/>
      <c r="E90" s="14"/>
      <c r="F90" s="14">
        <v>3</v>
      </c>
      <c r="G90" s="39">
        <v>134.12</v>
      </c>
      <c r="H90" s="77">
        <f t="shared" ref="H90" si="11">G90*F90/1000</f>
        <v>0.40236</v>
      </c>
      <c r="I90" s="14">
        <f>G90*16</f>
        <v>2145.92</v>
      </c>
    </row>
    <row r="91" spans="1:9" ht="16.5" customHeight="1">
      <c r="A91" s="31" t="s">
        <v>332</v>
      </c>
      <c r="B91" s="104" t="s">
        <v>104</v>
      </c>
      <c r="C91" s="105" t="s">
        <v>128</v>
      </c>
      <c r="D91" s="57"/>
      <c r="E91" s="14"/>
      <c r="F91" s="14">
        <v>44.5</v>
      </c>
      <c r="G91" s="14">
        <v>55.55</v>
      </c>
      <c r="H91" s="77">
        <f t="shared" si="10"/>
        <v>2.471975</v>
      </c>
      <c r="I91" s="14">
        <f>G91*1</f>
        <v>55.55</v>
      </c>
    </row>
    <row r="92" spans="1:9" ht="31.5" customHeight="1">
      <c r="A92" s="31">
        <v>26</v>
      </c>
      <c r="B92" s="62" t="s">
        <v>151</v>
      </c>
      <c r="C92" s="66" t="s">
        <v>37</v>
      </c>
      <c r="D92" s="65"/>
      <c r="E92" s="39"/>
      <c r="F92" s="39">
        <v>2</v>
      </c>
      <c r="G92" s="39">
        <v>3724.37</v>
      </c>
      <c r="H92" s="100">
        <f t="shared" si="10"/>
        <v>7.4487399999999999</v>
      </c>
      <c r="I92" s="14">
        <f>G92*0.01</f>
        <v>37.243699999999997</v>
      </c>
    </row>
    <row r="93" spans="1:9" ht="15.75" customHeight="1">
      <c r="A93" s="31">
        <v>27</v>
      </c>
      <c r="B93" s="104" t="s">
        <v>308</v>
      </c>
      <c r="C93" s="105" t="s">
        <v>309</v>
      </c>
      <c r="D93" s="42"/>
      <c r="E93" s="19"/>
      <c r="F93" s="39">
        <v>1</v>
      </c>
      <c r="G93" s="39">
        <v>689.92</v>
      </c>
      <c r="H93" s="100">
        <f t="shared" si="10"/>
        <v>0.68991999999999998</v>
      </c>
      <c r="I93" s="14">
        <f>G93*1</f>
        <v>689.92</v>
      </c>
    </row>
    <row r="94" spans="1:9" ht="15.75" customHeight="1">
      <c r="A94" s="31">
        <v>28</v>
      </c>
      <c r="B94" s="104" t="s">
        <v>327</v>
      </c>
      <c r="C94" s="105" t="s">
        <v>128</v>
      </c>
      <c r="D94" s="115"/>
      <c r="E94" s="20"/>
      <c r="F94" s="116">
        <v>1</v>
      </c>
      <c r="G94" s="39">
        <v>19.059999999999999</v>
      </c>
      <c r="H94" s="77">
        <f t="shared" si="10"/>
        <v>1.9059999999999997E-2</v>
      </c>
      <c r="I94" s="14">
        <f>G94*1</f>
        <v>19.059999999999999</v>
      </c>
    </row>
    <row r="95" spans="1:9" ht="30" customHeight="1">
      <c r="A95" s="31">
        <v>29</v>
      </c>
      <c r="B95" s="62" t="s">
        <v>79</v>
      </c>
      <c r="C95" s="66" t="s">
        <v>128</v>
      </c>
      <c r="D95" s="115"/>
      <c r="E95" s="20"/>
      <c r="F95" s="116"/>
      <c r="G95" s="39">
        <v>86.69</v>
      </c>
      <c r="H95" s="77"/>
      <c r="I95" s="14">
        <f>G95*1</f>
        <v>86.69</v>
      </c>
    </row>
    <row r="96" spans="1:9" ht="30" customHeight="1">
      <c r="A96" s="31">
        <v>30</v>
      </c>
      <c r="B96" s="104" t="s">
        <v>331</v>
      </c>
      <c r="C96" s="105" t="s">
        <v>128</v>
      </c>
      <c r="D96" s="115"/>
      <c r="E96" s="20"/>
      <c r="F96" s="116"/>
      <c r="G96" s="39">
        <v>864.9</v>
      </c>
      <c r="H96" s="77"/>
      <c r="I96" s="14">
        <f>G96*1</f>
        <v>864.9</v>
      </c>
    </row>
    <row r="97" spans="1:9" ht="16.5" customHeight="1">
      <c r="A97" s="31">
        <v>31</v>
      </c>
      <c r="B97" s="104" t="s">
        <v>300</v>
      </c>
      <c r="C97" s="105" t="s">
        <v>128</v>
      </c>
      <c r="D97" s="115"/>
      <c r="E97" s="20"/>
      <c r="F97" s="116"/>
      <c r="G97" s="39">
        <v>109.73</v>
      </c>
      <c r="H97" s="77"/>
      <c r="I97" s="14">
        <f>G97*2</f>
        <v>219.46</v>
      </c>
    </row>
    <row r="98" spans="1:9" ht="16.5" customHeight="1">
      <c r="A98" s="31">
        <v>32</v>
      </c>
      <c r="B98" s="104" t="s">
        <v>328</v>
      </c>
      <c r="C98" s="105" t="s">
        <v>128</v>
      </c>
      <c r="D98" s="115"/>
      <c r="E98" s="20"/>
      <c r="F98" s="116"/>
      <c r="G98" s="39">
        <v>15.58</v>
      </c>
      <c r="H98" s="77"/>
      <c r="I98" s="14">
        <f>G98*2</f>
        <v>31.16</v>
      </c>
    </row>
    <row r="99" spans="1:9" ht="16.5" customHeight="1">
      <c r="A99" s="31">
        <v>33</v>
      </c>
      <c r="B99" s="104" t="s">
        <v>329</v>
      </c>
      <c r="C99" s="105" t="s">
        <v>128</v>
      </c>
      <c r="D99" s="115"/>
      <c r="E99" s="20"/>
      <c r="F99" s="116"/>
      <c r="G99" s="39">
        <v>78.89</v>
      </c>
      <c r="H99" s="77"/>
      <c r="I99" s="14">
        <f>G99*1</f>
        <v>78.89</v>
      </c>
    </row>
    <row r="100" spans="1:9" ht="16.5" customHeight="1">
      <c r="A100" s="31">
        <v>34</v>
      </c>
      <c r="B100" s="104" t="s">
        <v>330</v>
      </c>
      <c r="C100" s="105" t="s">
        <v>128</v>
      </c>
      <c r="D100" s="115"/>
      <c r="E100" s="20"/>
      <c r="F100" s="116"/>
      <c r="G100" s="39">
        <v>53.17</v>
      </c>
      <c r="H100" s="77"/>
      <c r="I100" s="14">
        <f>G100*1</f>
        <v>53.17</v>
      </c>
    </row>
    <row r="101" spans="1:9" ht="15.75" customHeight="1">
      <c r="A101" s="31"/>
      <c r="B101" s="51" t="s">
        <v>51</v>
      </c>
      <c r="C101" s="47"/>
      <c r="D101" s="60"/>
      <c r="E101" s="60"/>
      <c r="F101" s="47">
        <v>1</v>
      </c>
      <c r="G101" s="47"/>
      <c r="H101" s="47"/>
      <c r="I101" s="33">
        <f>SUM(I85:I100)-I91</f>
        <v>5313.9639113200001</v>
      </c>
    </row>
    <row r="102" spans="1:9" ht="15.75" customHeight="1">
      <c r="A102" s="31"/>
      <c r="B102" s="57" t="s">
        <v>78</v>
      </c>
      <c r="C102" s="17"/>
      <c r="D102" s="17"/>
      <c r="E102" s="17"/>
      <c r="F102" s="48"/>
      <c r="G102" s="49"/>
      <c r="H102" s="49"/>
      <c r="I102" s="19">
        <v>0</v>
      </c>
    </row>
    <row r="103" spans="1:9" ht="15.75" customHeight="1">
      <c r="A103" s="61"/>
      <c r="B103" s="52" t="s">
        <v>162</v>
      </c>
      <c r="C103" s="37"/>
      <c r="D103" s="37"/>
      <c r="E103" s="37"/>
      <c r="F103" s="37"/>
      <c r="G103" s="37"/>
      <c r="H103" s="37"/>
      <c r="I103" s="50">
        <f>I83+I101</f>
        <v>66802.851829819992</v>
      </c>
    </row>
    <row r="104" spans="1:9" ht="15.75" customHeight="1">
      <c r="A104" s="166" t="s">
        <v>333</v>
      </c>
      <c r="B104" s="167"/>
      <c r="C104" s="167"/>
      <c r="D104" s="167"/>
      <c r="E104" s="167"/>
      <c r="F104" s="167"/>
      <c r="G104" s="167"/>
      <c r="H104" s="167"/>
      <c r="I104" s="167"/>
    </row>
    <row r="105" spans="1:9" ht="15.75" customHeight="1">
      <c r="A105" s="168" t="s">
        <v>334</v>
      </c>
      <c r="B105" s="168"/>
      <c r="C105" s="168"/>
      <c r="D105" s="168"/>
      <c r="E105" s="168"/>
      <c r="F105" s="168"/>
      <c r="G105" s="168"/>
      <c r="H105" s="168"/>
      <c r="I105" s="168"/>
    </row>
    <row r="106" spans="1:9" ht="15.75" customHeight="1">
      <c r="A106" s="76"/>
      <c r="B106" s="158" t="s">
        <v>335</v>
      </c>
      <c r="C106" s="158"/>
      <c r="D106" s="158"/>
      <c r="E106" s="158"/>
      <c r="F106" s="158"/>
      <c r="G106" s="158"/>
      <c r="H106" s="79"/>
      <c r="I106" s="3"/>
    </row>
    <row r="107" spans="1:9" ht="15.75" customHeight="1">
      <c r="A107" s="109"/>
      <c r="B107" s="154" t="s">
        <v>6</v>
      </c>
      <c r="C107" s="154"/>
      <c r="D107" s="154"/>
      <c r="E107" s="154"/>
      <c r="F107" s="154"/>
      <c r="G107" s="154"/>
      <c r="H107" s="26"/>
      <c r="I107" s="5"/>
    </row>
    <row r="108" spans="1:9" ht="15.75" customHeight="1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 customHeight="1">
      <c r="A109" s="159" t="s">
        <v>7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5.75" customHeight="1">
      <c r="A110" s="159" t="s">
        <v>8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5.75" customHeight="1">
      <c r="A111" s="160" t="s">
        <v>61</v>
      </c>
      <c r="B111" s="160"/>
      <c r="C111" s="160"/>
      <c r="D111" s="160"/>
      <c r="E111" s="160"/>
      <c r="F111" s="160"/>
      <c r="G111" s="160"/>
      <c r="H111" s="160"/>
      <c r="I111" s="160"/>
    </row>
    <row r="112" spans="1:9" ht="15.75" customHeight="1">
      <c r="A112" s="11"/>
    </row>
    <row r="113" spans="1:9" ht="15.75" customHeight="1">
      <c r="A113" s="161" t="s">
        <v>9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15.75" customHeight="1">
      <c r="A114" s="4"/>
    </row>
    <row r="115" spans="1:9" ht="15.75" customHeight="1">
      <c r="B115" s="110" t="s">
        <v>10</v>
      </c>
      <c r="C115" s="153" t="s">
        <v>92</v>
      </c>
      <c r="D115" s="153"/>
      <c r="E115" s="153"/>
      <c r="F115" s="153"/>
      <c r="I115" s="108"/>
    </row>
    <row r="116" spans="1:9" ht="15.75" customHeight="1">
      <c r="A116" s="109"/>
      <c r="C116" s="154" t="s">
        <v>11</v>
      </c>
      <c r="D116" s="154"/>
      <c r="E116" s="154"/>
      <c r="F116" s="154"/>
      <c r="I116" s="107" t="s">
        <v>12</v>
      </c>
    </row>
    <row r="117" spans="1:9" ht="15.75" customHeight="1">
      <c r="A117" s="27"/>
      <c r="C117" s="12"/>
      <c r="D117" s="12"/>
      <c r="E117" s="12"/>
      <c r="G117" s="12"/>
      <c r="H117" s="12"/>
    </row>
    <row r="118" spans="1:9" ht="15.75" customHeight="1">
      <c r="B118" s="110" t="s">
        <v>13</v>
      </c>
      <c r="C118" s="155"/>
      <c r="D118" s="155"/>
      <c r="E118" s="155"/>
      <c r="F118" s="155"/>
      <c r="I118" s="108"/>
    </row>
    <row r="119" spans="1:9" ht="15.75" customHeight="1">
      <c r="A119" s="109"/>
      <c r="C119" s="156" t="s">
        <v>11</v>
      </c>
      <c r="D119" s="156"/>
      <c r="E119" s="156"/>
      <c r="F119" s="156"/>
      <c r="I119" s="107" t="s">
        <v>12</v>
      </c>
    </row>
    <row r="120" spans="1:9" ht="15.75" customHeight="1">
      <c r="A120" s="4" t="s">
        <v>14</v>
      </c>
    </row>
    <row r="121" spans="1:9">
      <c r="A121" s="157" t="s">
        <v>15</v>
      </c>
      <c r="B121" s="157"/>
      <c r="C121" s="157"/>
      <c r="D121" s="157"/>
      <c r="E121" s="157"/>
      <c r="F121" s="157"/>
      <c r="G121" s="157"/>
      <c r="H121" s="157"/>
      <c r="I121" s="157"/>
    </row>
    <row r="122" spans="1:9" ht="45" customHeight="1">
      <c r="A122" s="146" t="s">
        <v>16</v>
      </c>
      <c r="B122" s="146"/>
      <c r="C122" s="146"/>
      <c r="D122" s="146"/>
      <c r="E122" s="146"/>
      <c r="F122" s="146"/>
      <c r="G122" s="146"/>
      <c r="H122" s="146"/>
      <c r="I122" s="146"/>
    </row>
    <row r="123" spans="1:9" ht="30" customHeight="1">
      <c r="A123" s="146" t="s">
        <v>17</v>
      </c>
      <c r="B123" s="146"/>
      <c r="C123" s="146"/>
      <c r="D123" s="146"/>
      <c r="E123" s="146"/>
      <c r="F123" s="146"/>
      <c r="G123" s="146"/>
      <c r="H123" s="146"/>
      <c r="I123" s="146"/>
    </row>
    <row r="124" spans="1:9" ht="30" customHeight="1">
      <c r="A124" s="146" t="s">
        <v>21</v>
      </c>
      <c r="B124" s="146"/>
      <c r="C124" s="146"/>
      <c r="D124" s="146"/>
      <c r="E124" s="146"/>
      <c r="F124" s="146"/>
      <c r="G124" s="146"/>
      <c r="H124" s="146"/>
      <c r="I124" s="146"/>
    </row>
    <row r="125" spans="1:9" ht="15" customHeight="1">
      <c r="A125" s="146" t="s">
        <v>20</v>
      </c>
      <c r="B125" s="146"/>
      <c r="C125" s="146"/>
      <c r="D125" s="146"/>
      <c r="E125" s="146"/>
      <c r="F125" s="146"/>
      <c r="G125" s="146"/>
      <c r="H125" s="146"/>
      <c r="I125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19:F119"/>
    <mergeCell ref="A84:I84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80:I80"/>
    <mergeCell ref="A104:I104"/>
    <mergeCell ref="A121:I121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  <ignoredErrors>
    <ignoredError sqref="I92 I86 I2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32"/>
  <sheetViews>
    <sheetView tabSelected="1" topLeftCell="A98" workbookViewId="0">
      <selection activeCell="K113" sqref="K113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244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180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336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112"/>
      <c r="C6" s="112"/>
      <c r="D6" s="112"/>
      <c r="E6" s="112"/>
      <c r="F6" s="112"/>
      <c r="G6" s="112"/>
      <c r="H6" s="112"/>
      <c r="I6" s="32">
        <v>43465</v>
      </c>
      <c r="J6" s="2"/>
      <c r="K6" s="2"/>
      <c r="L6" s="2"/>
      <c r="M6" s="2"/>
    </row>
    <row r="7" spans="1:13" ht="15.75" customHeight="1">
      <c r="B7" s="110"/>
      <c r="C7" s="110"/>
      <c r="D7" s="110"/>
      <c r="E7" s="11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246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>
        <v>4</v>
      </c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f>F19/2*G19</f>
        <v>326.7072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>
        <v>7</v>
      </c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f>F22*G22</f>
        <v>2215.2558719999997</v>
      </c>
      <c r="J22" s="24"/>
      <c r="K22" s="8"/>
      <c r="L22" s="8"/>
      <c r="M22" s="8"/>
    </row>
    <row r="23" spans="1:13" ht="15.75" hidden="1" customHeight="1">
      <c r="A23" s="31">
        <v>8</v>
      </c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f>F23*G23</f>
        <v>42.784140000000001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31">
        <v>10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f>F25*G25</f>
        <v>82.125600000000006</v>
      </c>
      <c r="J25" s="24"/>
      <c r="K25" s="8"/>
      <c r="L25" s="8"/>
      <c r="M25" s="8"/>
    </row>
    <row r="26" spans="1:13" ht="15.75" customHeight="1">
      <c r="A26" s="31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31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hidden="1" customHeight="1">
      <c r="A28" s="31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hidden="1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hidden="1" customHeight="1">
      <c r="A31" s="46">
        <v>10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f>F31/6*G31</f>
        <v>1845.7999560000003</v>
      </c>
      <c r="J31" s="24"/>
      <c r="K31" s="8"/>
      <c r="L31" s="8"/>
      <c r="M31" s="8"/>
    </row>
    <row r="32" spans="1:13" ht="31.5" hidden="1" customHeight="1">
      <c r="A32" s="46">
        <v>11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f t="shared" ref="I32:I35" si="2">F32/6*G32</f>
        <v>1841.9757915000002</v>
      </c>
      <c r="J32" s="24"/>
      <c r="K32" s="8"/>
      <c r="L32" s="8"/>
      <c r="M32" s="8"/>
    </row>
    <row r="33" spans="1:14" ht="15.75" hidden="1" customHeight="1">
      <c r="A33" s="46">
        <v>16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f>F33*G33</f>
        <v>8252.7496919999994</v>
      </c>
      <c r="J33" s="24"/>
      <c r="K33" s="8"/>
      <c r="L33" s="8"/>
      <c r="M33" s="8"/>
    </row>
    <row r="34" spans="1:14" ht="15.75" hidden="1" customHeight="1">
      <c r="A34" s="46">
        <v>12</v>
      </c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f t="shared" si="2"/>
        <v>2690.8413333333338</v>
      </c>
      <c r="J34" s="24"/>
      <c r="K34" s="8"/>
      <c r="L34" s="8"/>
      <c r="M34" s="8"/>
    </row>
    <row r="35" spans="1:14" ht="15.75" hidden="1" customHeight="1">
      <c r="A35" s="46">
        <v>13</v>
      </c>
      <c r="B35" s="80" t="s">
        <v>122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f t="shared" si="2"/>
        <v>1464.4916666666666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3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4">
        <v>0</v>
      </c>
      <c r="J37" s="25"/>
    </row>
    <row r="38" spans="1:14" ht="15.75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customHeight="1">
      <c r="A39" s="36">
        <v>9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2" si="4">F39/6*G39</f>
        <v>3818.05</v>
      </c>
      <c r="J39" s="25"/>
    </row>
    <row r="40" spans="1:14" ht="15.75" customHeight="1">
      <c r="A40" s="36">
        <v>10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5">SUM(F40*G40/1000)</f>
        <v>57.598483674999997</v>
      </c>
      <c r="I40" s="14">
        <f t="shared" si="4"/>
        <v>9599.747279166666</v>
      </c>
      <c r="J40" s="25"/>
    </row>
    <row r="41" spans="1:14" ht="15.75" customHeight="1">
      <c r="A41" s="36">
        <v>11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5"/>
        <v>7.611275</v>
      </c>
      <c r="I41" s="14">
        <f t="shared" si="4"/>
        <v>1268.5458333333333</v>
      </c>
      <c r="J41" s="25"/>
    </row>
    <row r="42" spans="1:14" ht="31.5" customHeight="1">
      <c r="A42" s="36">
        <v>12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5"/>
        <v>9.7495103999999984</v>
      </c>
      <c r="I42" s="14">
        <f t="shared" si="4"/>
        <v>1624.9183999999998</v>
      </c>
      <c r="J42" s="25"/>
    </row>
    <row r="43" spans="1:14" ht="15.75" customHeight="1">
      <c r="A43" s="36">
        <v>13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5"/>
        <v>2.7008100000000002</v>
      </c>
      <c r="I43" s="14">
        <f>F43/7.5*1.5*G43</f>
        <v>540.16200000000003</v>
      </c>
      <c r="J43" s="25"/>
    </row>
    <row r="44" spans="1:14" ht="15.75" customHeight="1">
      <c r="A44" s="36">
        <v>14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5"/>
        <v>0.71820000000000006</v>
      </c>
      <c r="I44" s="14">
        <f>F44/7.5*1.5*G44</f>
        <v>143.64000000000001</v>
      </c>
      <c r="J44" s="25"/>
      <c r="L44" s="21"/>
      <c r="M44" s="22"/>
      <c r="N44" s="23"/>
    </row>
    <row r="45" spans="1:14" ht="15.75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15.75" hidden="1" customHeight="1">
      <c r="A46" s="46">
        <v>14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6">SUM(F46*G46/1000)</f>
        <v>2.7870067920000001</v>
      </c>
      <c r="I46" s="14">
        <f t="shared" ref="I46:I48" si="7">F46/2*G46</f>
        <v>1393.5033960000001</v>
      </c>
      <c r="J46" s="25"/>
      <c r="L46" s="21"/>
      <c r="M46" s="22"/>
      <c r="N46" s="23"/>
    </row>
    <row r="47" spans="1:14" ht="15.75" hidden="1" customHeight="1">
      <c r="A47" s="46">
        <v>15</v>
      </c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6"/>
        <v>1.06421502</v>
      </c>
      <c r="I47" s="14">
        <f t="shared" si="7"/>
        <v>532.10751000000005</v>
      </c>
      <c r="J47" s="25"/>
      <c r="L47" s="21"/>
      <c r="M47" s="22"/>
      <c r="N47" s="23"/>
    </row>
    <row r="48" spans="1:14" ht="15.75" hidden="1" customHeight="1">
      <c r="A48" s="46">
        <v>16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6"/>
        <v>6.4812056496000006</v>
      </c>
      <c r="I48" s="14">
        <f t="shared" si="7"/>
        <v>3240.6028248000002</v>
      </c>
      <c r="J48" s="25"/>
      <c r="L48" s="21"/>
      <c r="M48" s="22"/>
      <c r="N48" s="23"/>
    </row>
    <row r="49" spans="1:14" ht="15.75" hidden="1" customHeight="1">
      <c r="A49" s="46">
        <v>17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6"/>
        <v>3.4193309809999999</v>
      </c>
      <c r="I49" s="14">
        <f>F49/2*G49</f>
        <v>1709.6654905</v>
      </c>
      <c r="J49" s="25"/>
      <c r="L49" s="21"/>
      <c r="M49" s="22"/>
      <c r="N49" s="23"/>
    </row>
    <row r="50" spans="1:14" ht="15.75" customHeight="1">
      <c r="A50" s="46">
        <v>15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6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14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6"/>
        <v>7.9628296799999996</v>
      </c>
      <c r="I51" s="14">
        <f>F51/2*G51</f>
        <v>3981.4148399999999</v>
      </c>
      <c r="J51" s="25"/>
      <c r="L51" s="21"/>
      <c r="M51" s="22"/>
      <c r="N51" s="23"/>
    </row>
    <row r="52" spans="1:14" ht="31.5" hidden="1" customHeight="1">
      <c r="A52" s="46">
        <v>15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6"/>
        <v>2.1843919999999999</v>
      </c>
      <c r="I52" s="14">
        <f>F52/2*G52</f>
        <v>1092.1959999999999</v>
      </c>
      <c r="J52" s="25"/>
      <c r="L52" s="21"/>
      <c r="M52" s="22"/>
      <c r="N52" s="23"/>
    </row>
    <row r="53" spans="1:14" ht="15.75" hidden="1" customHeight="1">
      <c r="A53" s="46">
        <v>16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6"/>
        <v>0.11304260000000001</v>
      </c>
      <c r="I53" s="14">
        <f>F53/2*G53</f>
        <v>56.521300000000004</v>
      </c>
      <c r="J53" s="25"/>
      <c r="L53" s="21"/>
      <c r="M53" s="22"/>
      <c r="N53" s="23"/>
    </row>
    <row r="54" spans="1:14" ht="15.75" hidden="1" customHeight="1">
      <c r="A54" s="46">
        <v>17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6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158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customHeight="1">
      <c r="A56" s="113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hidden="1" customHeight="1">
      <c r="A58" s="46">
        <v>17</v>
      </c>
      <c r="B58" s="80" t="s">
        <v>146</v>
      </c>
      <c r="C58" s="69" t="s">
        <v>110</v>
      </c>
      <c r="D58" s="80" t="s">
        <v>147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F58/6*G58</f>
        <v>2538.1581119999996</v>
      </c>
      <c r="J58" s="25"/>
      <c r="L58" s="21"/>
      <c r="M58" s="22"/>
      <c r="N58" s="23"/>
    </row>
    <row r="59" spans="1:14" ht="15.75" customHeight="1">
      <c r="A59" s="46">
        <v>16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111" t="s">
        <v>43</v>
      </c>
      <c r="C61" s="111"/>
      <c r="D61" s="111"/>
      <c r="E61" s="111"/>
      <c r="F61" s="111"/>
      <c r="G61" s="111"/>
      <c r="H61" s="111"/>
      <c r="I61" s="38"/>
      <c r="J61" s="25"/>
      <c r="L61" s="21"/>
      <c r="M61" s="22"/>
      <c r="N61" s="23"/>
    </row>
    <row r="62" spans="1:14" ht="15.75" customHeight="1">
      <c r="A62" s="46">
        <v>17</v>
      </c>
      <c r="B62" s="91" t="s">
        <v>98</v>
      </c>
      <c r="C62" s="92" t="s">
        <v>25</v>
      </c>
      <c r="D62" s="91" t="s">
        <v>149</v>
      </c>
      <c r="E62" s="93">
        <v>329.4</v>
      </c>
      <c r="F62" s="94">
        <v>2400</v>
      </c>
      <c r="G62" s="97">
        <v>1.2</v>
      </c>
      <c r="H62" s="95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customHeight="1">
      <c r="A64" s="46"/>
      <c r="B64" s="111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customHeight="1">
      <c r="A65" s="46">
        <v>18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8">SUM(F65*G65/1000)</f>
        <v>8.8960000000000008</v>
      </c>
      <c r="I65" s="14">
        <f>G65*5</f>
        <v>1112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8"/>
        <v>1.14375</v>
      </c>
      <c r="I66" s="14">
        <v>0</v>
      </c>
      <c r="J66" s="25"/>
      <c r="L66" s="21"/>
      <c r="M66" s="22"/>
      <c r="N66" s="23"/>
    </row>
    <row r="67" spans="1:22" ht="15.75" hidden="1" customHeight="1">
      <c r="A67" s="31">
        <v>26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8"/>
        <v>52.290731999999998</v>
      </c>
      <c r="I67" s="14">
        <f>F67*G67</f>
        <v>52290.731999999996</v>
      </c>
      <c r="J67" s="25"/>
      <c r="L67" s="21"/>
      <c r="M67" s="22"/>
      <c r="N67" s="23"/>
    </row>
    <row r="68" spans="1:22" ht="15.75" hidden="1" customHeight="1">
      <c r="A68" s="31">
        <v>27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8"/>
        <v>4.0720960800000006</v>
      </c>
      <c r="I68" s="14">
        <f t="shared" ref="I68:I71" si="9">F68*G68</f>
        <v>4072.0960800000003</v>
      </c>
      <c r="J68" s="25"/>
      <c r="L68" s="21"/>
      <c r="M68" s="22"/>
      <c r="N68" s="23"/>
    </row>
    <row r="69" spans="1:22" ht="15.75" hidden="1" customHeight="1">
      <c r="A69" s="31">
        <v>28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8"/>
        <v>56.637399000000002</v>
      </c>
      <c r="I69" s="14">
        <f t="shared" si="9"/>
        <v>56637.399000000005</v>
      </c>
      <c r="J69" s="25"/>
      <c r="L69" s="21"/>
    </row>
    <row r="70" spans="1:22" ht="15.75" hidden="1" customHeight="1">
      <c r="A70" s="31">
        <v>29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8"/>
        <v>0.91908960000000006</v>
      </c>
      <c r="I70" s="14">
        <f t="shared" si="9"/>
        <v>919.08960000000002</v>
      </c>
    </row>
    <row r="71" spans="1:22" ht="15.75" hidden="1" customHeight="1">
      <c r="A71" s="31">
        <v>30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8"/>
        <v>0.85743840000000016</v>
      </c>
      <c r="I71" s="14">
        <f t="shared" si="9"/>
        <v>857.43840000000012</v>
      </c>
    </row>
    <row r="72" spans="1:22" ht="15.75" hidden="1" customHeight="1">
      <c r="A72" s="31">
        <v>21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8"/>
        <v>0.59856000000000009</v>
      </c>
      <c r="I72" s="14">
        <f>G72*12</f>
        <v>598.56000000000006</v>
      </c>
    </row>
    <row r="73" spans="1:22" ht="15.75" hidden="1" customHeight="1">
      <c r="A73" s="113"/>
      <c r="B73" s="111" t="s">
        <v>132</v>
      </c>
      <c r="C73" s="111"/>
      <c r="D73" s="111"/>
      <c r="E73" s="111"/>
      <c r="F73" s="111"/>
      <c r="G73" s="111"/>
      <c r="H73" s="111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1">
        <v>16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f>G74</f>
        <v>27356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159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19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20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113"/>
      <c r="B83" s="44" t="s">
        <v>80</v>
      </c>
      <c r="C83" s="46"/>
      <c r="D83" s="17"/>
      <c r="E83" s="17"/>
      <c r="F83" s="17"/>
      <c r="G83" s="20"/>
      <c r="H83" s="20"/>
      <c r="I83" s="33">
        <f>I82+I81+I65+I62+I59+I50+I44+I43+I42+I41+I40+I39+I27+I26+I24+I21+I20+I18+I17+I16</f>
        <v>66810.236758500003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17.25" customHeight="1">
      <c r="A85" s="31">
        <v>21</v>
      </c>
      <c r="B85" s="104" t="s">
        <v>109</v>
      </c>
      <c r="C85" s="105" t="s">
        <v>128</v>
      </c>
      <c r="D85" s="57"/>
      <c r="E85" s="14"/>
      <c r="F85" s="14">
        <v>7.0000000000000007E-2</v>
      </c>
      <c r="G85" s="39">
        <v>89.59</v>
      </c>
      <c r="H85" s="77">
        <f t="shared" ref="H85:H91" si="10">G85*F85/1000</f>
        <v>6.2713000000000014E-3</v>
      </c>
      <c r="I85" s="14">
        <f>G85*2</f>
        <v>179.18</v>
      </c>
    </row>
    <row r="86" spans="1:9" ht="31.5" customHeight="1">
      <c r="A86" s="31">
        <v>22</v>
      </c>
      <c r="B86" s="104" t="s">
        <v>325</v>
      </c>
      <c r="C86" s="105" t="s">
        <v>29</v>
      </c>
      <c r="D86" s="57"/>
      <c r="E86" s="39"/>
      <c r="F86" s="39">
        <v>1089</v>
      </c>
      <c r="G86" s="39">
        <v>18798.34</v>
      </c>
      <c r="H86" s="100">
        <f t="shared" si="10"/>
        <v>20471.392260000001</v>
      </c>
      <c r="I86" s="114">
        <f>G86*((2+0.599*5)/1000)</f>
        <v>93.897708300000005</v>
      </c>
    </row>
    <row r="87" spans="1:9" ht="30" customHeight="1">
      <c r="A87" s="31">
        <v>23</v>
      </c>
      <c r="B87" s="62" t="s">
        <v>91</v>
      </c>
      <c r="C87" s="66" t="s">
        <v>94</v>
      </c>
      <c r="D87" s="65"/>
      <c r="E87" s="39"/>
      <c r="F87" s="39">
        <v>7</v>
      </c>
      <c r="G87" s="39">
        <v>613.44000000000005</v>
      </c>
      <c r="H87" s="100">
        <f>G87*F87/1000</f>
        <v>4.2940800000000001</v>
      </c>
      <c r="I87" s="14">
        <f>G87*1</f>
        <v>613.44000000000005</v>
      </c>
    </row>
    <row r="88" spans="1:9" ht="15.75" customHeight="1">
      <c r="A88" s="31">
        <v>24</v>
      </c>
      <c r="B88" s="104" t="s">
        <v>310</v>
      </c>
      <c r="C88" s="105" t="s">
        <v>311</v>
      </c>
      <c r="D88" s="57"/>
      <c r="E88" s="39"/>
      <c r="F88" s="39">
        <v>9</v>
      </c>
      <c r="G88" s="39">
        <v>684.19</v>
      </c>
      <c r="H88" s="100">
        <f>G88*F88/1000</f>
        <v>6.1577100000000007</v>
      </c>
      <c r="I88" s="14">
        <f>G88*0.1</f>
        <v>68.419000000000011</v>
      </c>
    </row>
    <row r="89" spans="1:9" ht="29.25" customHeight="1">
      <c r="A89" s="31">
        <v>25</v>
      </c>
      <c r="B89" s="119" t="s">
        <v>235</v>
      </c>
      <c r="C89" s="46" t="s">
        <v>236</v>
      </c>
      <c r="D89" s="65"/>
      <c r="E89" s="39"/>
      <c r="F89" s="39">
        <f>110/3</f>
        <v>36.666666666666664</v>
      </c>
      <c r="G89" s="39">
        <v>326.66000000000003</v>
      </c>
      <c r="H89" s="100">
        <f>G89*F89/1000</f>
        <v>11.977533333333334</v>
      </c>
      <c r="I89" s="14">
        <f>G89*0.2</f>
        <v>65.332000000000008</v>
      </c>
    </row>
    <row r="90" spans="1:9" ht="15.75" customHeight="1">
      <c r="A90" s="31">
        <v>26</v>
      </c>
      <c r="B90" s="119" t="s">
        <v>238</v>
      </c>
      <c r="C90" s="46" t="s">
        <v>239</v>
      </c>
      <c r="D90" s="65"/>
      <c r="E90" s="39"/>
      <c r="F90" s="34">
        <v>14</v>
      </c>
      <c r="G90" s="39">
        <v>45</v>
      </c>
      <c r="H90" s="100">
        <f>G90*F90/1000</f>
        <v>0.63</v>
      </c>
      <c r="I90" s="14">
        <f>G90*50</f>
        <v>2250</v>
      </c>
    </row>
    <row r="91" spans="1:9" ht="16.5" customHeight="1">
      <c r="A91" s="31" t="s">
        <v>320</v>
      </c>
      <c r="B91" s="104" t="s">
        <v>104</v>
      </c>
      <c r="C91" s="105" t="s">
        <v>128</v>
      </c>
      <c r="D91" s="57"/>
      <c r="E91" s="14"/>
      <c r="F91" s="14">
        <v>44.5</v>
      </c>
      <c r="G91" s="14">
        <v>55.55</v>
      </c>
      <c r="H91" s="77">
        <f t="shared" si="10"/>
        <v>2.471975</v>
      </c>
      <c r="I91" s="14">
        <f>G91*2</f>
        <v>111.1</v>
      </c>
    </row>
    <row r="92" spans="1:9" ht="30.75" customHeight="1">
      <c r="A92" s="31">
        <v>28</v>
      </c>
      <c r="B92" s="140" t="s">
        <v>224</v>
      </c>
      <c r="C92" s="141" t="s">
        <v>128</v>
      </c>
      <c r="D92" s="57"/>
      <c r="E92" s="14"/>
      <c r="F92" s="14"/>
      <c r="G92" s="39">
        <v>2012.33</v>
      </c>
      <c r="H92" s="77"/>
      <c r="I92" s="14">
        <f>G92*1</f>
        <v>2012.33</v>
      </c>
    </row>
    <row r="93" spans="1:9" ht="16.5" customHeight="1">
      <c r="A93" s="31">
        <v>29</v>
      </c>
      <c r="B93" s="62" t="s">
        <v>167</v>
      </c>
      <c r="C93" s="68" t="s">
        <v>168</v>
      </c>
      <c r="D93" s="57"/>
      <c r="E93" s="14"/>
      <c r="F93" s="14"/>
      <c r="G93" s="39">
        <v>300.61</v>
      </c>
      <c r="H93" s="77"/>
      <c r="I93" s="14">
        <f>G93*1</f>
        <v>300.61</v>
      </c>
    </row>
    <row r="94" spans="1:9" ht="34.5" customHeight="1">
      <c r="A94" s="31">
        <v>30</v>
      </c>
      <c r="B94" s="62" t="s">
        <v>154</v>
      </c>
      <c r="C94" s="66" t="s">
        <v>81</v>
      </c>
      <c r="D94" s="57"/>
      <c r="E94" s="14"/>
      <c r="F94" s="14"/>
      <c r="G94" s="39">
        <v>1272</v>
      </c>
      <c r="H94" s="77"/>
      <c r="I94" s="14">
        <f>G94*1</f>
        <v>1272</v>
      </c>
    </row>
    <row r="95" spans="1:9" ht="30" customHeight="1">
      <c r="A95" s="31">
        <v>31</v>
      </c>
      <c r="B95" s="62" t="s">
        <v>227</v>
      </c>
      <c r="C95" s="66" t="s">
        <v>81</v>
      </c>
      <c r="D95" s="57"/>
      <c r="E95" s="14"/>
      <c r="F95" s="14"/>
      <c r="G95" s="39">
        <v>1146</v>
      </c>
      <c r="H95" s="77"/>
      <c r="I95" s="14">
        <f>G95*4</f>
        <v>4584</v>
      </c>
    </row>
    <row r="96" spans="1:9" ht="16.5" customHeight="1">
      <c r="A96" s="31">
        <v>32</v>
      </c>
      <c r="B96" s="62" t="s">
        <v>228</v>
      </c>
      <c r="C96" s="66" t="s">
        <v>128</v>
      </c>
      <c r="D96" s="57"/>
      <c r="E96" s="14"/>
      <c r="F96" s="14"/>
      <c r="G96" s="39">
        <v>151.31</v>
      </c>
      <c r="H96" s="77"/>
      <c r="I96" s="14">
        <f>G96*1</f>
        <v>151.31</v>
      </c>
    </row>
    <row r="97" spans="1:9" ht="16.5" customHeight="1">
      <c r="A97" s="31">
        <v>33</v>
      </c>
      <c r="B97" s="62" t="s">
        <v>249</v>
      </c>
      <c r="C97" s="66" t="s">
        <v>128</v>
      </c>
      <c r="D97" s="57"/>
      <c r="E97" s="14"/>
      <c r="F97" s="14"/>
      <c r="G97" s="39">
        <v>169.24</v>
      </c>
      <c r="H97" s="77"/>
      <c r="I97" s="14">
        <f>G97*1</f>
        <v>169.24</v>
      </c>
    </row>
    <row r="98" spans="1:9" ht="16.5" customHeight="1">
      <c r="A98" s="31">
        <v>34</v>
      </c>
      <c r="B98" s="62" t="s">
        <v>230</v>
      </c>
      <c r="C98" s="66" t="s">
        <v>128</v>
      </c>
      <c r="D98" s="57"/>
      <c r="E98" s="14"/>
      <c r="F98" s="14"/>
      <c r="G98" s="39">
        <v>5.43</v>
      </c>
      <c r="H98" s="77"/>
      <c r="I98" s="14">
        <f>G98*1</f>
        <v>5.43</v>
      </c>
    </row>
    <row r="99" spans="1:9" ht="16.5" customHeight="1">
      <c r="A99" s="31">
        <v>35</v>
      </c>
      <c r="B99" s="62" t="s">
        <v>271</v>
      </c>
      <c r="C99" s="66" t="s">
        <v>128</v>
      </c>
      <c r="D99" s="57"/>
      <c r="E99" s="14"/>
      <c r="F99" s="14"/>
      <c r="G99" s="39">
        <v>6.2</v>
      </c>
      <c r="H99" s="77"/>
      <c r="I99" s="14">
        <f>G99*1</f>
        <v>6.2</v>
      </c>
    </row>
    <row r="100" spans="1:9" ht="16.5" customHeight="1">
      <c r="A100" s="31">
        <v>36</v>
      </c>
      <c r="B100" s="62" t="s">
        <v>272</v>
      </c>
      <c r="C100" s="66" t="s">
        <v>128</v>
      </c>
      <c r="D100" s="57"/>
      <c r="E100" s="14"/>
      <c r="F100" s="14"/>
      <c r="G100" s="39">
        <v>12.8</v>
      </c>
      <c r="H100" s="77"/>
      <c r="I100" s="14">
        <f>G100*2</f>
        <v>25.6</v>
      </c>
    </row>
    <row r="101" spans="1:9" ht="16.5" customHeight="1">
      <c r="A101" s="31">
        <v>37</v>
      </c>
      <c r="B101" s="62" t="s">
        <v>274</v>
      </c>
      <c r="C101" s="66" t="s">
        <v>128</v>
      </c>
      <c r="D101" s="57"/>
      <c r="E101" s="14"/>
      <c r="F101" s="14"/>
      <c r="G101" s="39">
        <v>5.42</v>
      </c>
      <c r="H101" s="77"/>
      <c r="I101" s="14">
        <f>G101*10</f>
        <v>54.2</v>
      </c>
    </row>
    <row r="102" spans="1:9" ht="16.5" customHeight="1">
      <c r="A102" s="31">
        <v>38</v>
      </c>
      <c r="B102" s="62" t="s">
        <v>337</v>
      </c>
      <c r="C102" s="66" t="s">
        <v>128</v>
      </c>
      <c r="D102" s="57"/>
      <c r="E102" s="14"/>
      <c r="F102" s="14"/>
      <c r="G102" s="39">
        <v>149.65</v>
      </c>
      <c r="H102" s="77"/>
      <c r="I102" s="14">
        <f>G102*1</f>
        <v>149.65</v>
      </c>
    </row>
    <row r="103" spans="1:9" ht="30.75" customHeight="1">
      <c r="A103" s="31">
        <v>39</v>
      </c>
      <c r="B103" s="104" t="s">
        <v>299</v>
      </c>
      <c r="C103" s="105" t="s">
        <v>128</v>
      </c>
      <c r="D103" s="57"/>
      <c r="E103" s="14"/>
      <c r="F103" s="14"/>
      <c r="G103" s="39">
        <v>864.9</v>
      </c>
      <c r="H103" s="77"/>
      <c r="I103" s="14">
        <f>G103*1</f>
        <v>864.9</v>
      </c>
    </row>
    <row r="104" spans="1:9" ht="16.5" customHeight="1">
      <c r="A104" s="31">
        <v>40</v>
      </c>
      <c r="B104" s="104" t="s">
        <v>301</v>
      </c>
      <c r="C104" s="105" t="s">
        <v>128</v>
      </c>
      <c r="D104" s="57"/>
      <c r="E104" s="14"/>
      <c r="F104" s="14"/>
      <c r="G104" s="39">
        <v>48.69</v>
      </c>
      <c r="H104" s="77"/>
      <c r="I104" s="14">
        <f>G104*1</f>
        <v>48.69</v>
      </c>
    </row>
    <row r="105" spans="1:9" ht="16.5" customHeight="1">
      <c r="A105" s="31">
        <v>41</v>
      </c>
      <c r="B105" s="104" t="s">
        <v>329</v>
      </c>
      <c r="C105" s="105" t="s">
        <v>128</v>
      </c>
      <c r="D105" s="57"/>
      <c r="E105" s="14"/>
      <c r="F105" s="14"/>
      <c r="G105" s="39">
        <v>78.89</v>
      </c>
      <c r="H105" s="77"/>
      <c r="I105" s="14">
        <f>G105*2</f>
        <v>157.78</v>
      </c>
    </row>
    <row r="106" spans="1:9" ht="16.5" customHeight="1">
      <c r="A106" s="31">
        <v>42</v>
      </c>
      <c r="B106" s="104" t="s">
        <v>330</v>
      </c>
      <c r="C106" s="105" t="s">
        <v>128</v>
      </c>
      <c r="D106" s="57"/>
      <c r="E106" s="14"/>
      <c r="F106" s="14"/>
      <c r="G106" s="39">
        <v>53.17</v>
      </c>
      <c r="H106" s="77"/>
      <c r="I106" s="14">
        <f>G106*1</f>
        <v>53.17</v>
      </c>
    </row>
    <row r="107" spans="1:9" ht="16.5" customHeight="1">
      <c r="A107" s="31">
        <v>43</v>
      </c>
      <c r="B107" s="104" t="s">
        <v>338</v>
      </c>
      <c r="C107" s="105" t="s">
        <v>128</v>
      </c>
      <c r="D107" s="57"/>
      <c r="E107" s="14"/>
      <c r="F107" s="14"/>
      <c r="G107" s="39">
        <v>12.91</v>
      </c>
      <c r="H107" s="77"/>
      <c r="I107" s="14">
        <f>G107*1</f>
        <v>12.91</v>
      </c>
    </row>
    <row r="108" spans="1:9" ht="15.75" customHeight="1">
      <c r="A108" s="31"/>
      <c r="B108" s="51" t="s">
        <v>51</v>
      </c>
      <c r="C108" s="47"/>
      <c r="D108" s="60"/>
      <c r="E108" s="60"/>
      <c r="F108" s="47">
        <v>1</v>
      </c>
      <c r="G108" s="47"/>
      <c r="H108" s="47"/>
      <c r="I108" s="33">
        <f>SUM(I85:I107)-I91</f>
        <v>13138.288708300001</v>
      </c>
    </row>
    <row r="109" spans="1:9" ht="15.75" customHeight="1">
      <c r="A109" s="31"/>
      <c r="B109" s="57" t="s">
        <v>78</v>
      </c>
      <c r="C109" s="17"/>
      <c r="D109" s="17"/>
      <c r="E109" s="17"/>
      <c r="F109" s="48"/>
      <c r="G109" s="49"/>
      <c r="H109" s="49"/>
      <c r="I109" s="19">
        <v>0</v>
      </c>
    </row>
    <row r="110" spans="1:9" ht="15.75" customHeight="1">
      <c r="A110" s="61"/>
      <c r="B110" s="52" t="s">
        <v>162</v>
      </c>
      <c r="C110" s="37"/>
      <c r="D110" s="37"/>
      <c r="E110" s="37"/>
      <c r="F110" s="37"/>
      <c r="G110" s="37"/>
      <c r="H110" s="37"/>
      <c r="I110" s="50">
        <f>I83+I108</f>
        <v>79948.525466799998</v>
      </c>
    </row>
    <row r="111" spans="1:9" ht="15.75" customHeight="1">
      <c r="A111" s="166" t="s">
        <v>321</v>
      </c>
      <c r="B111" s="167"/>
      <c r="C111" s="167"/>
      <c r="D111" s="167"/>
      <c r="E111" s="167"/>
      <c r="F111" s="167"/>
      <c r="G111" s="167"/>
      <c r="H111" s="167"/>
      <c r="I111" s="167"/>
    </row>
    <row r="112" spans="1:9" ht="15.75" customHeight="1">
      <c r="A112" s="168" t="s">
        <v>339</v>
      </c>
      <c r="B112" s="168"/>
      <c r="C112" s="168"/>
      <c r="D112" s="168"/>
      <c r="E112" s="168"/>
      <c r="F112" s="168"/>
      <c r="G112" s="168"/>
      <c r="H112" s="168"/>
      <c r="I112" s="168"/>
    </row>
    <row r="113" spans="1:9" ht="15.75" customHeight="1">
      <c r="A113" s="76"/>
      <c r="B113" s="158" t="s">
        <v>340</v>
      </c>
      <c r="C113" s="158"/>
      <c r="D113" s="158"/>
      <c r="E113" s="158"/>
      <c r="F113" s="158"/>
      <c r="G113" s="158"/>
      <c r="H113" s="79"/>
      <c r="I113" s="3"/>
    </row>
    <row r="114" spans="1:9" ht="15.75" customHeight="1">
      <c r="A114" s="109"/>
      <c r="B114" s="154" t="s">
        <v>6</v>
      </c>
      <c r="C114" s="154"/>
      <c r="D114" s="154"/>
      <c r="E114" s="154"/>
      <c r="F114" s="154"/>
      <c r="G114" s="154"/>
      <c r="H114" s="26"/>
      <c r="I114" s="5"/>
    </row>
    <row r="115" spans="1:9" ht="15.75" customHeight="1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ht="15.75" customHeight="1">
      <c r="A116" s="159" t="s">
        <v>7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15.75" customHeight="1">
      <c r="A117" s="159" t="s">
        <v>8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5.75" customHeight="1">
      <c r="A118" s="160" t="s">
        <v>61</v>
      </c>
      <c r="B118" s="160"/>
      <c r="C118" s="160"/>
      <c r="D118" s="160"/>
      <c r="E118" s="160"/>
      <c r="F118" s="160"/>
      <c r="G118" s="160"/>
      <c r="H118" s="160"/>
      <c r="I118" s="160"/>
    </row>
    <row r="119" spans="1:9" ht="15.75" customHeight="1">
      <c r="A119" s="11"/>
    </row>
    <row r="120" spans="1:9" ht="15.75" customHeight="1">
      <c r="A120" s="161" t="s">
        <v>9</v>
      </c>
      <c r="B120" s="161"/>
      <c r="C120" s="161"/>
      <c r="D120" s="161"/>
      <c r="E120" s="161"/>
      <c r="F120" s="161"/>
      <c r="G120" s="161"/>
      <c r="H120" s="161"/>
      <c r="I120" s="161"/>
    </row>
    <row r="121" spans="1:9" ht="15.75" customHeight="1">
      <c r="A121" s="4"/>
    </row>
    <row r="122" spans="1:9" ht="15.75" customHeight="1">
      <c r="B122" s="110" t="s">
        <v>10</v>
      </c>
      <c r="C122" s="153" t="s">
        <v>92</v>
      </c>
      <c r="D122" s="153"/>
      <c r="E122" s="153"/>
      <c r="F122" s="153"/>
      <c r="I122" s="108"/>
    </row>
    <row r="123" spans="1:9" ht="15.75" customHeight="1">
      <c r="A123" s="109"/>
      <c r="C123" s="154" t="s">
        <v>11</v>
      </c>
      <c r="D123" s="154"/>
      <c r="E123" s="154"/>
      <c r="F123" s="154"/>
      <c r="I123" s="107" t="s">
        <v>12</v>
      </c>
    </row>
    <row r="124" spans="1:9" ht="15.75" customHeight="1">
      <c r="A124" s="27"/>
      <c r="C124" s="12"/>
      <c r="D124" s="12"/>
      <c r="E124" s="12"/>
      <c r="G124" s="12"/>
      <c r="H124" s="12"/>
    </row>
    <row r="125" spans="1:9" ht="15.75" customHeight="1">
      <c r="B125" s="110" t="s">
        <v>13</v>
      </c>
      <c r="C125" s="155"/>
      <c r="D125" s="155"/>
      <c r="E125" s="155"/>
      <c r="F125" s="155"/>
      <c r="I125" s="108"/>
    </row>
    <row r="126" spans="1:9" ht="15.75" customHeight="1">
      <c r="A126" s="109"/>
      <c r="C126" s="156" t="s">
        <v>11</v>
      </c>
      <c r="D126" s="156"/>
      <c r="E126" s="156"/>
      <c r="F126" s="156"/>
      <c r="I126" s="107" t="s">
        <v>12</v>
      </c>
    </row>
    <row r="127" spans="1:9" ht="15.75" customHeight="1">
      <c r="A127" s="4" t="s">
        <v>14</v>
      </c>
    </row>
    <row r="128" spans="1:9">
      <c r="A128" s="157" t="s">
        <v>15</v>
      </c>
      <c r="B128" s="157"/>
      <c r="C128" s="157"/>
      <c r="D128" s="157"/>
      <c r="E128" s="157"/>
      <c r="F128" s="157"/>
      <c r="G128" s="157"/>
      <c r="H128" s="157"/>
      <c r="I128" s="157"/>
    </row>
    <row r="129" spans="1:9" ht="45" customHeight="1">
      <c r="A129" s="146" t="s">
        <v>16</v>
      </c>
      <c r="B129" s="146"/>
      <c r="C129" s="146"/>
      <c r="D129" s="146"/>
      <c r="E129" s="146"/>
      <c r="F129" s="146"/>
      <c r="G129" s="146"/>
      <c r="H129" s="146"/>
      <c r="I129" s="146"/>
    </row>
    <row r="130" spans="1:9" ht="30" customHeight="1">
      <c r="A130" s="146" t="s">
        <v>17</v>
      </c>
      <c r="B130" s="146"/>
      <c r="C130" s="146"/>
      <c r="D130" s="146"/>
      <c r="E130" s="146"/>
      <c r="F130" s="146"/>
      <c r="G130" s="146"/>
      <c r="H130" s="146"/>
      <c r="I130" s="146"/>
    </row>
    <row r="131" spans="1:9" ht="30" customHeight="1">
      <c r="A131" s="146" t="s">
        <v>21</v>
      </c>
      <c r="B131" s="146"/>
      <c r="C131" s="146"/>
      <c r="D131" s="146"/>
      <c r="E131" s="146"/>
      <c r="F131" s="146"/>
      <c r="G131" s="146"/>
      <c r="H131" s="146"/>
      <c r="I131" s="146"/>
    </row>
    <row r="132" spans="1:9" ht="15" customHeight="1">
      <c r="A132" s="146" t="s">
        <v>20</v>
      </c>
      <c r="B132" s="146"/>
      <c r="C132" s="146"/>
      <c r="D132" s="146"/>
      <c r="E132" s="146"/>
      <c r="F132" s="146"/>
      <c r="G132" s="146"/>
      <c r="H132" s="146"/>
      <c r="I132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26:F126"/>
    <mergeCell ref="A84:I84"/>
    <mergeCell ref="A112:I112"/>
    <mergeCell ref="B113:G113"/>
    <mergeCell ref="B114:G114"/>
    <mergeCell ref="A116:I116"/>
    <mergeCell ref="A117:I117"/>
    <mergeCell ref="A118:I118"/>
    <mergeCell ref="A120:I120"/>
    <mergeCell ref="C122:F122"/>
    <mergeCell ref="C123:F123"/>
    <mergeCell ref="C125:F125"/>
    <mergeCell ref="A80:I80"/>
    <mergeCell ref="A111:I111"/>
    <mergeCell ref="A128:I128"/>
    <mergeCell ref="A129:I129"/>
    <mergeCell ref="A130:I130"/>
    <mergeCell ref="A131:I131"/>
    <mergeCell ref="A132:I13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  <ignoredErrors>
    <ignoredError sqref="I10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topLeftCell="A80" workbookViewId="0">
      <selection activeCell="B95" sqref="B95:G95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87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163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191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43159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155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/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v>0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/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v>0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46">
        <v>6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v>0</v>
      </c>
      <c r="J25" s="24"/>
      <c r="K25" s="8"/>
      <c r="L25" s="8"/>
      <c r="M25" s="8"/>
    </row>
    <row r="26" spans="1:13" ht="15.75" customHeight="1">
      <c r="A26" s="46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46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46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hidden="1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hidden="1" customHeight="1">
      <c r="A31" s="46">
        <v>2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v>0</v>
      </c>
      <c r="J31" s="24"/>
      <c r="K31" s="8"/>
      <c r="L31" s="8"/>
      <c r="M31" s="8"/>
    </row>
    <row r="32" spans="1:13" ht="31.5" hidden="1" customHeight="1">
      <c r="A32" s="46">
        <v>3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v>0</v>
      </c>
      <c r="J32" s="24"/>
      <c r="K32" s="8"/>
      <c r="L32" s="8"/>
      <c r="M32" s="8"/>
    </row>
    <row r="33" spans="1:14" ht="15.75" hidden="1" customHeight="1">
      <c r="A33" s="46">
        <v>4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v>0</v>
      </c>
      <c r="J33" s="24"/>
      <c r="K33" s="8"/>
      <c r="L33" s="8"/>
      <c r="M33" s="8"/>
    </row>
    <row r="34" spans="1:14" ht="15.75" hidden="1" customHeight="1">
      <c r="A34" s="46"/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v>0</v>
      </c>
      <c r="J34" s="24"/>
      <c r="K34" s="8"/>
      <c r="L34" s="8"/>
      <c r="M34" s="8"/>
    </row>
    <row r="35" spans="1:14" ht="15.75" hidden="1" customHeight="1">
      <c r="A35" s="46">
        <v>5</v>
      </c>
      <c r="B35" s="80" t="s">
        <v>160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v>0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2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2"/>
        <v>3.40896</v>
      </c>
      <c r="I37" s="14">
        <v>0</v>
      </c>
      <c r="J37" s="25"/>
    </row>
    <row r="38" spans="1:14" ht="15.75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2" si="3">F39/6*G39</f>
        <v>3818.05</v>
      </c>
      <c r="J39" s="25"/>
    </row>
    <row r="40" spans="1:14" ht="15.75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4">SUM(F40*G40/1000)</f>
        <v>57.598483674999997</v>
      </c>
      <c r="I40" s="14">
        <f t="shared" si="3"/>
        <v>9599.747279166666</v>
      </c>
      <c r="J40" s="25"/>
    </row>
    <row r="41" spans="1:14" ht="15.75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4"/>
        <v>7.611275</v>
      </c>
      <c r="I41" s="14">
        <f t="shared" si="3"/>
        <v>1268.5458333333333</v>
      </c>
      <c r="J41" s="25"/>
    </row>
    <row r="42" spans="1:14" ht="31.5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4"/>
        <v>9.7495103999999984</v>
      </c>
      <c r="I42" s="14">
        <f t="shared" si="3"/>
        <v>1624.9183999999998</v>
      </c>
      <c r="J42" s="25"/>
    </row>
    <row r="43" spans="1:14" ht="15.75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4"/>
        <v>2.7008100000000002</v>
      </c>
      <c r="I43" s="14">
        <f>F43/7.5*G43</f>
        <v>360.108</v>
      </c>
      <c r="J43" s="25"/>
    </row>
    <row r="44" spans="1:14" ht="15.75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4"/>
        <v>0.71820000000000006</v>
      </c>
      <c r="I44" s="14">
        <f>F44/7.5*G44</f>
        <v>95.76</v>
      </c>
      <c r="J44" s="25"/>
      <c r="L44" s="21"/>
      <c r="M44" s="22"/>
      <c r="N44" s="23"/>
    </row>
    <row r="45" spans="1:14" ht="15.75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15.75" hidden="1" customHeight="1">
      <c r="A46" s="46">
        <v>15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5">SUM(F46*G46/1000)</f>
        <v>2.7870067920000001</v>
      </c>
      <c r="I46" s="14">
        <v>0</v>
      </c>
      <c r="J46" s="25"/>
      <c r="L46" s="21"/>
      <c r="M46" s="22"/>
      <c r="N46" s="23"/>
    </row>
    <row r="47" spans="1:14" ht="15.75" hidden="1" customHeight="1">
      <c r="A47" s="46"/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5"/>
        <v>1.06421502</v>
      </c>
      <c r="I47" s="14">
        <v>0</v>
      </c>
      <c r="J47" s="25"/>
      <c r="L47" s="21"/>
      <c r="M47" s="22"/>
      <c r="N47" s="23"/>
    </row>
    <row r="48" spans="1:14" ht="15.75" hidden="1" customHeight="1">
      <c r="A48" s="46">
        <v>16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5"/>
        <v>6.4812056496000006</v>
      </c>
      <c r="I48" s="14">
        <v>0</v>
      </c>
      <c r="J48" s="25"/>
      <c r="L48" s="21"/>
      <c r="M48" s="22"/>
      <c r="N48" s="23"/>
    </row>
    <row r="49" spans="1:14" ht="15.75" hidden="1" customHeight="1">
      <c r="A49" s="46">
        <v>17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5"/>
        <v>3.4193309809999999</v>
      </c>
      <c r="I49" s="14">
        <v>0</v>
      </c>
      <c r="J49" s="25"/>
      <c r="L49" s="21"/>
      <c r="M49" s="22"/>
      <c r="N49" s="23"/>
    </row>
    <row r="50" spans="1:14" ht="15.75" customHeight="1">
      <c r="A50" s="46">
        <v>16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5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13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5"/>
        <v>7.9628296799999996</v>
      </c>
      <c r="I51" s="14">
        <v>0</v>
      </c>
      <c r="J51" s="25"/>
      <c r="L51" s="21"/>
      <c r="M51" s="22"/>
      <c r="N51" s="23"/>
    </row>
    <row r="52" spans="1:14" ht="31.5" hidden="1" customHeight="1">
      <c r="A52" s="46">
        <v>14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5"/>
        <v>2.1843919999999999</v>
      </c>
      <c r="I52" s="14">
        <v>0</v>
      </c>
      <c r="J52" s="25"/>
      <c r="L52" s="21"/>
      <c r="M52" s="22"/>
      <c r="N52" s="23"/>
    </row>
    <row r="53" spans="1:14" ht="15.75" hidden="1" customHeight="1">
      <c r="A53" s="46">
        <v>15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5"/>
        <v>0.11304260000000001</v>
      </c>
      <c r="I53" s="14">
        <v>0</v>
      </c>
      <c r="J53" s="25"/>
      <c r="L53" s="21"/>
      <c r="M53" s="22"/>
      <c r="N53" s="23"/>
    </row>
    <row r="54" spans="1:14" ht="15.75" hidden="1" customHeight="1">
      <c r="A54" s="46">
        <v>17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5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158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customHeight="1">
      <c r="A56" s="59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hidden="1" customHeight="1">
      <c r="A58" s="46">
        <v>17</v>
      </c>
      <c r="B58" s="80" t="s">
        <v>146</v>
      </c>
      <c r="C58" s="69" t="s">
        <v>110</v>
      </c>
      <c r="D58" s="80" t="s">
        <v>147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F58/6*G58</f>
        <v>2538.1581119999996</v>
      </c>
      <c r="J58" s="25"/>
      <c r="L58" s="21"/>
      <c r="M58" s="22"/>
      <c r="N58" s="23"/>
    </row>
    <row r="59" spans="1:14" ht="15.75" customHeight="1">
      <c r="A59" s="46">
        <v>17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75" t="s">
        <v>43</v>
      </c>
      <c r="C61" s="75"/>
      <c r="D61" s="75"/>
      <c r="E61" s="75"/>
      <c r="F61" s="75"/>
      <c r="G61" s="75"/>
      <c r="H61" s="75"/>
      <c r="I61" s="38"/>
      <c r="J61" s="25"/>
      <c r="L61" s="21"/>
      <c r="M61" s="22"/>
      <c r="N61" s="23"/>
    </row>
    <row r="62" spans="1:14" ht="15.75" customHeight="1">
      <c r="A62" s="46">
        <v>18</v>
      </c>
      <c r="B62" s="64" t="s">
        <v>98</v>
      </c>
      <c r="C62" s="58" t="s">
        <v>25</v>
      </c>
      <c r="D62" s="64" t="s">
        <v>149</v>
      </c>
      <c r="E62" s="120">
        <v>200</v>
      </c>
      <c r="F62" s="121">
        <f>E62*12</f>
        <v>2400</v>
      </c>
      <c r="G62" s="67">
        <v>1.2</v>
      </c>
      <c r="H62" s="95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customHeight="1">
      <c r="A64" s="46"/>
      <c r="B64" s="75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customHeight="1">
      <c r="A65" s="46">
        <v>19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6">SUM(F65*G65/1000)</f>
        <v>8.8960000000000008</v>
      </c>
      <c r="I65" s="14">
        <f>G65*2</f>
        <v>444.8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6"/>
        <v>1.14375</v>
      </c>
      <c r="I66" s="14">
        <v>0</v>
      </c>
      <c r="J66" s="25"/>
      <c r="L66" s="21"/>
      <c r="M66" s="22"/>
      <c r="N66" s="23"/>
    </row>
    <row r="67" spans="1:22" ht="15.75" hidden="1" customHeight="1">
      <c r="A67" s="31">
        <v>8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6"/>
        <v>52.290731999999998</v>
      </c>
      <c r="I67" s="14">
        <v>0</v>
      </c>
      <c r="J67" s="25"/>
      <c r="L67" s="21"/>
      <c r="M67" s="22"/>
      <c r="N67" s="23"/>
    </row>
    <row r="68" spans="1:22" ht="15.75" hidden="1" customHeight="1">
      <c r="A68" s="31">
        <v>9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6"/>
        <v>4.0720960800000006</v>
      </c>
      <c r="I68" s="14">
        <v>0</v>
      </c>
      <c r="J68" s="25"/>
      <c r="L68" s="21"/>
      <c r="M68" s="22"/>
      <c r="N68" s="23"/>
    </row>
    <row r="69" spans="1:22" ht="15.75" hidden="1" customHeight="1">
      <c r="A69" s="31">
        <v>10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6"/>
        <v>56.637399000000002</v>
      </c>
      <c r="I69" s="14">
        <v>0</v>
      </c>
      <c r="J69" s="25"/>
      <c r="L69" s="21"/>
    </row>
    <row r="70" spans="1:22" ht="15.75" hidden="1" customHeight="1">
      <c r="A70" s="31">
        <v>11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6"/>
        <v>0.91908960000000006</v>
      </c>
      <c r="I70" s="14">
        <v>0</v>
      </c>
    </row>
    <row r="71" spans="1:22" ht="15.75" hidden="1" customHeight="1">
      <c r="A71" s="31">
        <v>12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6"/>
        <v>0.85743840000000016</v>
      </c>
      <c r="I71" s="14">
        <v>0</v>
      </c>
    </row>
    <row r="72" spans="1:22" ht="15.75" hidden="1" customHeight="1">
      <c r="A72" s="31">
        <v>13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6"/>
        <v>0.59856000000000009</v>
      </c>
      <c r="I72" s="14">
        <v>0</v>
      </c>
    </row>
    <row r="73" spans="1:22" ht="15.75" customHeight="1">
      <c r="A73" s="59"/>
      <c r="B73" s="75" t="s">
        <v>132</v>
      </c>
      <c r="C73" s="75"/>
      <c r="D73" s="75"/>
      <c r="E73" s="75"/>
      <c r="F73" s="75"/>
      <c r="G73" s="75"/>
      <c r="H73" s="75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customHeight="1">
      <c r="A74" s="31">
        <v>20</v>
      </c>
      <c r="B74" s="80" t="s">
        <v>133</v>
      </c>
      <c r="C74" s="18"/>
      <c r="D74" s="16"/>
      <c r="E74" s="78"/>
      <c r="F74" s="14">
        <v>1</v>
      </c>
      <c r="G74" s="41">
        <v>28996</v>
      </c>
      <c r="H74" s="77">
        <f>G74*F74/1000</f>
        <v>28.995999999999999</v>
      </c>
      <c r="I74" s="14">
        <v>7230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159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21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22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59"/>
      <c r="B83" s="44" t="s">
        <v>80</v>
      </c>
      <c r="C83" s="46"/>
      <c r="D83" s="17"/>
      <c r="E83" s="17"/>
      <c r="F83" s="17"/>
      <c r="G83" s="20"/>
      <c r="H83" s="20"/>
      <c r="I83" s="33">
        <f>I82+I81+I74+I65+I62+I59+I50+I44+I43+I42+I41+I40+I39+I28+I27+I26+I24+I21+I20+I18+I17+I16</f>
        <v>99993.506758499992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15.75" customHeight="1">
      <c r="A85" s="31" t="s">
        <v>257</v>
      </c>
      <c r="B85" s="62" t="s">
        <v>104</v>
      </c>
      <c r="C85" s="66" t="s">
        <v>128</v>
      </c>
      <c r="D85" s="57"/>
      <c r="E85" s="14"/>
      <c r="F85" s="14">
        <v>968</v>
      </c>
      <c r="G85" s="14">
        <v>55.55</v>
      </c>
      <c r="H85" s="77">
        <f>G85*F85/1000</f>
        <v>53.772399999999998</v>
      </c>
      <c r="I85" s="14">
        <f>G85*121</f>
        <v>6721.5499999999993</v>
      </c>
    </row>
    <row r="86" spans="1:9" ht="15.75" customHeight="1">
      <c r="A86" s="31">
        <v>24</v>
      </c>
      <c r="B86" s="62" t="s">
        <v>167</v>
      </c>
      <c r="C86" s="68" t="s">
        <v>168</v>
      </c>
      <c r="D86" s="65"/>
      <c r="E86" s="39"/>
      <c r="F86" s="39">
        <v>2</v>
      </c>
      <c r="G86" s="39">
        <v>300.61</v>
      </c>
      <c r="H86" s="100">
        <f>G86*F86/1000</f>
        <v>0.60121999999999998</v>
      </c>
      <c r="I86" s="14">
        <f>G86*(1+2)</f>
        <v>901.83</v>
      </c>
    </row>
    <row r="87" spans="1:9" ht="15.75" customHeight="1">
      <c r="A87" s="31">
        <v>25</v>
      </c>
      <c r="B87" s="102" t="s">
        <v>192</v>
      </c>
      <c r="C87" s="103" t="s">
        <v>93</v>
      </c>
      <c r="D87" s="65"/>
      <c r="E87" s="39"/>
      <c r="F87" s="39">
        <v>1</v>
      </c>
      <c r="G87" s="39">
        <v>1165.73</v>
      </c>
      <c r="H87" s="100">
        <f t="shared" ref="H87:H89" si="7">G87*F87/1000</f>
        <v>1.1657299999999999</v>
      </c>
      <c r="I87" s="14">
        <f>G87</f>
        <v>1165.73</v>
      </c>
    </row>
    <row r="88" spans="1:9" ht="31.5" customHeight="1">
      <c r="A88" s="31">
        <v>26</v>
      </c>
      <c r="B88" s="62" t="s">
        <v>153</v>
      </c>
      <c r="C88" s="66" t="s">
        <v>81</v>
      </c>
      <c r="D88" s="57"/>
      <c r="E88" s="39"/>
      <c r="F88" s="39">
        <v>6</v>
      </c>
      <c r="G88" s="39">
        <v>1187</v>
      </c>
      <c r="H88" s="100">
        <f t="shared" si="7"/>
        <v>7.1219999999999999</v>
      </c>
      <c r="I88" s="14">
        <f>G88*6</f>
        <v>7122</v>
      </c>
    </row>
    <row r="89" spans="1:9" ht="31.5" customHeight="1">
      <c r="A89" s="31">
        <v>27</v>
      </c>
      <c r="B89" s="62" t="s">
        <v>151</v>
      </c>
      <c r="C89" s="66" t="s">
        <v>37</v>
      </c>
      <c r="D89" s="65"/>
      <c r="E89" s="39"/>
      <c r="F89" s="39">
        <v>0.01</v>
      </c>
      <c r="G89" s="39">
        <v>3724.37</v>
      </c>
      <c r="H89" s="100">
        <f t="shared" si="7"/>
        <v>3.7243699999999998E-2</v>
      </c>
      <c r="I89" s="14">
        <f>G89*0.01</f>
        <v>37.243699999999997</v>
      </c>
    </row>
    <row r="90" spans="1:9" ht="15.75" customHeight="1">
      <c r="A90" s="31"/>
      <c r="B90" s="51" t="s">
        <v>51</v>
      </c>
      <c r="C90" s="47"/>
      <c r="D90" s="60"/>
      <c r="E90" s="60"/>
      <c r="F90" s="47">
        <v>1</v>
      </c>
      <c r="G90" s="47"/>
      <c r="H90" s="47"/>
      <c r="I90" s="33">
        <f>SUM(I85:I89)-I85</f>
        <v>9226.8037000000004</v>
      </c>
    </row>
    <row r="91" spans="1:9" ht="15.75" customHeight="1">
      <c r="A91" s="31"/>
      <c r="B91" s="57" t="s">
        <v>78</v>
      </c>
      <c r="C91" s="17"/>
      <c r="D91" s="17"/>
      <c r="E91" s="17"/>
      <c r="F91" s="48"/>
      <c r="G91" s="49"/>
      <c r="H91" s="49"/>
      <c r="I91" s="19">
        <v>0</v>
      </c>
    </row>
    <row r="92" spans="1:9" ht="15.75" customHeight="1">
      <c r="A92" s="61"/>
      <c r="B92" s="52" t="s">
        <v>162</v>
      </c>
      <c r="C92" s="37"/>
      <c r="D92" s="37"/>
      <c r="E92" s="37"/>
      <c r="F92" s="37"/>
      <c r="G92" s="37"/>
      <c r="H92" s="37"/>
      <c r="I92" s="50">
        <f>I83+I90</f>
        <v>109220.3104585</v>
      </c>
    </row>
    <row r="93" spans="1:9" ht="15.75" customHeight="1">
      <c r="A93" s="166" t="s">
        <v>258</v>
      </c>
      <c r="B93" s="167"/>
      <c r="C93" s="167"/>
      <c r="D93" s="167"/>
      <c r="E93" s="167"/>
      <c r="F93" s="167"/>
      <c r="G93" s="167"/>
      <c r="H93" s="167"/>
      <c r="I93" s="167"/>
    </row>
    <row r="94" spans="1:9" ht="15.75" customHeight="1">
      <c r="A94" s="168" t="s">
        <v>259</v>
      </c>
      <c r="B94" s="168"/>
      <c r="C94" s="168"/>
      <c r="D94" s="168"/>
      <c r="E94" s="168"/>
      <c r="F94" s="168"/>
      <c r="G94" s="168"/>
      <c r="H94" s="168"/>
      <c r="I94" s="168"/>
    </row>
    <row r="95" spans="1:9" ht="15.75" customHeight="1">
      <c r="A95" s="76"/>
      <c r="B95" s="158" t="s">
        <v>260</v>
      </c>
      <c r="C95" s="158"/>
      <c r="D95" s="158"/>
      <c r="E95" s="158"/>
      <c r="F95" s="158"/>
      <c r="G95" s="158"/>
      <c r="H95" s="79"/>
      <c r="I95" s="3"/>
    </row>
    <row r="96" spans="1:9" ht="15.75" customHeight="1">
      <c r="A96" s="71"/>
      <c r="B96" s="154" t="s">
        <v>6</v>
      </c>
      <c r="C96" s="154"/>
      <c r="D96" s="154"/>
      <c r="E96" s="154"/>
      <c r="F96" s="154"/>
      <c r="G96" s="154"/>
      <c r="H96" s="26"/>
      <c r="I96" s="5"/>
    </row>
    <row r="97" spans="1:9" ht="7.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59" t="s">
        <v>7</v>
      </c>
      <c r="B98" s="159"/>
      <c r="C98" s="159"/>
      <c r="D98" s="159"/>
      <c r="E98" s="159"/>
      <c r="F98" s="159"/>
      <c r="G98" s="159"/>
      <c r="H98" s="159"/>
      <c r="I98" s="159"/>
    </row>
    <row r="99" spans="1:9" ht="15.75" customHeight="1">
      <c r="A99" s="159" t="s">
        <v>8</v>
      </c>
      <c r="B99" s="159"/>
      <c r="C99" s="159"/>
      <c r="D99" s="159"/>
      <c r="E99" s="159"/>
      <c r="F99" s="159"/>
      <c r="G99" s="159"/>
      <c r="H99" s="159"/>
      <c r="I99" s="159"/>
    </row>
    <row r="100" spans="1:9" ht="15.75" customHeight="1">
      <c r="A100" s="160" t="s">
        <v>61</v>
      </c>
      <c r="B100" s="160"/>
      <c r="C100" s="160"/>
      <c r="D100" s="160"/>
      <c r="E100" s="160"/>
      <c r="F100" s="160"/>
      <c r="G100" s="160"/>
      <c r="H100" s="160"/>
      <c r="I100" s="160"/>
    </row>
    <row r="101" spans="1:9" ht="15.75" customHeight="1">
      <c r="A101" s="11"/>
    </row>
    <row r="102" spans="1:9" ht="15.75" customHeight="1">
      <c r="A102" s="161" t="s">
        <v>9</v>
      </c>
      <c r="B102" s="161"/>
      <c r="C102" s="161"/>
      <c r="D102" s="161"/>
      <c r="E102" s="161"/>
      <c r="F102" s="161"/>
      <c r="G102" s="161"/>
      <c r="H102" s="161"/>
      <c r="I102" s="161"/>
    </row>
    <row r="103" spans="1:9" ht="15.75" customHeight="1">
      <c r="A103" s="4"/>
    </row>
    <row r="104" spans="1:9" ht="15.75" customHeight="1">
      <c r="B104" s="70" t="s">
        <v>10</v>
      </c>
      <c r="C104" s="153" t="s">
        <v>92</v>
      </c>
      <c r="D104" s="153"/>
      <c r="E104" s="153"/>
      <c r="F104" s="153"/>
      <c r="I104" s="73"/>
    </row>
    <row r="105" spans="1:9" ht="15.75" customHeight="1">
      <c r="A105" s="71"/>
      <c r="C105" s="154" t="s">
        <v>11</v>
      </c>
      <c r="D105" s="154"/>
      <c r="E105" s="154"/>
      <c r="F105" s="154"/>
      <c r="I105" s="72" t="s">
        <v>12</v>
      </c>
    </row>
    <row r="106" spans="1:9" ht="15.75" customHeight="1">
      <c r="A106" s="27"/>
      <c r="C106" s="12"/>
      <c r="D106" s="12"/>
      <c r="E106" s="12"/>
      <c r="G106" s="12"/>
      <c r="H106" s="12"/>
    </row>
    <row r="107" spans="1:9" ht="15.75" customHeight="1">
      <c r="B107" s="70" t="s">
        <v>13</v>
      </c>
      <c r="C107" s="155"/>
      <c r="D107" s="155"/>
      <c r="E107" s="155"/>
      <c r="F107" s="155"/>
      <c r="I107" s="73"/>
    </row>
    <row r="108" spans="1:9" ht="15.75" customHeight="1">
      <c r="A108" s="71"/>
      <c r="C108" s="156" t="s">
        <v>11</v>
      </c>
      <c r="D108" s="156"/>
      <c r="E108" s="156"/>
      <c r="F108" s="156"/>
      <c r="I108" s="72" t="s">
        <v>12</v>
      </c>
    </row>
    <row r="109" spans="1:9" ht="15.75" customHeight="1">
      <c r="A109" s="4" t="s">
        <v>14</v>
      </c>
    </row>
    <row r="110" spans="1:9">
      <c r="A110" s="157" t="s">
        <v>15</v>
      </c>
      <c r="B110" s="157"/>
      <c r="C110" s="157"/>
      <c r="D110" s="157"/>
      <c r="E110" s="157"/>
      <c r="F110" s="157"/>
      <c r="G110" s="157"/>
      <c r="H110" s="157"/>
      <c r="I110" s="157"/>
    </row>
    <row r="111" spans="1:9" ht="45" customHeight="1">
      <c r="A111" s="146" t="s">
        <v>16</v>
      </c>
      <c r="B111" s="146"/>
      <c r="C111" s="146"/>
      <c r="D111" s="146"/>
      <c r="E111" s="146"/>
      <c r="F111" s="146"/>
      <c r="G111" s="146"/>
      <c r="H111" s="146"/>
      <c r="I111" s="146"/>
    </row>
    <row r="112" spans="1:9" ht="30" customHeight="1">
      <c r="A112" s="146" t="s">
        <v>17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30" customHeight="1">
      <c r="A113" s="146" t="s">
        <v>21</v>
      </c>
      <c r="B113" s="146"/>
      <c r="C113" s="146"/>
      <c r="D113" s="146"/>
      <c r="E113" s="146"/>
      <c r="F113" s="146"/>
      <c r="G113" s="146"/>
      <c r="H113" s="146"/>
      <c r="I113" s="146"/>
    </row>
    <row r="114" spans="1:9" ht="15" customHeight="1">
      <c r="A114" s="146" t="s">
        <v>20</v>
      </c>
      <c r="B114" s="146"/>
      <c r="C114" s="146"/>
      <c r="D114" s="146"/>
      <c r="E114" s="146"/>
      <c r="F114" s="146"/>
      <c r="G114" s="146"/>
      <c r="H114" s="146"/>
      <c r="I114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08:F108"/>
    <mergeCell ref="A84:I84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80:I80"/>
    <mergeCell ref="A93:I93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8"/>
  <sheetViews>
    <sheetView topLeftCell="A83" workbookViewId="0">
      <selection activeCell="B99" sqref="B99:G99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87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164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195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43190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155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/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v>0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/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v>0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46">
        <v>6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v>0</v>
      </c>
      <c r="J25" s="24"/>
      <c r="K25" s="8"/>
      <c r="L25" s="8"/>
      <c r="M25" s="8"/>
    </row>
    <row r="26" spans="1:13" ht="15.75" customHeight="1">
      <c r="A26" s="46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46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46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hidden="1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hidden="1" customHeight="1">
      <c r="A31" s="46">
        <v>2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v>0</v>
      </c>
      <c r="J31" s="24"/>
      <c r="K31" s="8"/>
      <c r="L31" s="8"/>
      <c r="M31" s="8"/>
    </row>
    <row r="32" spans="1:13" ht="31.5" hidden="1" customHeight="1">
      <c r="A32" s="46">
        <v>3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v>0</v>
      </c>
      <c r="J32" s="24"/>
      <c r="K32" s="8"/>
      <c r="L32" s="8"/>
      <c r="M32" s="8"/>
    </row>
    <row r="33" spans="1:14" ht="15.75" hidden="1" customHeight="1">
      <c r="A33" s="46">
        <v>4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v>0</v>
      </c>
      <c r="J33" s="24"/>
      <c r="K33" s="8"/>
      <c r="L33" s="8"/>
      <c r="M33" s="8"/>
    </row>
    <row r="34" spans="1:14" ht="15.75" hidden="1" customHeight="1">
      <c r="A34" s="46"/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v>0</v>
      </c>
      <c r="J34" s="24"/>
      <c r="K34" s="8"/>
      <c r="L34" s="8"/>
      <c r="M34" s="8"/>
    </row>
    <row r="35" spans="1:14" ht="15.75" hidden="1" customHeight="1">
      <c r="A35" s="46">
        <v>5</v>
      </c>
      <c r="B35" s="80" t="s">
        <v>160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v>0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2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2"/>
        <v>3.40896</v>
      </c>
      <c r="I37" s="14">
        <v>0</v>
      </c>
      <c r="J37" s="25"/>
    </row>
    <row r="38" spans="1:14" ht="15.75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2" si="3">F39/6*G39</f>
        <v>3818.05</v>
      </c>
      <c r="J39" s="25"/>
    </row>
    <row r="40" spans="1:14" ht="15.75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4">SUM(F40*G40/1000)</f>
        <v>57.598483674999997</v>
      </c>
      <c r="I40" s="14">
        <f t="shared" si="3"/>
        <v>9599.747279166666</v>
      </c>
      <c r="J40" s="25"/>
    </row>
    <row r="41" spans="1:14" ht="15.75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4"/>
        <v>7.611275</v>
      </c>
      <c r="I41" s="14">
        <f t="shared" si="3"/>
        <v>1268.5458333333333</v>
      </c>
      <c r="J41" s="25"/>
    </row>
    <row r="42" spans="1:14" ht="31.5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4"/>
        <v>9.7495103999999984</v>
      </c>
      <c r="I42" s="14">
        <f t="shared" si="3"/>
        <v>1624.9183999999998</v>
      </c>
      <c r="J42" s="25"/>
    </row>
    <row r="43" spans="1:14" ht="15.75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4"/>
        <v>2.7008100000000002</v>
      </c>
      <c r="I43" s="14">
        <f>(F43/7.5*1.5)*G43</f>
        <v>540.16200000000003</v>
      </c>
      <c r="J43" s="25"/>
    </row>
    <row r="44" spans="1:14" ht="15.75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4"/>
        <v>0.71820000000000006</v>
      </c>
      <c r="I44" s="14">
        <f>(F44/7.5*1.5)*G44</f>
        <v>143.64000000000001</v>
      </c>
      <c r="J44" s="25"/>
      <c r="L44" s="21"/>
      <c r="M44" s="22"/>
      <c r="N44" s="23"/>
    </row>
    <row r="45" spans="1:14" ht="15.75" hidden="1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15.75" hidden="1" customHeight="1">
      <c r="A46" s="46">
        <v>15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5">SUM(F46*G46/1000)</f>
        <v>2.7870067920000001</v>
      </c>
      <c r="I46" s="14">
        <v>0</v>
      </c>
      <c r="J46" s="25"/>
      <c r="L46" s="21"/>
      <c r="M46" s="22"/>
      <c r="N46" s="23"/>
    </row>
    <row r="47" spans="1:14" ht="15.75" hidden="1" customHeight="1">
      <c r="A47" s="46"/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5"/>
        <v>1.06421502</v>
      </c>
      <c r="I47" s="14">
        <v>0</v>
      </c>
      <c r="J47" s="25"/>
      <c r="L47" s="21"/>
      <c r="M47" s="22"/>
      <c r="N47" s="23"/>
    </row>
    <row r="48" spans="1:14" ht="15.75" hidden="1" customHeight="1">
      <c r="A48" s="46">
        <v>16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5"/>
        <v>6.4812056496000006</v>
      </c>
      <c r="I48" s="14">
        <v>0</v>
      </c>
      <c r="J48" s="25"/>
      <c r="L48" s="21"/>
      <c r="M48" s="22"/>
      <c r="N48" s="23"/>
    </row>
    <row r="49" spans="1:14" ht="15.75" hidden="1" customHeight="1">
      <c r="A49" s="46">
        <v>17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5"/>
        <v>3.4193309809999999</v>
      </c>
      <c r="I49" s="14">
        <v>0</v>
      </c>
      <c r="J49" s="25"/>
      <c r="L49" s="21"/>
      <c r="M49" s="22"/>
      <c r="N49" s="23"/>
    </row>
    <row r="50" spans="1:14" ht="15.75" hidden="1" customHeight="1">
      <c r="A50" s="46">
        <v>16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5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13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5"/>
        <v>7.9628296799999996</v>
      </c>
      <c r="I51" s="14">
        <v>0</v>
      </c>
      <c r="J51" s="25"/>
      <c r="L51" s="21"/>
      <c r="M51" s="22"/>
      <c r="N51" s="23"/>
    </row>
    <row r="52" spans="1:14" ht="31.5" hidden="1" customHeight="1">
      <c r="A52" s="46">
        <v>14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5"/>
        <v>2.1843919999999999</v>
      </c>
      <c r="I52" s="14">
        <v>0</v>
      </c>
      <c r="J52" s="25"/>
      <c r="L52" s="21"/>
      <c r="M52" s="22"/>
      <c r="N52" s="23"/>
    </row>
    <row r="53" spans="1:14" ht="15.75" hidden="1" customHeight="1">
      <c r="A53" s="46">
        <v>16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5"/>
        <v>0.11304260000000001</v>
      </c>
      <c r="I53" s="14">
        <f>F53/2*G53</f>
        <v>56.521300000000004</v>
      </c>
      <c r="J53" s="25"/>
      <c r="L53" s="21"/>
      <c r="M53" s="22"/>
      <c r="N53" s="23"/>
    </row>
    <row r="54" spans="1:14" ht="15.75" hidden="1" customHeight="1">
      <c r="A54" s="46">
        <v>17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5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175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customHeight="1">
      <c r="A56" s="59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customHeight="1">
      <c r="A58" s="46">
        <v>16</v>
      </c>
      <c r="B58" s="80" t="s">
        <v>146</v>
      </c>
      <c r="C58" s="69" t="s">
        <v>110</v>
      </c>
      <c r="D58" s="80" t="s">
        <v>261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G58*0.6</f>
        <v>928.36799999999994</v>
      </c>
      <c r="J58" s="25"/>
      <c r="L58" s="21"/>
      <c r="M58" s="22"/>
      <c r="N58" s="23"/>
    </row>
    <row r="59" spans="1:14" ht="15.75" customHeight="1">
      <c r="A59" s="46">
        <v>17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customHeight="1">
      <c r="A60" s="46">
        <v>18</v>
      </c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f>F60/2*G60</f>
        <v>1446.24</v>
      </c>
      <c r="J60" s="25"/>
      <c r="L60" s="21"/>
      <c r="M60" s="22"/>
      <c r="N60" s="23"/>
    </row>
    <row r="61" spans="1:14" ht="15.75" customHeight="1">
      <c r="A61" s="46"/>
      <c r="B61" s="75" t="s">
        <v>43</v>
      </c>
      <c r="C61" s="75"/>
      <c r="D61" s="75"/>
      <c r="E61" s="75"/>
      <c r="F61" s="75"/>
      <c r="G61" s="75"/>
      <c r="H61" s="75"/>
      <c r="I61" s="38"/>
      <c r="J61" s="25"/>
      <c r="L61" s="21"/>
      <c r="M61" s="22"/>
      <c r="N61" s="23"/>
    </row>
    <row r="62" spans="1:14" ht="15.75" customHeight="1">
      <c r="A62" s="46">
        <v>19</v>
      </c>
      <c r="B62" s="91" t="s">
        <v>98</v>
      </c>
      <c r="C62" s="92" t="s">
        <v>25</v>
      </c>
      <c r="D62" s="64" t="s">
        <v>149</v>
      </c>
      <c r="E62" s="120">
        <v>200</v>
      </c>
      <c r="F62" s="121">
        <f>E62*12</f>
        <v>2400</v>
      </c>
      <c r="G62" s="67">
        <v>1.2</v>
      </c>
      <c r="H62" s="95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customHeight="1">
      <c r="A64" s="46"/>
      <c r="B64" s="75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customHeight="1">
      <c r="A65" s="46">
        <v>20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6">SUM(F65*G65/1000)</f>
        <v>8.8960000000000008</v>
      </c>
      <c r="I65" s="14">
        <f>G65</f>
        <v>222.4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6"/>
        <v>1.14375</v>
      </c>
      <c r="I66" s="14">
        <v>0</v>
      </c>
      <c r="J66" s="25"/>
      <c r="L66" s="21"/>
      <c r="M66" s="22"/>
      <c r="N66" s="23"/>
    </row>
    <row r="67" spans="1:22" ht="15.75" hidden="1" customHeight="1">
      <c r="A67" s="31">
        <v>8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6"/>
        <v>52.290731999999998</v>
      </c>
      <c r="I67" s="14">
        <v>0</v>
      </c>
      <c r="J67" s="25"/>
      <c r="L67" s="21"/>
      <c r="M67" s="22"/>
      <c r="N67" s="23"/>
    </row>
    <row r="68" spans="1:22" ht="15.75" hidden="1" customHeight="1">
      <c r="A68" s="31">
        <v>9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6"/>
        <v>4.0720960800000006</v>
      </c>
      <c r="I68" s="14">
        <v>0</v>
      </c>
      <c r="J68" s="25"/>
      <c r="L68" s="21"/>
      <c r="M68" s="22"/>
      <c r="N68" s="23"/>
    </row>
    <row r="69" spans="1:22" ht="15.75" hidden="1" customHeight="1">
      <c r="A69" s="31">
        <v>10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6"/>
        <v>56.637399000000002</v>
      </c>
      <c r="I69" s="14">
        <v>0</v>
      </c>
      <c r="J69" s="25"/>
      <c r="L69" s="21"/>
    </row>
    <row r="70" spans="1:22" ht="15.75" hidden="1" customHeight="1">
      <c r="A70" s="31">
        <v>11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6"/>
        <v>0.91908960000000006</v>
      </c>
      <c r="I70" s="14">
        <v>0</v>
      </c>
    </row>
    <row r="71" spans="1:22" ht="15.75" hidden="1" customHeight="1">
      <c r="A71" s="31">
        <v>12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6"/>
        <v>0.85743840000000016</v>
      </c>
      <c r="I71" s="14">
        <v>0</v>
      </c>
    </row>
    <row r="72" spans="1:22" ht="15.75" hidden="1" customHeight="1">
      <c r="A72" s="31">
        <v>13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6"/>
        <v>0.59856000000000009</v>
      </c>
      <c r="I72" s="14">
        <v>0</v>
      </c>
    </row>
    <row r="73" spans="1:22" ht="15.75" hidden="1" customHeight="1">
      <c r="A73" s="59"/>
      <c r="B73" s="75" t="s">
        <v>132</v>
      </c>
      <c r="C73" s="75"/>
      <c r="D73" s="75"/>
      <c r="E73" s="75"/>
      <c r="F73" s="75"/>
      <c r="G73" s="75"/>
      <c r="H73" s="75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1">
        <v>36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v>0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176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21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22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59"/>
      <c r="B83" s="44" t="s">
        <v>80</v>
      </c>
      <c r="C83" s="46"/>
      <c r="D83" s="17"/>
      <c r="E83" s="17"/>
      <c r="F83" s="17"/>
      <c r="G83" s="20"/>
      <c r="H83" s="20"/>
      <c r="I83" s="33">
        <f>I82+I81+I65+I62+I60+I58+I59+I44+I43+I42+I41+I40+I39+I28+I27+I26+I24+I21+I20+I18+I17+I16</f>
        <v>91162.233918500002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15.75" customHeight="1">
      <c r="A85" s="31">
        <v>23</v>
      </c>
      <c r="B85" s="104" t="s">
        <v>183</v>
      </c>
      <c r="C85" s="105" t="s">
        <v>84</v>
      </c>
      <c r="D85" s="65"/>
      <c r="E85" s="39"/>
      <c r="F85" s="39">
        <v>3</v>
      </c>
      <c r="G85" s="39">
        <v>203.68</v>
      </c>
      <c r="H85" s="100">
        <f t="shared" ref="H85" si="7">G85*F85/1000</f>
        <v>0.61103999999999992</v>
      </c>
      <c r="I85" s="13">
        <f>G85</f>
        <v>203.68</v>
      </c>
    </row>
    <row r="86" spans="1:9" ht="15.75" customHeight="1">
      <c r="A86" s="31" t="s">
        <v>210</v>
      </c>
      <c r="B86" s="62" t="s">
        <v>104</v>
      </c>
      <c r="C86" s="66" t="s">
        <v>128</v>
      </c>
      <c r="D86" s="57"/>
      <c r="E86" s="14"/>
      <c r="F86" s="14">
        <v>968</v>
      </c>
      <c r="G86" s="14">
        <v>55.55</v>
      </c>
      <c r="H86" s="77">
        <f>G86*F86/1000</f>
        <v>53.772399999999998</v>
      </c>
      <c r="I86" s="14">
        <f>G86*121</f>
        <v>6721.5499999999993</v>
      </c>
    </row>
    <row r="87" spans="1:9" ht="31.5" customHeight="1">
      <c r="A87" s="31">
        <v>25</v>
      </c>
      <c r="B87" s="62" t="s">
        <v>151</v>
      </c>
      <c r="C87" s="66" t="s">
        <v>37</v>
      </c>
      <c r="D87" s="65"/>
      <c r="E87" s="39"/>
      <c r="F87" s="39">
        <v>0.02</v>
      </c>
      <c r="G87" s="39">
        <v>3724.37</v>
      </c>
      <c r="H87" s="100">
        <f t="shared" ref="H87:H93" si="8">G87*F87/1000</f>
        <v>7.4487399999999995E-2</v>
      </c>
      <c r="I87" s="14">
        <f>G87*0.02</f>
        <v>74.487399999999994</v>
      </c>
    </row>
    <row r="88" spans="1:9" ht="31.5" customHeight="1">
      <c r="A88" s="31">
        <v>26</v>
      </c>
      <c r="B88" s="62" t="s">
        <v>170</v>
      </c>
      <c r="C88" s="66" t="s">
        <v>108</v>
      </c>
      <c r="D88" s="65"/>
      <c r="E88" s="39"/>
      <c r="F88" s="39">
        <v>2</v>
      </c>
      <c r="G88" s="39">
        <v>56.34</v>
      </c>
      <c r="H88" s="100">
        <f t="shared" si="8"/>
        <v>0.11268</v>
      </c>
      <c r="I88" s="14">
        <f>G88*2</f>
        <v>112.68</v>
      </c>
    </row>
    <row r="89" spans="1:9" ht="15.75" customHeight="1">
      <c r="A89" s="31">
        <v>27</v>
      </c>
      <c r="B89" s="106" t="s">
        <v>85</v>
      </c>
      <c r="C89" s="66" t="s">
        <v>128</v>
      </c>
      <c r="D89" s="57"/>
      <c r="E89" s="39"/>
      <c r="F89" s="39">
        <v>1</v>
      </c>
      <c r="G89" s="39">
        <v>197.26</v>
      </c>
      <c r="H89" s="100">
        <f t="shared" si="8"/>
        <v>0.19725999999999999</v>
      </c>
      <c r="I89" s="14">
        <f>G89</f>
        <v>197.26</v>
      </c>
    </row>
    <row r="90" spans="1:9" ht="15.75" customHeight="1">
      <c r="A90" s="31">
        <v>28</v>
      </c>
      <c r="B90" s="62" t="s">
        <v>82</v>
      </c>
      <c r="C90" s="66" t="s">
        <v>128</v>
      </c>
      <c r="D90" s="57"/>
      <c r="E90" s="39"/>
      <c r="F90" s="39">
        <v>1</v>
      </c>
      <c r="G90" s="40">
        <v>197.48</v>
      </c>
      <c r="H90" s="100">
        <f t="shared" si="8"/>
        <v>0.19747999999999999</v>
      </c>
      <c r="I90" s="14">
        <f t="shared" ref="I90" si="9">G90</f>
        <v>197.48</v>
      </c>
    </row>
    <row r="91" spans="1:9" ht="31.5" customHeight="1">
      <c r="A91" s="31">
        <v>29</v>
      </c>
      <c r="B91" s="104" t="s">
        <v>196</v>
      </c>
      <c r="C91" s="105" t="s">
        <v>29</v>
      </c>
      <c r="D91" s="65"/>
      <c r="E91" s="39"/>
      <c r="F91" s="39">
        <v>0.01</v>
      </c>
      <c r="G91" s="39">
        <v>1655.27</v>
      </c>
      <c r="H91" s="100">
        <f t="shared" si="8"/>
        <v>1.65527E-2</v>
      </c>
      <c r="I91" s="14">
        <f>G91*0.01</f>
        <v>16.552700000000002</v>
      </c>
    </row>
    <row r="92" spans="1:9" ht="15.75" customHeight="1">
      <c r="A92" s="31">
        <v>30</v>
      </c>
      <c r="B92" s="62" t="s">
        <v>172</v>
      </c>
      <c r="C92" s="66" t="s">
        <v>173</v>
      </c>
      <c r="D92" s="65"/>
      <c r="E92" s="39"/>
      <c r="F92" s="39">
        <v>0.01</v>
      </c>
      <c r="G92" s="39">
        <v>7709.44</v>
      </c>
      <c r="H92" s="100">
        <f t="shared" si="8"/>
        <v>7.7094399999999993E-2</v>
      </c>
      <c r="I92" s="14">
        <f t="shared" ref="I92" si="10">G92*0.01</f>
        <v>77.094399999999993</v>
      </c>
    </row>
    <row r="93" spans="1:9" ht="31.5" customHeight="1">
      <c r="A93" s="47">
        <v>30</v>
      </c>
      <c r="B93" s="62" t="s">
        <v>79</v>
      </c>
      <c r="C93" s="66" t="s">
        <v>128</v>
      </c>
      <c r="D93" s="57"/>
      <c r="E93" s="39"/>
      <c r="F93" s="39">
        <v>1</v>
      </c>
      <c r="G93" s="39">
        <v>86.69</v>
      </c>
      <c r="H93" s="100">
        <f t="shared" si="8"/>
        <v>8.6690000000000003E-2</v>
      </c>
      <c r="I93" s="14">
        <f>G93</f>
        <v>86.69</v>
      </c>
    </row>
    <row r="94" spans="1:9" ht="15.75" customHeight="1">
      <c r="A94" s="31"/>
      <c r="B94" s="51" t="s">
        <v>51</v>
      </c>
      <c r="C94" s="47"/>
      <c r="D94" s="60"/>
      <c r="E94" s="60"/>
      <c r="F94" s="47">
        <v>1</v>
      </c>
      <c r="G94" s="47"/>
      <c r="H94" s="47"/>
      <c r="I94" s="33">
        <f>I93+I92+I91+I90+I89+I88+I87+I85</f>
        <v>965.92450000000008</v>
      </c>
    </row>
    <row r="95" spans="1:9" ht="15.75" customHeight="1">
      <c r="A95" s="31"/>
      <c r="B95" s="57" t="s">
        <v>78</v>
      </c>
      <c r="C95" s="17"/>
      <c r="D95" s="17"/>
      <c r="E95" s="17"/>
      <c r="F95" s="48"/>
      <c r="G95" s="49"/>
      <c r="H95" s="49"/>
      <c r="I95" s="19">
        <v>0</v>
      </c>
    </row>
    <row r="96" spans="1:9" ht="15.75" customHeight="1">
      <c r="A96" s="61"/>
      <c r="B96" s="52" t="s">
        <v>162</v>
      </c>
      <c r="C96" s="37"/>
      <c r="D96" s="37"/>
      <c r="E96" s="37"/>
      <c r="F96" s="37"/>
      <c r="G96" s="37"/>
      <c r="H96" s="37"/>
      <c r="I96" s="50">
        <f>I83+I94</f>
        <v>92128.158418499996</v>
      </c>
    </row>
    <row r="97" spans="1:9" ht="15.75" customHeight="1">
      <c r="A97" s="166" t="s">
        <v>211</v>
      </c>
      <c r="B97" s="167"/>
      <c r="C97" s="167"/>
      <c r="D97" s="167"/>
      <c r="E97" s="167"/>
      <c r="F97" s="167"/>
      <c r="G97" s="167"/>
      <c r="H97" s="167"/>
      <c r="I97" s="167"/>
    </row>
    <row r="98" spans="1:9" ht="15.75" customHeight="1">
      <c r="A98" s="168" t="s">
        <v>262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 customHeight="1">
      <c r="A99" s="76"/>
      <c r="B99" s="158" t="s">
        <v>263</v>
      </c>
      <c r="C99" s="158"/>
      <c r="D99" s="158"/>
      <c r="E99" s="158"/>
      <c r="F99" s="158"/>
      <c r="G99" s="158"/>
      <c r="H99" s="79"/>
      <c r="I99" s="3"/>
    </row>
    <row r="100" spans="1:9" ht="15.75" customHeight="1">
      <c r="A100" s="71"/>
      <c r="B100" s="154" t="s">
        <v>6</v>
      </c>
      <c r="C100" s="154"/>
      <c r="D100" s="154"/>
      <c r="E100" s="154"/>
      <c r="F100" s="154"/>
      <c r="G100" s="154"/>
      <c r="H100" s="26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59" t="s">
        <v>7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5.75" customHeight="1">
      <c r="A103" s="159" t="s">
        <v>8</v>
      </c>
      <c r="B103" s="159"/>
      <c r="C103" s="159"/>
      <c r="D103" s="159"/>
      <c r="E103" s="159"/>
      <c r="F103" s="159"/>
      <c r="G103" s="159"/>
      <c r="H103" s="159"/>
      <c r="I103" s="159"/>
    </row>
    <row r="104" spans="1:9" ht="15.75" customHeight="1">
      <c r="A104" s="160" t="s">
        <v>61</v>
      </c>
      <c r="B104" s="160"/>
      <c r="C104" s="160"/>
      <c r="D104" s="160"/>
      <c r="E104" s="160"/>
      <c r="F104" s="160"/>
      <c r="G104" s="160"/>
      <c r="H104" s="160"/>
      <c r="I104" s="160"/>
    </row>
    <row r="105" spans="1:9" ht="15.75" customHeight="1">
      <c r="A105" s="11"/>
    </row>
    <row r="106" spans="1:9" ht="15.75" customHeight="1">
      <c r="A106" s="161" t="s">
        <v>9</v>
      </c>
      <c r="B106" s="161"/>
      <c r="C106" s="161"/>
      <c r="D106" s="161"/>
      <c r="E106" s="161"/>
      <c r="F106" s="161"/>
      <c r="G106" s="161"/>
      <c r="H106" s="161"/>
      <c r="I106" s="161"/>
    </row>
    <row r="107" spans="1:9" ht="15.75" customHeight="1">
      <c r="A107" s="4"/>
    </row>
    <row r="108" spans="1:9" ht="15.75" customHeight="1">
      <c r="B108" s="70" t="s">
        <v>10</v>
      </c>
      <c r="C108" s="153" t="s">
        <v>92</v>
      </c>
      <c r="D108" s="153"/>
      <c r="E108" s="153"/>
      <c r="F108" s="153"/>
      <c r="I108" s="73"/>
    </row>
    <row r="109" spans="1:9" ht="15.75" customHeight="1">
      <c r="A109" s="71"/>
      <c r="C109" s="154" t="s">
        <v>11</v>
      </c>
      <c r="D109" s="154"/>
      <c r="E109" s="154"/>
      <c r="F109" s="154"/>
      <c r="I109" s="72" t="s">
        <v>12</v>
      </c>
    </row>
    <row r="110" spans="1:9" ht="15.75" customHeight="1">
      <c r="A110" s="27"/>
      <c r="C110" s="12"/>
      <c r="D110" s="12"/>
      <c r="E110" s="12"/>
      <c r="G110" s="12"/>
      <c r="H110" s="12"/>
    </row>
    <row r="111" spans="1:9" ht="15.75" customHeight="1">
      <c r="B111" s="70" t="s">
        <v>13</v>
      </c>
      <c r="C111" s="155"/>
      <c r="D111" s="155"/>
      <c r="E111" s="155"/>
      <c r="F111" s="155"/>
      <c r="I111" s="73"/>
    </row>
    <row r="112" spans="1:9" ht="15.75" customHeight="1">
      <c r="A112" s="71"/>
      <c r="C112" s="156" t="s">
        <v>11</v>
      </c>
      <c r="D112" s="156"/>
      <c r="E112" s="156"/>
      <c r="F112" s="156"/>
      <c r="I112" s="72" t="s">
        <v>12</v>
      </c>
    </row>
    <row r="113" spans="1:9" ht="15.75" customHeight="1">
      <c r="A113" s="4" t="s">
        <v>14</v>
      </c>
    </row>
    <row r="114" spans="1:9">
      <c r="A114" s="157" t="s">
        <v>15</v>
      </c>
      <c r="B114" s="157"/>
      <c r="C114" s="157"/>
      <c r="D114" s="157"/>
      <c r="E114" s="157"/>
      <c r="F114" s="157"/>
      <c r="G114" s="157"/>
      <c r="H114" s="157"/>
      <c r="I114" s="157"/>
    </row>
    <row r="115" spans="1:9" ht="45" customHeight="1">
      <c r="A115" s="146" t="s">
        <v>16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30" customHeight="1">
      <c r="A116" s="146" t="s">
        <v>17</v>
      </c>
      <c r="B116" s="146"/>
      <c r="C116" s="146"/>
      <c r="D116" s="146"/>
      <c r="E116" s="146"/>
      <c r="F116" s="146"/>
      <c r="G116" s="146"/>
      <c r="H116" s="146"/>
      <c r="I116" s="146"/>
    </row>
    <row r="117" spans="1:9" ht="30" customHeight="1">
      <c r="A117" s="146" t="s">
        <v>21</v>
      </c>
      <c r="B117" s="146"/>
      <c r="C117" s="146"/>
      <c r="D117" s="146"/>
      <c r="E117" s="146"/>
      <c r="F117" s="146"/>
      <c r="G117" s="146"/>
      <c r="H117" s="146"/>
      <c r="I117" s="146"/>
    </row>
    <row r="118" spans="1:9" ht="15" customHeight="1">
      <c r="A118" s="146" t="s">
        <v>20</v>
      </c>
      <c r="B118" s="146"/>
      <c r="C118" s="146"/>
      <c r="D118" s="146"/>
      <c r="E118" s="146"/>
      <c r="F118" s="146"/>
      <c r="G118" s="146"/>
      <c r="H118" s="146"/>
      <c r="I118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12:F112"/>
    <mergeCell ref="A84:I84"/>
    <mergeCell ref="A98:I98"/>
    <mergeCell ref="B99:G99"/>
    <mergeCell ref="B100:G100"/>
    <mergeCell ref="A102:I102"/>
    <mergeCell ref="A103:I103"/>
    <mergeCell ref="A104:I104"/>
    <mergeCell ref="A106:I106"/>
    <mergeCell ref="C108:F108"/>
    <mergeCell ref="C109:F109"/>
    <mergeCell ref="C111:F111"/>
    <mergeCell ref="A80:I80"/>
    <mergeCell ref="A97:I97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0"/>
  <sheetViews>
    <sheetView topLeftCell="A87" workbookViewId="0">
      <selection activeCell="B101" sqref="B101:G101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9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87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165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197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43220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155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/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v>0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/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v>0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46">
        <v>6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v>0</v>
      </c>
      <c r="J25" s="24"/>
      <c r="K25" s="8"/>
      <c r="L25" s="8"/>
      <c r="M25" s="8"/>
    </row>
    <row r="26" spans="1:13" ht="15.75" customHeight="1">
      <c r="A26" s="46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46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46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hidden="1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hidden="1" customHeight="1">
      <c r="A31" s="46">
        <v>2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v>0</v>
      </c>
      <c r="J31" s="24"/>
      <c r="K31" s="8"/>
      <c r="L31" s="8"/>
      <c r="M31" s="8"/>
    </row>
    <row r="32" spans="1:13" ht="31.5" hidden="1" customHeight="1">
      <c r="A32" s="46">
        <v>3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v>0</v>
      </c>
      <c r="J32" s="24"/>
      <c r="K32" s="8"/>
      <c r="L32" s="8"/>
      <c r="M32" s="8"/>
    </row>
    <row r="33" spans="1:14" ht="15.75" hidden="1" customHeight="1">
      <c r="A33" s="46">
        <v>4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v>0</v>
      </c>
      <c r="J33" s="24"/>
      <c r="K33" s="8"/>
      <c r="L33" s="8"/>
      <c r="M33" s="8"/>
    </row>
    <row r="34" spans="1:14" ht="15.75" hidden="1" customHeight="1">
      <c r="A34" s="46"/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v>0</v>
      </c>
      <c r="J34" s="24"/>
      <c r="K34" s="8"/>
      <c r="L34" s="8"/>
      <c r="M34" s="8"/>
    </row>
    <row r="35" spans="1:14" ht="15.75" hidden="1" customHeight="1">
      <c r="A35" s="46">
        <v>5</v>
      </c>
      <c r="B35" s="80" t="s">
        <v>160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v>0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2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2"/>
        <v>3.40896</v>
      </c>
      <c r="I37" s="14">
        <v>0</v>
      </c>
      <c r="J37" s="25"/>
    </row>
    <row r="38" spans="1:14" ht="15.75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2" si="3">F39/6*G39</f>
        <v>3818.05</v>
      </c>
      <c r="J39" s="25"/>
    </row>
    <row r="40" spans="1:14" ht="15.75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4">SUM(F40*G40/1000)</f>
        <v>57.598483674999997</v>
      </c>
      <c r="I40" s="14">
        <f t="shared" si="3"/>
        <v>9599.747279166666</v>
      </c>
      <c r="J40" s="25"/>
    </row>
    <row r="41" spans="1:14" ht="15.75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4"/>
        <v>7.611275</v>
      </c>
      <c r="I41" s="14">
        <f t="shared" si="3"/>
        <v>1268.5458333333333</v>
      </c>
      <c r="J41" s="25"/>
    </row>
    <row r="42" spans="1:14" ht="31.5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4"/>
        <v>9.7495103999999984</v>
      </c>
      <c r="I42" s="14">
        <f t="shared" si="3"/>
        <v>1624.9183999999998</v>
      </c>
      <c r="J42" s="25"/>
    </row>
    <row r="43" spans="1:14" ht="15.75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4"/>
        <v>2.7008100000000002</v>
      </c>
      <c r="I43" s="14">
        <f>F43/7.5*1.5*G43</f>
        <v>540.16200000000003</v>
      </c>
      <c r="J43" s="25"/>
    </row>
    <row r="44" spans="1:14" ht="15.75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4"/>
        <v>0.71820000000000006</v>
      </c>
      <c r="I44" s="14">
        <f>F44/7.5*1.5*G44</f>
        <v>143.64000000000001</v>
      </c>
      <c r="J44" s="25"/>
      <c r="L44" s="21"/>
      <c r="M44" s="22"/>
      <c r="N44" s="23"/>
    </row>
    <row r="45" spans="1:14" ht="15.75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33.75" customHeight="1">
      <c r="A46" s="36">
        <v>16</v>
      </c>
      <c r="B46" s="35" t="s">
        <v>127</v>
      </c>
      <c r="C46" s="45" t="s">
        <v>120</v>
      </c>
      <c r="D46" s="35" t="s">
        <v>41</v>
      </c>
      <c r="E46" s="81"/>
      <c r="F46" s="34">
        <f>SUM(E46*2/1000)</f>
        <v>0</v>
      </c>
      <c r="G46" s="39">
        <v>1213.55</v>
      </c>
      <c r="H46" s="83"/>
      <c r="I46" s="14">
        <f>3.2808*G46</f>
        <v>3981.4148399999999</v>
      </c>
      <c r="J46" s="25"/>
      <c r="L46" s="21"/>
      <c r="M46" s="22"/>
      <c r="N46" s="23"/>
    </row>
    <row r="47" spans="1:14" ht="32.25" customHeight="1">
      <c r="A47" s="36">
        <v>17</v>
      </c>
      <c r="B47" s="35" t="s">
        <v>143</v>
      </c>
      <c r="C47" s="45" t="s">
        <v>37</v>
      </c>
      <c r="D47" s="35" t="s">
        <v>41</v>
      </c>
      <c r="E47" s="81"/>
      <c r="F47" s="34">
        <f>SUM(E47*2/100)</f>
        <v>0</v>
      </c>
      <c r="G47" s="39">
        <v>2730.49</v>
      </c>
      <c r="H47" s="83"/>
      <c r="I47" s="14">
        <f>0.8/2*G47</f>
        <v>1092.1959999999999</v>
      </c>
      <c r="J47" s="25"/>
      <c r="L47" s="21"/>
      <c r="M47" s="22"/>
      <c r="N47" s="23"/>
    </row>
    <row r="48" spans="1:14" ht="25.5" customHeight="1">
      <c r="A48" s="46">
        <v>18</v>
      </c>
      <c r="B48" s="80" t="s">
        <v>38</v>
      </c>
      <c r="C48" s="69" t="s">
        <v>39</v>
      </c>
      <c r="D48" s="80" t="s">
        <v>41</v>
      </c>
      <c r="E48" s="81">
        <v>1</v>
      </c>
      <c r="F48" s="135">
        <v>0.02</v>
      </c>
      <c r="G48" s="134">
        <v>5652.13</v>
      </c>
      <c r="H48" s="83">
        <f t="shared" ref="H48:H49" si="5">SUM(F48*G48/1000)</f>
        <v>0.11304260000000001</v>
      </c>
      <c r="I48" s="14">
        <f>F48/2*G48</f>
        <v>56.521300000000004</v>
      </c>
      <c r="J48" s="25"/>
      <c r="L48" s="21"/>
      <c r="M48" s="22"/>
      <c r="N48" s="23"/>
    </row>
    <row r="49" spans="1:14" ht="19.5" hidden="1" customHeight="1">
      <c r="A49" s="46">
        <v>17</v>
      </c>
      <c r="B49" s="80" t="s">
        <v>40</v>
      </c>
      <c r="C49" s="69" t="s">
        <v>128</v>
      </c>
      <c r="D49" s="80" t="s">
        <v>72</v>
      </c>
      <c r="E49" s="81">
        <v>238</v>
      </c>
      <c r="F49" s="82">
        <f>SUM(E49)*3</f>
        <v>714</v>
      </c>
      <c r="G49" s="14">
        <v>65.67</v>
      </c>
      <c r="H49" s="83">
        <f t="shared" si="5"/>
        <v>46.888380000000005</v>
      </c>
      <c r="I49" s="14">
        <f>E49*G49</f>
        <v>15629.460000000001</v>
      </c>
      <c r="J49" s="25"/>
      <c r="L49" s="21"/>
      <c r="M49" s="22"/>
      <c r="N49" s="23"/>
    </row>
    <row r="50" spans="1:14" ht="15.75" customHeight="1">
      <c r="A50" s="163" t="s">
        <v>158</v>
      </c>
      <c r="B50" s="164"/>
      <c r="C50" s="164"/>
      <c r="D50" s="164"/>
      <c r="E50" s="164"/>
      <c r="F50" s="164"/>
      <c r="G50" s="164"/>
      <c r="H50" s="164"/>
      <c r="I50" s="165"/>
      <c r="J50" s="25"/>
      <c r="L50" s="21"/>
      <c r="M50" s="22"/>
      <c r="N50" s="23"/>
    </row>
    <row r="51" spans="1:14" ht="15.75" customHeight="1">
      <c r="A51" s="59"/>
      <c r="B51" s="53" t="s">
        <v>42</v>
      </c>
      <c r="C51" s="18"/>
      <c r="D51" s="17"/>
      <c r="E51" s="17"/>
      <c r="F51" s="17"/>
      <c r="G51" s="31"/>
      <c r="H51" s="31"/>
      <c r="I51" s="20"/>
      <c r="J51" s="25"/>
      <c r="L51" s="21"/>
      <c r="M51" s="22"/>
      <c r="N51" s="23"/>
    </row>
    <row r="52" spans="1:14" ht="15.75" hidden="1" customHeight="1">
      <c r="A52" s="46">
        <v>15</v>
      </c>
      <c r="B52" s="80" t="s">
        <v>145</v>
      </c>
      <c r="C52" s="69" t="s">
        <v>110</v>
      </c>
      <c r="D52" s="80" t="s">
        <v>53</v>
      </c>
      <c r="E52" s="89">
        <v>1640.4</v>
      </c>
      <c r="F52" s="14">
        <f>E52/100</f>
        <v>16.404</v>
      </c>
      <c r="G52" s="82">
        <v>472.59</v>
      </c>
      <c r="H52" s="83">
        <f>SUM(F52*G52/1000)</f>
        <v>7.7523663599999999</v>
      </c>
      <c r="I52" s="14">
        <v>0</v>
      </c>
      <c r="J52" s="25"/>
      <c r="L52" s="21"/>
      <c r="M52" s="22"/>
      <c r="N52" s="23"/>
    </row>
    <row r="53" spans="1:14" ht="31.5" customHeight="1">
      <c r="A53" s="46">
        <v>19</v>
      </c>
      <c r="B53" s="80" t="s">
        <v>146</v>
      </c>
      <c r="C53" s="69" t="s">
        <v>110</v>
      </c>
      <c r="D53" s="80" t="s">
        <v>147</v>
      </c>
      <c r="E53" s="81">
        <v>164.04</v>
      </c>
      <c r="F53" s="14">
        <f>E53*6/100</f>
        <v>9.8423999999999996</v>
      </c>
      <c r="G53" s="90">
        <v>1547.28</v>
      </c>
      <c r="H53" s="83">
        <f>F53*G53/1000</f>
        <v>15.228948671999998</v>
      </c>
      <c r="I53" s="14">
        <f>G53*1.08</f>
        <v>1671.0624</v>
      </c>
      <c r="J53" s="25"/>
      <c r="L53" s="21"/>
      <c r="M53" s="22"/>
      <c r="N53" s="23"/>
    </row>
    <row r="54" spans="1:14" ht="15.75" customHeight="1">
      <c r="A54" s="46">
        <v>20</v>
      </c>
      <c r="B54" s="91" t="s">
        <v>97</v>
      </c>
      <c r="C54" s="92" t="s">
        <v>110</v>
      </c>
      <c r="D54" s="91" t="s">
        <v>148</v>
      </c>
      <c r="E54" s="93">
        <v>8</v>
      </c>
      <c r="F54" s="94">
        <f>E54*8/100</f>
        <v>0.64</v>
      </c>
      <c r="G54" s="90">
        <v>1547.28</v>
      </c>
      <c r="H54" s="95">
        <f>F54*G54/1000</f>
        <v>0.99025920000000001</v>
      </c>
      <c r="I54" s="14">
        <f>F54/6*G54</f>
        <v>165.04320000000001</v>
      </c>
      <c r="J54" s="25"/>
      <c r="L54" s="21"/>
      <c r="M54" s="22"/>
      <c r="N54" s="23"/>
    </row>
    <row r="55" spans="1:14" ht="15.75" hidden="1" customHeight="1">
      <c r="A55" s="46"/>
      <c r="B55" s="91" t="s">
        <v>102</v>
      </c>
      <c r="C55" s="92" t="s">
        <v>103</v>
      </c>
      <c r="D55" s="91" t="s">
        <v>41</v>
      </c>
      <c r="E55" s="93">
        <v>8</v>
      </c>
      <c r="F55" s="94">
        <v>16</v>
      </c>
      <c r="G55" s="96">
        <v>180.78</v>
      </c>
      <c r="H55" s="95">
        <f>F55*G55/1000</f>
        <v>2.8924799999999999</v>
      </c>
      <c r="I55" s="14">
        <v>0</v>
      </c>
      <c r="J55" s="25"/>
      <c r="L55" s="21"/>
      <c r="M55" s="22"/>
      <c r="N55" s="23"/>
    </row>
    <row r="56" spans="1:14" ht="15.75" customHeight="1">
      <c r="A56" s="46"/>
      <c r="B56" s="75" t="s">
        <v>43</v>
      </c>
      <c r="C56" s="75"/>
      <c r="D56" s="75"/>
      <c r="E56" s="75"/>
      <c r="F56" s="75"/>
      <c r="G56" s="75"/>
      <c r="H56" s="75"/>
      <c r="I56" s="38"/>
      <c r="J56" s="25"/>
      <c r="L56" s="21"/>
      <c r="M56" s="22"/>
      <c r="N56" s="23"/>
    </row>
    <row r="57" spans="1:14" ht="15.75" customHeight="1">
      <c r="A57" s="46">
        <v>21</v>
      </c>
      <c r="B57" s="91" t="s">
        <v>98</v>
      </c>
      <c r="C57" s="92" t="s">
        <v>25</v>
      </c>
      <c r="D57" s="91" t="s">
        <v>149</v>
      </c>
      <c r="E57" s="93">
        <v>329.4</v>
      </c>
      <c r="F57" s="94">
        <f>E57*12</f>
        <v>3952.7999999999997</v>
      </c>
      <c r="G57" s="97">
        <v>1.2</v>
      </c>
      <c r="H57" s="95">
        <f>G57*F57</f>
        <v>4743.3599999999997</v>
      </c>
      <c r="I57" s="14">
        <f>2400/12*G57</f>
        <v>240</v>
      </c>
      <c r="J57" s="25"/>
      <c r="L57" s="21"/>
      <c r="M57" s="22"/>
      <c r="N57" s="23"/>
    </row>
    <row r="58" spans="1:14" ht="15.75" hidden="1" customHeight="1">
      <c r="A58" s="46"/>
      <c r="B58" s="91" t="s">
        <v>44</v>
      </c>
      <c r="C58" s="92" t="s">
        <v>25</v>
      </c>
      <c r="D58" s="91" t="s">
        <v>53</v>
      </c>
      <c r="E58" s="93">
        <v>1640.4</v>
      </c>
      <c r="F58" s="94">
        <v>16.404</v>
      </c>
      <c r="G58" s="98">
        <v>739.61</v>
      </c>
      <c r="H58" s="95">
        <f>G58*F58/1000</f>
        <v>12.132562439999999</v>
      </c>
      <c r="I58" s="14">
        <v>0</v>
      </c>
      <c r="J58" s="25"/>
      <c r="L58" s="21"/>
      <c r="M58" s="22"/>
      <c r="N58" s="23"/>
    </row>
    <row r="59" spans="1:14" ht="15.75" hidden="1" customHeight="1">
      <c r="A59" s="46"/>
      <c r="B59" s="75" t="s">
        <v>45</v>
      </c>
      <c r="C59" s="18"/>
      <c r="D59" s="42"/>
      <c r="E59" s="42"/>
      <c r="F59" s="17"/>
      <c r="G59" s="31"/>
      <c r="H59" s="31"/>
      <c r="I59" s="20"/>
      <c r="J59" s="25"/>
      <c r="L59" s="21"/>
      <c r="M59" s="22"/>
      <c r="N59" s="23"/>
    </row>
    <row r="60" spans="1:14" ht="15.75" hidden="1" customHeight="1">
      <c r="A60" s="46">
        <v>21</v>
      </c>
      <c r="B60" s="16" t="s">
        <v>46</v>
      </c>
      <c r="C60" s="18" t="s">
        <v>128</v>
      </c>
      <c r="D60" s="16" t="s">
        <v>67</v>
      </c>
      <c r="E60" s="20">
        <v>40</v>
      </c>
      <c r="F60" s="82">
        <v>40</v>
      </c>
      <c r="G60" s="14">
        <v>222.4</v>
      </c>
      <c r="H60" s="77">
        <f t="shared" ref="H60:H67" si="6">SUM(F60*G60/1000)</f>
        <v>8.8960000000000008</v>
      </c>
      <c r="I60" s="14">
        <f>G60</f>
        <v>222.4</v>
      </c>
      <c r="J60" s="25"/>
      <c r="L60" s="21"/>
      <c r="M60" s="22"/>
      <c r="N60" s="23"/>
    </row>
    <row r="61" spans="1:14" ht="15.75" hidden="1" customHeight="1">
      <c r="A61" s="31">
        <v>29</v>
      </c>
      <c r="B61" s="16" t="s">
        <v>47</v>
      </c>
      <c r="C61" s="18" t="s">
        <v>128</v>
      </c>
      <c r="D61" s="16" t="s">
        <v>67</v>
      </c>
      <c r="E61" s="20">
        <v>15</v>
      </c>
      <c r="F61" s="82">
        <v>15</v>
      </c>
      <c r="G61" s="14">
        <v>76.25</v>
      </c>
      <c r="H61" s="77">
        <f t="shared" si="6"/>
        <v>1.14375</v>
      </c>
      <c r="I61" s="14">
        <v>0</v>
      </c>
      <c r="J61" s="25"/>
      <c r="L61" s="21"/>
      <c r="M61" s="22"/>
      <c r="N61" s="23"/>
    </row>
    <row r="62" spans="1:14" ht="15.75" hidden="1" customHeight="1">
      <c r="A62" s="31">
        <v>8</v>
      </c>
      <c r="B62" s="16" t="s">
        <v>48</v>
      </c>
      <c r="C62" s="18" t="s">
        <v>129</v>
      </c>
      <c r="D62" s="16" t="s">
        <v>53</v>
      </c>
      <c r="E62" s="81">
        <v>24648</v>
      </c>
      <c r="F62" s="14">
        <f>SUM(E62/100)</f>
        <v>246.48</v>
      </c>
      <c r="G62" s="14">
        <v>212.15</v>
      </c>
      <c r="H62" s="77">
        <f t="shared" si="6"/>
        <v>52.290731999999998</v>
      </c>
      <c r="I62" s="14">
        <v>0</v>
      </c>
      <c r="J62" s="25"/>
      <c r="L62" s="21"/>
      <c r="M62" s="22"/>
      <c r="N62" s="23"/>
    </row>
    <row r="63" spans="1:14" ht="15.75" hidden="1" customHeight="1">
      <c r="A63" s="31">
        <v>9</v>
      </c>
      <c r="B63" s="16" t="s">
        <v>49</v>
      </c>
      <c r="C63" s="18" t="s">
        <v>130</v>
      </c>
      <c r="D63" s="16"/>
      <c r="E63" s="81">
        <v>24648</v>
      </c>
      <c r="F63" s="14">
        <f>SUM(E63/1000)</f>
        <v>24.648</v>
      </c>
      <c r="G63" s="14">
        <v>165.21</v>
      </c>
      <c r="H63" s="77">
        <f t="shared" si="6"/>
        <v>4.0720960800000006</v>
      </c>
      <c r="I63" s="14">
        <v>0</v>
      </c>
      <c r="J63" s="25"/>
      <c r="L63" s="21"/>
      <c r="M63" s="22"/>
      <c r="N63" s="23"/>
    </row>
    <row r="64" spans="1:14" ht="15.75" hidden="1" customHeight="1">
      <c r="A64" s="31">
        <v>10</v>
      </c>
      <c r="B64" s="16" t="s">
        <v>50</v>
      </c>
      <c r="C64" s="18" t="s">
        <v>76</v>
      </c>
      <c r="D64" s="16" t="s">
        <v>53</v>
      </c>
      <c r="E64" s="81">
        <v>2730</v>
      </c>
      <c r="F64" s="14">
        <f>SUM(E64/100)</f>
        <v>27.3</v>
      </c>
      <c r="G64" s="14">
        <v>2074.63</v>
      </c>
      <c r="H64" s="77">
        <f t="shared" si="6"/>
        <v>56.637399000000002</v>
      </c>
      <c r="I64" s="14">
        <v>0</v>
      </c>
      <c r="J64" s="25"/>
      <c r="L64" s="21"/>
    </row>
    <row r="65" spans="1:22" ht="15.75" hidden="1" customHeight="1">
      <c r="A65" s="31">
        <v>11</v>
      </c>
      <c r="B65" s="99" t="s">
        <v>131</v>
      </c>
      <c r="C65" s="18" t="s">
        <v>33</v>
      </c>
      <c r="D65" s="16"/>
      <c r="E65" s="81">
        <v>20.28</v>
      </c>
      <c r="F65" s="14">
        <f>SUM(E65)</f>
        <v>20.28</v>
      </c>
      <c r="G65" s="14">
        <v>45.32</v>
      </c>
      <c r="H65" s="77">
        <f t="shared" si="6"/>
        <v>0.91908960000000006</v>
      </c>
      <c r="I65" s="14">
        <v>0</v>
      </c>
    </row>
    <row r="66" spans="1:22" ht="15.75" hidden="1" customHeight="1">
      <c r="A66" s="31">
        <v>12</v>
      </c>
      <c r="B66" s="99" t="s">
        <v>161</v>
      </c>
      <c r="C66" s="18" t="s">
        <v>33</v>
      </c>
      <c r="D66" s="16"/>
      <c r="E66" s="81">
        <v>20.28</v>
      </c>
      <c r="F66" s="14">
        <f>SUM(E66)</f>
        <v>20.28</v>
      </c>
      <c r="G66" s="14">
        <v>42.28</v>
      </c>
      <c r="H66" s="77">
        <f t="shared" si="6"/>
        <v>0.85743840000000016</v>
      </c>
      <c r="I66" s="14">
        <v>0</v>
      </c>
    </row>
    <row r="67" spans="1:22" ht="15.75" hidden="1" customHeight="1">
      <c r="A67" s="31">
        <v>13</v>
      </c>
      <c r="B67" s="16" t="s">
        <v>57</v>
      </c>
      <c r="C67" s="18" t="s">
        <v>58</v>
      </c>
      <c r="D67" s="16" t="s">
        <v>53</v>
      </c>
      <c r="E67" s="20">
        <v>12</v>
      </c>
      <c r="F67" s="82">
        <f>SUM(E67)</f>
        <v>12</v>
      </c>
      <c r="G67" s="14">
        <v>49.88</v>
      </c>
      <c r="H67" s="77">
        <f t="shared" si="6"/>
        <v>0.59856000000000009</v>
      </c>
      <c r="I67" s="14">
        <v>0</v>
      </c>
    </row>
    <row r="68" spans="1:22" ht="15.75" hidden="1" customHeight="1">
      <c r="A68" s="59"/>
      <c r="B68" s="75" t="s">
        <v>132</v>
      </c>
      <c r="C68" s="75"/>
      <c r="D68" s="75"/>
      <c r="E68" s="75"/>
      <c r="F68" s="75"/>
      <c r="G68" s="75"/>
      <c r="H68" s="75"/>
      <c r="I68" s="20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1">
        <v>36</v>
      </c>
      <c r="B69" s="80" t="s">
        <v>133</v>
      </c>
      <c r="C69" s="18"/>
      <c r="D69" s="16"/>
      <c r="E69" s="78"/>
      <c r="F69" s="14">
        <v>1</v>
      </c>
      <c r="G69" s="14">
        <v>27356</v>
      </c>
      <c r="H69" s="77">
        <f>G69*F69/1000</f>
        <v>27.356000000000002</v>
      </c>
      <c r="I69" s="14">
        <v>0</v>
      </c>
      <c r="J69" s="27"/>
      <c r="K69" s="27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1"/>
      <c r="B70" s="54" t="s">
        <v>73</v>
      </c>
      <c r="C70" s="54"/>
      <c r="D70" s="54"/>
      <c r="E70" s="54"/>
      <c r="F70" s="20"/>
      <c r="G70" s="31"/>
      <c r="H70" s="31"/>
      <c r="I70" s="20"/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31"/>
      <c r="B71" s="16" t="s">
        <v>90</v>
      </c>
      <c r="C71" s="18" t="s">
        <v>31</v>
      </c>
      <c r="D71" s="16"/>
      <c r="E71" s="20">
        <v>2</v>
      </c>
      <c r="F71" s="82">
        <f>SUM(E71)</f>
        <v>2</v>
      </c>
      <c r="G71" s="14">
        <v>358.51</v>
      </c>
      <c r="H71" s="77">
        <f>SUM(F71*G71/1000)</f>
        <v>0.71701999999999999</v>
      </c>
      <c r="I71" s="14">
        <v>0</v>
      </c>
      <c r="J71" s="5"/>
      <c r="K71" s="5"/>
      <c r="L71" s="5"/>
      <c r="M71" s="5"/>
      <c r="N71" s="5"/>
      <c r="O71" s="5"/>
      <c r="P71" s="5"/>
      <c r="Q71" s="5"/>
      <c r="R71" s="156"/>
      <c r="S71" s="156"/>
      <c r="T71" s="156"/>
      <c r="U71" s="156"/>
    </row>
    <row r="72" spans="1:22" ht="15.75" hidden="1" customHeight="1">
      <c r="A72" s="31"/>
      <c r="B72" s="16" t="s">
        <v>74</v>
      </c>
      <c r="C72" s="18" t="s">
        <v>31</v>
      </c>
      <c r="D72" s="16"/>
      <c r="E72" s="20">
        <v>1</v>
      </c>
      <c r="F72" s="14">
        <v>1</v>
      </c>
      <c r="G72" s="14">
        <v>852.99</v>
      </c>
      <c r="H72" s="77">
        <f>F72*G72/1000</f>
        <v>0.85299000000000003</v>
      </c>
      <c r="I72" s="14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31"/>
      <c r="B73" s="55" t="s">
        <v>75</v>
      </c>
      <c r="C73" s="43"/>
      <c r="D73" s="31"/>
      <c r="E73" s="31"/>
      <c r="F73" s="20"/>
      <c r="G73" s="39" t="s">
        <v>150</v>
      </c>
      <c r="H73" s="39"/>
      <c r="I73" s="20"/>
    </row>
    <row r="74" spans="1:22" ht="15.75" hidden="1" customHeight="1">
      <c r="A74" s="31">
        <v>39</v>
      </c>
      <c r="B74" s="57" t="s">
        <v>134</v>
      </c>
      <c r="C74" s="18" t="s">
        <v>76</v>
      </c>
      <c r="D74" s="16"/>
      <c r="E74" s="20"/>
      <c r="F74" s="14">
        <v>1.35</v>
      </c>
      <c r="G74" s="14">
        <v>2759.44</v>
      </c>
      <c r="H74" s="77">
        <f>SUM(F74*G74/1000)</f>
        <v>3.725244</v>
      </c>
      <c r="I74" s="14">
        <v>0</v>
      </c>
    </row>
    <row r="75" spans="1:22" ht="15.75" customHeight="1">
      <c r="A75" s="125"/>
      <c r="B75" s="131" t="s">
        <v>198</v>
      </c>
      <c r="C75" s="126"/>
      <c r="D75" s="127"/>
      <c r="E75" s="128"/>
      <c r="F75" s="129"/>
      <c r="G75" s="129"/>
      <c r="H75" s="129"/>
      <c r="I75" s="130"/>
    </row>
    <row r="76" spans="1:22" ht="15.75" customHeight="1">
      <c r="A76" s="31">
        <v>22</v>
      </c>
      <c r="B76" s="142" t="s">
        <v>46</v>
      </c>
      <c r="C76" s="43" t="s">
        <v>128</v>
      </c>
      <c r="D76" s="42" t="s">
        <v>67</v>
      </c>
      <c r="E76" s="20"/>
      <c r="F76" s="14"/>
      <c r="G76" s="39">
        <v>222.4</v>
      </c>
      <c r="H76" s="14"/>
      <c r="I76" s="14">
        <f>G76*2</f>
        <v>444.8</v>
      </c>
    </row>
    <row r="77" spans="1:22" ht="15.75" customHeight="1">
      <c r="A77" s="147" t="s">
        <v>159</v>
      </c>
      <c r="B77" s="148"/>
      <c r="C77" s="148"/>
      <c r="D77" s="148"/>
      <c r="E77" s="148"/>
      <c r="F77" s="148"/>
      <c r="G77" s="148"/>
      <c r="H77" s="148"/>
      <c r="I77" s="149"/>
    </row>
    <row r="78" spans="1:22" ht="15.75" customHeight="1">
      <c r="A78" s="136">
        <v>23</v>
      </c>
      <c r="B78" s="91" t="s">
        <v>135</v>
      </c>
      <c r="C78" s="137" t="s">
        <v>54</v>
      </c>
      <c r="D78" s="138" t="s">
        <v>55</v>
      </c>
      <c r="E78" s="123">
        <v>5926.8</v>
      </c>
      <c r="F78" s="123">
        <f>SUM(E78*12)</f>
        <v>71121.600000000006</v>
      </c>
      <c r="G78" s="123">
        <v>2.1</v>
      </c>
      <c r="H78" s="139">
        <f>SUM(F78*G78/1000)</f>
        <v>149.35536000000002</v>
      </c>
      <c r="I78" s="123">
        <f>F78/12*G78</f>
        <v>12446.28</v>
      </c>
    </row>
    <row r="79" spans="1:22" ht="31.5" customHeight="1">
      <c r="A79" s="31">
        <v>24</v>
      </c>
      <c r="B79" s="16" t="s">
        <v>77</v>
      </c>
      <c r="C79" s="18"/>
      <c r="D79" s="101" t="s">
        <v>55</v>
      </c>
      <c r="E79" s="20">
        <v>5926.8</v>
      </c>
      <c r="F79" s="14">
        <f>E79*12</f>
        <v>71121.600000000006</v>
      </c>
      <c r="G79" s="14">
        <v>1.63</v>
      </c>
      <c r="H79" s="14">
        <f>F79*G79/1000</f>
        <v>115.928208</v>
      </c>
      <c r="I79" s="14">
        <f>F79/12*G79</f>
        <v>9660.6839999999993</v>
      </c>
    </row>
    <row r="80" spans="1:22" ht="15.75" customHeight="1">
      <c r="A80" s="124"/>
      <c r="B80" s="44" t="s">
        <v>80</v>
      </c>
      <c r="C80" s="46"/>
      <c r="D80" s="17"/>
      <c r="E80" s="17"/>
      <c r="F80" s="17"/>
      <c r="G80" s="20"/>
      <c r="H80" s="20"/>
      <c r="I80" s="33">
        <f>I79+I78+I76+I57+I54+I53+I48+I47+I46+I44+I43+I42+I41+I40+I39+I28+I27+I26+I24+I21+I20+I18+I17+I16</f>
        <v>95811.220458499985</v>
      </c>
    </row>
    <row r="81" spans="1:9" ht="15.75" customHeight="1">
      <c r="A81" s="150" t="s">
        <v>60</v>
      </c>
      <c r="B81" s="151"/>
      <c r="C81" s="151"/>
      <c r="D81" s="151"/>
      <c r="E81" s="151"/>
      <c r="F81" s="151"/>
      <c r="G81" s="151"/>
      <c r="H81" s="151"/>
      <c r="I81" s="152"/>
    </row>
    <row r="82" spans="1:9" ht="31.5" hidden="1" customHeight="1">
      <c r="A82" s="31">
        <v>23</v>
      </c>
      <c r="B82" s="133" t="s">
        <v>199</v>
      </c>
      <c r="C82" s="132" t="s">
        <v>110</v>
      </c>
      <c r="D82" s="57"/>
      <c r="E82" s="14"/>
      <c r="F82" s="14">
        <v>7.0000000000000007E-2</v>
      </c>
      <c r="G82" s="134">
        <v>1547.28</v>
      </c>
      <c r="H82" s="77">
        <f t="shared" ref="H82" si="7">G82*F82/1000</f>
        <v>0.10830960000000001</v>
      </c>
      <c r="I82" s="14">
        <f>G82*0.18</f>
        <v>278.5104</v>
      </c>
    </row>
    <row r="83" spans="1:9" ht="51" customHeight="1">
      <c r="A83" s="31">
        <v>25</v>
      </c>
      <c r="B83" s="104" t="s">
        <v>200</v>
      </c>
      <c r="C83" s="66" t="s">
        <v>186</v>
      </c>
      <c r="D83" s="57"/>
      <c r="E83" s="14"/>
      <c r="F83" s="14">
        <v>968</v>
      </c>
      <c r="G83" s="39">
        <v>2800.25</v>
      </c>
      <c r="H83" s="77">
        <f>G83*F83/1000</f>
        <v>2710.6419999999998</v>
      </c>
      <c r="I83" s="14">
        <f>G83*3</f>
        <v>8400.75</v>
      </c>
    </row>
    <row r="84" spans="1:9" ht="15.75" customHeight="1">
      <c r="A84" s="31">
        <v>26</v>
      </c>
      <c r="B84" s="104" t="s">
        <v>185</v>
      </c>
      <c r="C84" s="105" t="s">
        <v>186</v>
      </c>
      <c r="D84" s="57"/>
      <c r="E84" s="14"/>
      <c r="F84" s="14">
        <v>5</v>
      </c>
      <c r="G84" s="39">
        <v>134.12</v>
      </c>
      <c r="H84" s="77">
        <f>G84*F84/1000</f>
        <v>0.67059999999999997</v>
      </c>
      <c r="I84" s="14">
        <f>G84*21</f>
        <v>2816.52</v>
      </c>
    </row>
    <row r="85" spans="1:9" ht="18.75" customHeight="1">
      <c r="A85" s="31">
        <v>27</v>
      </c>
      <c r="B85" s="104" t="s">
        <v>201</v>
      </c>
      <c r="C85" s="105" t="s">
        <v>202</v>
      </c>
      <c r="D85" s="57"/>
      <c r="E85" s="14"/>
      <c r="F85" s="14">
        <v>2</v>
      </c>
      <c r="G85" s="39">
        <v>377</v>
      </c>
      <c r="H85" s="77">
        <f t="shared" ref="H85:H86" si="8">G85*F85/1000</f>
        <v>0.754</v>
      </c>
      <c r="I85" s="14">
        <f>G85*3</f>
        <v>1131</v>
      </c>
    </row>
    <row r="86" spans="1:9" ht="17.25" customHeight="1">
      <c r="A86" s="31">
        <v>28</v>
      </c>
      <c r="B86" s="104" t="s">
        <v>203</v>
      </c>
      <c r="C86" s="105" t="s">
        <v>186</v>
      </c>
      <c r="D86" s="57"/>
      <c r="E86" s="14"/>
      <c r="F86" s="14">
        <v>1</v>
      </c>
      <c r="G86" s="39">
        <v>257.93</v>
      </c>
      <c r="H86" s="77">
        <f t="shared" si="8"/>
        <v>0.25792999999999999</v>
      </c>
      <c r="I86" s="14">
        <f>G86*90</f>
        <v>23213.7</v>
      </c>
    </row>
    <row r="87" spans="1:9" ht="15.75" customHeight="1">
      <c r="A87" s="31" t="s">
        <v>208</v>
      </c>
      <c r="B87" s="104" t="s">
        <v>104</v>
      </c>
      <c r="C87" s="105" t="s">
        <v>128</v>
      </c>
      <c r="D87" s="57"/>
      <c r="E87" s="14"/>
      <c r="F87" s="14">
        <v>1</v>
      </c>
      <c r="G87" s="40">
        <v>55.55</v>
      </c>
      <c r="H87" s="77">
        <f>G87*F87/1000</f>
        <v>5.5549999999999995E-2</v>
      </c>
      <c r="I87" s="14">
        <f>G87*121</f>
        <v>6721.5499999999993</v>
      </c>
    </row>
    <row r="88" spans="1:9" ht="15.75" customHeight="1">
      <c r="A88" s="31">
        <v>30</v>
      </c>
      <c r="B88" s="104" t="s">
        <v>204</v>
      </c>
      <c r="C88" s="105" t="s">
        <v>128</v>
      </c>
      <c r="D88" s="57"/>
      <c r="E88" s="14"/>
      <c r="F88" s="14">
        <v>1</v>
      </c>
      <c r="G88" s="40">
        <v>230.17</v>
      </c>
      <c r="H88" s="77">
        <f t="shared" ref="H88:H89" si="9">G88*F88/1000</f>
        <v>0.23016999999999999</v>
      </c>
      <c r="I88" s="14">
        <f>G88*1</f>
        <v>230.17</v>
      </c>
    </row>
    <row r="89" spans="1:9" ht="31.5" customHeight="1">
      <c r="A89" s="31">
        <v>31</v>
      </c>
      <c r="B89" s="140" t="s">
        <v>170</v>
      </c>
      <c r="C89" s="141" t="s">
        <v>108</v>
      </c>
      <c r="D89" s="16"/>
      <c r="E89" s="20"/>
      <c r="F89" s="14">
        <v>1</v>
      </c>
      <c r="G89" s="39">
        <v>56.34</v>
      </c>
      <c r="H89" s="77">
        <f t="shared" si="9"/>
        <v>5.6340000000000001E-2</v>
      </c>
      <c r="I89" s="14">
        <f>G89*2</f>
        <v>112.68</v>
      </c>
    </row>
    <row r="90" spans="1:9" ht="15.75" customHeight="1">
      <c r="A90" s="31">
        <v>32</v>
      </c>
      <c r="B90" s="62" t="s">
        <v>205</v>
      </c>
      <c r="C90" s="66" t="s">
        <v>120</v>
      </c>
      <c r="D90" s="57"/>
      <c r="E90" s="14"/>
      <c r="F90" s="14">
        <v>9</v>
      </c>
      <c r="G90" s="39">
        <v>849.49</v>
      </c>
      <c r="H90" s="77">
        <f>G90*F90/1000</f>
        <v>7.64541</v>
      </c>
      <c r="I90" s="14">
        <f>G90*0.062</f>
        <v>52.668379999999999</v>
      </c>
    </row>
    <row r="91" spans="1:9" ht="15.75" customHeight="1">
      <c r="A91" s="31">
        <v>33</v>
      </c>
      <c r="B91" s="62" t="s">
        <v>206</v>
      </c>
      <c r="C91" s="66" t="s">
        <v>186</v>
      </c>
      <c r="D91" s="57"/>
      <c r="E91" s="14"/>
      <c r="F91" s="14">
        <f>1.3/10</f>
        <v>0.13</v>
      </c>
      <c r="G91" s="39">
        <v>19.73</v>
      </c>
      <c r="H91" s="77">
        <f>G91*F91/1000</f>
        <v>2.5649000000000002E-3</v>
      </c>
      <c r="I91" s="14">
        <f>G91*1</f>
        <v>19.73</v>
      </c>
    </row>
    <row r="92" spans="1:9" ht="15.75" customHeight="1">
      <c r="A92" s="31">
        <v>34</v>
      </c>
      <c r="B92" s="62" t="s">
        <v>207</v>
      </c>
      <c r="C92" s="66" t="s">
        <v>120</v>
      </c>
      <c r="D92" s="57"/>
      <c r="E92" s="14"/>
      <c r="F92" s="14">
        <f>1.3/100</f>
        <v>1.3000000000000001E-2</v>
      </c>
      <c r="G92" s="39">
        <v>1213.55</v>
      </c>
      <c r="H92" s="77">
        <f>G92*F92/1000</f>
        <v>1.5776150000000003E-2</v>
      </c>
      <c r="I92" s="14">
        <f>G92*0.04</f>
        <v>48.542000000000002</v>
      </c>
    </row>
    <row r="93" spans="1:9" ht="31.5" customHeight="1">
      <c r="A93" s="31">
        <v>35</v>
      </c>
      <c r="B93" s="62" t="s">
        <v>151</v>
      </c>
      <c r="C93" s="66" t="s">
        <v>37</v>
      </c>
      <c r="D93" s="57"/>
      <c r="E93" s="14"/>
      <c r="F93" s="14">
        <f>0.306/10</f>
        <v>3.0599999999999999E-2</v>
      </c>
      <c r="G93" s="39">
        <v>3724.37</v>
      </c>
      <c r="H93" s="77">
        <f>G93*F93/1000</f>
        <v>0.11396572199999999</v>
      </c>
      <c r="I93" s="14">
        <f>G93*0.02</f>
        <v>74.487399999999994</v>
      </c>
    </row>
    <row r="94" spans="1:9" ht="18" customHeight="1">
      <c r="A94" s="31">
        <v>36</v>
      </c>
      <c r="B94" s="106" t="s">
        <v>85</v>
      </c>
      <c r="C94" s="66" t="s">
        <v>128</v>
      </c>
      <c r="D94" s="57"/>
      <c r="E94" s="14"/>
      <c r="F94" s="14"/>
      <c r="G94" s="39">
        <v>197.26</v>
      </c>
      <c r="H94" s="77"/>
      <c r="I94" s="14">
        <f>G94*1</f>
        <v>197.26</v>
      </c>
    </row>
    <row r="95" spans="1:9" ht="18" customHeight="1">
      <c r="A95" s="31">
        <v>37</v>
      </c>
      <c r="B95" s="62" t="s">
        <v>172</v>
      </c>
      <c r="C95" s="66" t="s">
        <v>173</v>
      </c>
      <c r="D95" s="57"/>
      <c r="E95" s="14"/>
      <c r="F95" s="14"/>
      <c r="G95" s="39">
        <v>7709.44</v>
      </c>
      <c r="H95" s="77"/>
      <c r="I95" s="14">
        <f>G95*0.01</f>
        <v>77.094399999999993</v>
      </c>
    </row>
    <row r="96" spans="1:9" ht="15.75" customHeight="1">
      <c r="A96" s="31"/>
      <c r="B96" s="51" t="s">
        <v>51</v>
      </c>
      <c r="C96" s="47"/>
      <c r="D96" s="60"/>
      <c r="E96" s="60"/>
      <c r="F96" s="47">
        <v>1</v>
      </c>
      <c r="G96" s="47"/>
      <c r="H96" s="47"/>
      <c r="I96" s="33">
        <f>I95+I94+I93+I92+I91+I90+I89+I88+I86+I85+I84+I83</f>
        <v>36374.602180000002</v>
      </c>
    </row>
    <row r="97" spans="1:9" ht="15.75" customHeight="1">
      <c r="A97" s="31"/>
      <c r="B97" s="57" t="s">
        <v>78</v>
      </c>
      <c r="C97" s="17"/>
      <c r="D97" s="17"/>
      <c r="E97" s="17"/>
      <c r="F97" s="48"/>
      <c r="G97" s="49"/>
      <c r="H97" s="49"/>
      <c r="I97" s="19">
        <v>0</v>
      </c>
    </row>
    <row r="98" spans="1:9" ht="15.75" customHeight="1">
      <c r="A98" s="61"/>
      <c r="B98" s="52" t="s">
        <v>162</v>
      </c>
      <c r="C98" s="37"/>
      <c r="D98" s="37"/>
      <c r="E98" s="37"/>
      <c r="F98" s="37"/>
      <c r="G98" s="37"/>
      <c r="H98" s="37"/>
      <c r="I98" s="50">
        <f>I80+I96</f>
        <v>132185.82263849999</v>
      </c>
    </row>
    <row r="99" spans="1:9" ht="15.75" customHeight="1">
      <c r="A99" s="166" t="s">
        <v>209</v>
      </c>
      <c r="B99" s="167"/>
      <c r="C99" s="167"/>
      <c r="D99" s="167"/>
      <c r="E99" s="167"/>
      <c r="F99" s="167"/>
      <c r="G99" s="167"/>
      <c r="H99" s="167"/>
      <c r="I99" s="167"/>
    </row>
    <row r="100" spans="1:9" ht="15.75" customHeight="1">
      <c r="A100" s="168" t="s">
        <v>264</v>
      </c>
      <c r="B100" s="168"/>
      <c r="C100" s="168"/>
      <c r="D100" s="168"/>
      <c r="E100" s="168"/>
      <c r="F100" s="168"/>
      <c r="G100" s="168"/>
      <c r="H100" s="168"/>
      <c r="I100" s="168"/>
    </row>
    <row r="101" spans="1:9" ht="15.75" customHeight="1">
      <c r="A101" s="76"/>
      <c r="B101" s="158" t="s">
        <v>265</v>
      </c>
      <c r="C101" s="158"/>
      <c r="D101" s="158"/>
      <c r="E101" s="158"/>
      <c r="F101" s="158"/>
      <c r="G101" s="158"/>
      <c r="H101" s="79"/>
      <c r="I101" s="3"/>
    </row>
    <row r="102" spans="1:9" ht="15.75" customHeight="1">
      <c r="A102" s="71"/>
      <c r="B102" s="154" t="s">
        <v>6</v>
      </c>
      <c r="C102" s="154"/>
      <c r="D102" s="154"/>
      <c r="E102" s="154"/>
      <c r="F102" s="154"/>
      <c r="G102" s="154"/>
      <c r="H102" s="26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59" t="s">
        <v>7</v>
      </c>
      <c r="B104" s="159"/>
      <c r="C104" s="159"/>
      <c r="D104" s="159"/>
      <c r="E104" s="159"/>
      <c r="F104" s="159"/>
      <c r="G104" s="159"/>
      <c r="H104" s="159"/>
      <c r="I104" s="159"/>
    </row>
    <row r="105" spans="1:9" ht="15.75" customHeight="1">
      <c r="A105" s="159" t="s">
        <v>8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5.75" customHeight="1">
      <c r="A106" s="160" t="s">
        <v>61</v>
      </c>
      <c r="B106" s="160"/>
      <c r="C106" s="160"/>
      <c r="D106" s="160"/>
      <c r="E106" s="160"/>
      <c r="F106" s="160"/>
      <c r="G106" s="160"/>
      <c r="H106" s="160"/>
      <c r="I106" s="160"/>
    </row>
    <row r="107" spans="1:9" ht="15.75" customHeight="1">
      <c r="A107" s="11"/>
    </row>
    <row r="108" spans="1:9" ht="15.75" customHeight="1">
      <c r="A108" s="161" t="s">
        <v>9</v>
      </c>
      <c r="B108" s="161"/>
      <c r="C108" s="161"/>
      <c r="D108" s="161"/>
      <c r="E108" s="161"/>
      <c r="F108" s="161"/>
      <c r="G108" s="161"/>
      <c r="H108" s="161"/>
      <c r="I108" s="161"/>
    </row>
    <row r="109" spans="1:9" ht="15.75" customHeight="1">
      <c r="A109" s="4"/>
    </row>
    <row r="110" spans="1:9" ht="15.75" customHeight="1">
      <c r="B110" s="70" t="s">
        <v>10</v>
      </c>
      <c r="C110" s="153" t="s">
        <v>92</v>
      </c>
      <c r="D110" s="153"/>
      <c r="E110" s="153"/>
      <c r="F110" s="153"/>
      <c r="I110" s="73"/>
    </row>
    <row r="111" spans="1:9" ht="15.75" customHeight="1">
      <c r="A111" s="71"/>
      <c r="C111" s="154" t="s">
        <v>11</v>
      </c>
      <c r="D111" s="154"/>
      <c r="E111" s="154"/>
      <c r="F111" s="154"/>
      <c r="I111" s="72" t="s">
        <v>12</v>
      </c>
    </row>
    <row r="112" spans="1:9" ht="15.75" customHeight="1">
      <c r="A112" s="27"/>
      <c r="C112" s="12"/>
      <c r="D112" s="12"/>
      <c r="E112" s="12"/>
      <c r="G112" s="12"/>
      <c r="H112" s="12"/>
    </row>
    <row r="113" spans="1:9" ht="15.75" customHeight="1">
      <c r="B113" s="70" t="s">
        <v>13</v>
      </c>
      <c r="C113" s="155"/>
      <c r="D113" s="155"/>
      <c r="E113" s="155"/>
      <c r="F113" s="155"/>
      <c r="I113" s="73"/>
    </row>
    <row r="114" spans="1:9" ht="15.75" customHeight="1">
      <c r="A114" s="71"/>
      <c r="C114" s="156" t="s">
        <v>11</v>
      </c>
      <c r="D114" s="156"/>
      <c r="E114" s="156"/>
      <c r="F114" s="156"/>
      <c r="I114" s="72" t="s">
        <v>12</v>
      </c>
    </row>
    <row r="115" spans="1:9" ht="15.75" customHeight="1">
      <c r="A115" s="4" t="s">
        <v>14</v>
      </c>
    </row>
    <row r="116" spans="1:9">
      <c r="A116" s="157" t="s">
        <v>15</v>
      </c>
      <c r="B116" s="157"/>
      <c r="C116" s="157"/>
      <c r="D116" s="157"/>
      <c r="E116" s="157"/>
      <c r="F116" s="157"/>
      <c r="G116" s="157"/>
      <c r="H116" s="157"/>
      <c r="I116" s="157"/>
    </row>
    <row r="117" spans="1:9" ht="45" customHeight="1">
      <c r="A117" s="146" t="s">
        <v>16</v>
      </c>
      <c r="B117" s="146"/>
      <c r="C117" s="146"/>
      <c r="D117" s="146"/>
      <c r="E117" s="146"/>
      <c r="F117" s="146"/>
      <c r="G117" s="146"/>
      <c r="H117" s="146"/>
      <c r="I117" s="146"/>
    </row>
    <row r="118" spans="1:9" ht="30" customHeight="1">
      <c r="A118" s="146" t="s">
        <v>17</v>
      </c>
      <c r="B118" s="146"/>
      <c r="C118" s="146"/>
      <c r="D118" s="146"/>
      <c r="E118" s="146"/>
      <c r="F118" s="146"/>
      <c r="G118" s="146"/>
      <c r="H118" s="146"/>
      <c r="I118" s="146"/>
    </row>
    <row r="119" spans="1:9" ht="30" customHeight="1">
      <c r="A119" s="146" t="s">
        <v>21</v>
      </c>
      <c r="B119" s="146"/>
      <c r="C119" s="146"/>
      <c r="D119" s="146"/>
      <c r="E119" s="146"/>
      <c r="F119" s="146"/>
      <c r="G119" s="146"/>
      <c r="H119" s="146"/>
      <c r="I119" s="146"/>
    </row>
    <row r="120" spans="1:9" ht="15" customHeight="1">
      <c r="A120" s="146" t="s">
        <v>20</v>
      </c>
      <c r="B120" s="146"/>
      <c r="C120" s="146"/>
      <c r="D120" s="146"/>
      <c r="E120" s="146"/>
      <c r="F120" s="146"/>
      <c r="G120" s="146"/>
      <c r="H120" s="146"/>
      <c r="I120" s="146"/>
    </row>
  </sheetData>
  <autoFilter ref="I12:I66"/>
  <mergeCells count="30">
    <mergeCell ref="A14:I14"/>
    <mergeCell ref="A15:I15"/>
    <mergeCell ref="A29:I29"/>
    <mergeCell ref="A50:I50"/>
    <mergeCell ref="A3:I3"/>
    <mergeCell ref="A4:I4"/>
    <mergeCell ref="A5:I5"/>
    <mergeCell ref="A8:I8"/>
    <mergeCell ref="A10:I10"/>
    <mergeCell ref="A45:I45"/>
    <mergeCell ref="R71:U71"/>
    <mergeCell ref="C114:F114"/>
    <mergeCell ref="A81:I81"/>
    <mergeCell ref="A100:I100"/>
    <mergeCell ref="B101:G101"/>
    <mergeCell ref="B102:G102"/>
    <mergeCell ref="A104:I104"/>
    <mergeCell ref="A105:I105"/>
    <mergeCell ref="A106:I106"/>
    <mergeCell ref="A108:I108"/>
    <mergeCell ref="C110:F110"/>
    <mergeCell ref="C111:F111"/>
    <mergeCell ref="C113:F113"/>
    <mergeCell ref="A77:I77"/>
    <mergeCell ref="A99:I99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6"/>
  <sheetViews>
    <sheetView topLeftCell="A83" workbookViewId="0">
      <selection activeCell="G87" sqref="G87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87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166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214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43251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155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customHeight="1">
      <c r="A19" s="31">
        <v>4</v>
      </c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f>F19*G19</f>
        <v>653.4144</v>
      </c>
      <c r="J19" s="24"/>
      <c r="K19" s="8"/>
      <c r="L19" s="8"/>
      <c r="M19" s="8"/>
    </row>
    <row r="20" spans="1:13" ht="15.75" customHeight="1">
      <c r="A20" s="31">
        <v>5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6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customHeight="1">
      <c r="A22" s="31">
        <v>7</v>
      </c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f>F22*G22</f>
        <v>2215.2558719999997</v>
      </c>
      <c r="J22" s="24"/>
      <c r="K22" s="8"/>
      <c r="L22" s="8"/>
      <c r="M22" s="8"/>
    </row>
    <row r="23" spans="1:13" ht="15.75" customHeight="1">
      <c r="A23" s="31">
        <v>8</v>
      </c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f>F23*G23</f>
        <v>42.784140000000001</v>
      </c>
      <c r="J23" s="24"/>
      <c r="K23" s="8"/>
      <c r="L23" s="8"/>
      <c r="M23" s="8"/>
    </row>
    <row r="24" spans="1:13" ht="15.75" customHeight="1">
      <c r="A24" s="31">
        <v>9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customHeight="1">
      <c r="A25" s="31">
        <v>10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f>F25*G25</f>
        <v>82.125600000000006</v>
      </c>
      <c r="J25" s="24"/>
      <c r="K25" s="8"/>
      <c r="L25" s="8"/>
      <c r="M25" s="8"/>
    </row>
    <row r="26" spans="1:13" ht="15.75" customHeight="1">
      <c r="A26" s="31">
        <v>11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31">
        <v>12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31">
        <v>13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customHeight="1">
      <c r="A31" s="46">
        <v>14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f>F31/6*G31</f>
        <v>1845.7999560000003</v>
      </c>
      <c r="J31" s="24"/>
      <c r="K31" s="8"/>
      <c r="L31" s="8"/>
      <c r="M31" s="8"/>
    </row>
    <row r="32" spans="1:13" ht="31.5" customHeight="1">
      <c r="A32" s="46">
        <v>15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f t="shared" ref="I32:I35" si="2">F32/6*G32</f>
        <v>1841.9757915000002</v>
      </c>
      <c r="J32" s="24"/>
      <c r="K32" s="8"/>
      <c r="L32" s="8"/>
      <c r="M32" s="8"/>
    </row>
    <row r="33" spans="1:14" ht="15.75" customHeight="1">
      <c r="A33" s="46">
        <v>16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f>F33*G33</f>
        <v>8252.7496919999994</v>
      </c>
      <c r="J33" s="24"/>
      <c r="K33" s="8"/>
      <c r="L33" s="8"/>
      <c r="M33" s="8"/>
    </row>
    <row r="34" spans="1:14" ht="15.75" customHeight="1">
      <c r="A34" s="46">
        <v>17</v>
      </c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f t="shared" si="2"/>
        <v>2690.8413333333338</v>
      </c>
      <c r="J34" s="24"/>
      <c r="K34" s="8"/>
      <c r="L34" s="8"/>
      <c r="M34" s="8"/>
    </row>
    <row r="35" spans="1:14" ht="15.75" customHeight="1">
      <c r="A35" s="46">
        <v>18</v>
      </c>
      <c r="B35" s="80" t="s">
        <v>160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f t="shared" si="2"/>
        <v>1464.4916666666666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3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4">
        <v>0</v>
      </c>
      <c r="J37" s="25"/>
    </row>
    <row r="38" spans="1:14" ht="15.75" hidden="1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hidden="1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4" si="4">F39/6*G39</f>
        <v>3818.05</v>
      </c>
      <c r="J39" s="25"/>
    </row>
    <row r="40" spans="1:14" ht="15.75" hidden="1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5">SUM(F40*G40/1000)</f>
        <v>57.598483674999997</v>
      </c>
      <c r="I40" s="14">
        <f t="shared" si="4"/>
        <v>9599.747279166666</v>
      </c>
      <c r="J40" s="25"/>
    </row>
    <row r="41" spans="1:14" ht="15.75" hidden="1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5"/>
        <v>7.611275</v>
      </c>
      <c r="I41" s="14">
        <f t="shared" si="4"/>
        <v>1268.5458333333333</v>
      </c>
      <c r="J41" s="25"/>
    </row>
    <row r="42" spans="1:14" ht="31.5" hidden="1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5"/>
        <v>9.7495103999999984</v>
      </c>
      <c r="I42" s="14">
        <f t="shared" si="4"/>
        <v>1624.9183999999998</v>
      </c>
      <c r="J42" s="25"/>
    </row>
    <row r="43" spans="1:14" ht="15.75" hidden="1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5"/>
        <v>2.7008100000000002</v>
      </c>
      <c r="I43" s="14">
        <f t="shared" si="4"/>
        <v>450.13499999999999</v>
      </c>
      <c r="J43" s="25"/>
    </row>
    <row r="44" spans="1:14" ht="15.75" hidden="1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5"/>
        <v>0.71820000000000006</v>
      </c>
      <c r="I44" s="14">
        <f t="shared" si="4"/>
        <v>119.69999999999999</v>
      </c>
      <c r="J44" s="25"/>
      <c r="L44" s="21"/>
      <c r="M44" s="22"/>
      <c r="N44" s="23"/>
    </row>
    <row r="45" spans="1:14" ht="15.75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15.75" customHeight="1">
      <c r="A46" s="46">
        <v>19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6">SUM(F46*G46/1000)</f>
        <v>2.7870067920000001</v>
      </c>
      <c r="I46" s="14">
        <f t="shared" ref="I46:I48" si="7">F46/2*G46</f>
        <v>1393.5033960000001</v>
      </c>
      <c r="J46" s="25"/>
      <c r="L46" s="21"/>
      <c r="M46" s="22"/>
      <c r="N46" s="23"/>
    </row>
    <row r="47" spans="1:14" ht="15.75" customHeight="1">
      <c r="A47" s="46">
        <v>20</v>
      </c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6"/>
        <v>1.06421502</v>
      </c>
      <c r="I47" s="14">
        <f t="shared" si="7"/>
        <v>532.10751000000005</v>
      </c>
      <c r="J47" s="25"/>
      <c r="L47" s="21"/>
      <c r="M47" s="22"/>
      <c r="N47" s="23"/>
    </row>
    <row r="48" spans="1:14" ht="15.75" customHeight="1">
      <c r="A48" s="46">
        <v>21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6"/>
        <v>6.4812056496000006</v>
      </c>
      <c r="I48" s="14">
        <f t="shared" si="7"/>
        <v>3240.6028248000002</v>
      </c>
      <c r="J48" s="25"/>
      <c r="L48" s="21"/>
      <c r="M48" s="22"/>
      <c r="N48" s="23"/>
    </row>
    <row r="49" spans="1:14" ht="15.75" customHeight="1">
      <c r="A49" s="46">
        <v>22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6"/>
        <v>3.4193309809999999</v>
      </c>
      <c r="I49" s="14">
        <f>F49/2*G49</f>
        <v>1709.6654905</v>
      </c>
      <c r="J49" s="25"/>
      <c r="L49" s="21"/>
      <c r="M49" s="22"/>
      <c r="N49" s="23"/>
    </row>
    <row r="50" spans="1:14" ht="15.75" customHeight="1">
      <c r="A50" s="46">
        <v>23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6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16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6"/>
        <v>7.9628296799999996</v>
      </c>
      <c r="I51" s="14">
        <f>F51/2*G51</f>
        <v>3981.4148399999999</v>
      </c>
      <c r="J51" s="25"/>
      <c r="L51" s="21"/>
      <c r="M51" s="22"/>
      <c r="N51" s="23"/>
    </row>
    <row r="52" spans="1:14" ht="31.5" hidden="1" customHeight="1">
      <c r="A52" s="46">
        <v>17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6"/>
        <v>2.1843919999999999</v>
      </c>
      <c r="I52" s="14">
        <f>F52/2*G52</f>
        <v>1092.1959999999999</v>
      </c>
      <c r="J52" s="25"/>
      <c r="L52" s="21"/>
      <c r="M52" s="22"/>
      <c r="N52" s="23"/>
    </row>
    <row r="53" spans="1:14" ht="15.75" hidden="1" customHeight="1">
      <c r="A53" s="46">
        <v>16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6"/>
        <v>0.11304260000000001</v>
      </c>
      <c r="I53" s="14">
        <f>F53/2*G53</f>
        <v>56.521300000000004</v>
      </c>
      <c r="J53" s="25"/>
      <c r="L53" s="21"/>
      <c r="M53" s="22"/>
      <c r="N53" s="23"/>
    </row>
    <row r="54" spans="1:14" ht="15.75" hidden="1" customHeight="1">
      <c r="A54" s="46">
        <v>17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6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158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hidden="1" customHeight="1">
      <c r="A56" s="59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hidden="1" customHeight="1">
      <c r="A58" s="46">
        <v>18</v>
      </c>
      <c r="B58" s="80" t="s">
        <v>146</v>
      </c>
      <c r="C58" s="69" t="s">
        <v>110</v>
      </c>
      <c r="D58" s="80" t="s">
        <v>147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F58/6*G58</f>
        <v>2538.1581119999996</v>
      </c>
      <c r="J58" s="25"/>
      <c r="L58" s="21"/>
      <c r="M58" s="22"/>
      <c r="N58" s="23"/>
    </row>
    <row r="59" spans="1:14" ht="15.75" hidden="1" customHeight="1">
      <c r="A59" s="46">
        <v>19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75" t="s">
        <v>43</v>
      </c>
      <c r="C61" s="75"/>
      <c r="D61" s="75"/>
      <c r="E61" s="75"/>
      <c r="F61" s="75"/>
      <c r="G61" s="75"/>
      <c r="H61" s="75"/>
      <c r="I61" s="38"/>
      <c r="J61" s="25"/>
      <c r="L61" s="21"/>
      <c r="M61" s="22"/>
      <c r="N61" s="23"/>
    </row>
    <row r="62" spans="1:14" ht="15.75" customHeight="1">
      <c r="A62" s="46">
        <v>24</v>
      </c>
      <c r="B62" s="91" t="s">
        <v>98</v>
      </c>
      <c r="C62" s="92" t="s">
        <v>25</v>
      </c>
      <c r="D62" s="91" t="s">
        <v>149</v>
      </c>
      <c r="E62" s="93">
        <v>329.4</v>
      </c>
      <c r="F62" s="94">
        <f>E62*12</f>
        <v>3952.7999999999997</v>
      </c>
      <c r="G62" s="97">
        <v>1.2</v>
      </c>
      <c r="H62" s="95">
        <f>G62*F62</f>
        <v>4743.3599999999997</v>
      </c>
      <c r="I62" s="14">
        <f>2400/12*G62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customHeight="1">
      <c r="A64" s="46"/>
      <c r="B64" s="75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hidden="1" customHeight="1">
      <c r="A65" s="46">
        <v>25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8">SUM(F65*G65/1000)</f>
        <v>8.8960000000000008</v>
      </c>
      <c r="I65" s="14">
        <f>G65</f>
        <v>222.4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8"/>
        <v>1.14375</v>
      </c>
      <c r="I66" s="14">
        <v>0</v>
      </c>
      <c r="J66" s="25"/>
      <c r="L66" s="21"/>
      <c r="M66" s="22"/>
      <c r="N66" s="23"/>
    </row>
    <row r="67" spans="1:22" ht="15.75" customHeight="1">
      <c r="A67" s="31">
        <v>25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8"/>
        <v>52.290731999999998</v>
      </c>
      <c r="I67" s="14">
        <f>F67*G67</f>
        <v>52290.731999999996</v>
      </c>
      <c r="J67" s="25"/>
      <c r="L67" s="21"/>
      <c r="M67" s="22"/>
      <c r="N67" s="23"/>
    </row>
    <row r="68" spans="1:22" ht="15.75" customHeight="1">
      <c r="A68" s="31">
        <v>26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8"/>
        <v>4.0720960800000006</v>
      </c>
      <c r="I68" s="14">
        <f t="shared" ref="I68:I71" si="9">F68*G68</f>
        <v>4072.0960800000003</v>
      </c>
      <c r="J68" s="25"/>
      <c r="L68" s="21"/>
      <c r="M68" s="22"/>
      <c r="N68" s="23"/>
    </row>
    <row r="69" spans="1:22" ht="15.75" customHeight="1">
      <c r="A69" s="31">
        <v>27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8"/>
        <v>56.637399000000002</v>
      </c>
      <c r="I69" s="14">
        <f t="shared" si="9"/>
        <v>56637.399000000005</v>
      </c>
      <c r="J69" s="25"/>
      <c r="L69" s="21"/>
    </row>
    <row r="70" spans="1:22" ht="15.75" customHeight="1">
      <c r="A70" s="31">
        <v>28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8"/>
        <v>0.91908960000000006</v>
      </c>
      <c r="I70" s="14">
        <f t="shared" si="9"/>
        <v>919.08960000000002</v>
      </c>
    </row>
    <row r="71" spans="1:22" ht="15.75" customHeight="1">
      <c r="A71" s="31">
        <v>29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8"/>
        <v>0.85743840000000016</v>
      </c>
      <c r="I71" s="14">
        <f t="shared" si="9"/>
        <v>857.43840000000012</v>
      </c>
    </row>
    <row r="72" spans="1:22" ht="15.75" hidden="1" customHeight="1">
      <c r="A72" s="31">
        <v>13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8"/>
        <v>0.59856000000000009</v>
      </c>
      <c r="I72" s="14">
        <v>0</v>
      </c>
    </row>
    <row r="73" spans="1:22" ht="15.75" hidden="1" customHeight="1">
      <c r="A73" s="59"/>
      <c r="B73" s="75" t="s">
        <v>132</v>
      </c>
      <c r="C73" s="75"/>
      <c r="D73" s="75"/>
      <c r="E73" s="75"/>
      <c r="F73" s="75"/>
      <c r="G73" s="75"/>
      <c r="H73" s="75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1">
        <v>36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v>0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159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30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31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59"/>
      <c r="B83" s="44" t="s">
        <v>80</v>
      </c>
      <c r="C83" s="46"/>
      <c r="D83" s="17"/>
      <c r="E83" s="17"/>
      <c r="F83" s="17"/>
      <c r="G83" s="20"/>
      <c r="H83" s="20"/>
      <c r="I83" s="33">
        <f>I82+I81+I71+I70+I69+I68+I67+I62+I50+I49+I48+I47+I46+I35+I34+I33+I32+I31+I28+I27+I25+I26+I24+I23+I22+I21+I20+I19+I18+I17+I16</f>
        <v>216128.60679880006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15.75" customHeight="1">
      <c r="A85" s="31" t="s">
        <v>212</v>
      </c>
      <c r="B85" s="104" t="s">
        <v>104</v>
      </c>
      <c r="C85" s="105" t="s">
        <v>128</v>
      </c>
      <c r="D85" s="57"/>
      <c r="E85" s="39"/>
      <c r="F85" s="39">
        <v>968</v>
      </c>
      <c r="G85" s="40">
        <v>55.55</v>
      </c>
      <c r="H85" s="100">
        <f>G85*F85/1000</f>
        <v>53.772399999999998</v>
      </c>
      <c r="I85" s="14">
        <f>G85*121</f>
        <v>6721.5499999999993</v>
      </c>
    </row>
    <row r="86" spans="1:9" ht="16.5" customHeight="1">
      <c r="A86" s="31">
        <v>33</v>
      </c>
      <c r="B86" s="57" t="s">
        <v>89</v>
      </c>
      <c r="C86" s="18" t="s">
        <v>105</v>
      </c>
      <c r="D86" s="18" t="s">
        <v>215</v>
      </c>
      <c r="E86" s="39"/>
      <c r="F86" s="39">
        <v>8</v>
      </c>
      <c r="G86" s="39">
        <v>1645</v>
      </c>
      <c r="H86" s="100">
        <f>G86*F86/1000</f>
        <v>13.16</v>
      </c>
      <c r="I86" s="14">
        <f>G86*7</f>
        <v>11515</v>
      </c>
    </row>
    <row r="87" spans="1:9" ht="15.75" customHeight="1">
      <c r="A87" s="31">
        <v>34</v>
      </c>
      <c r="B87" s="62" t="s">
        <v>205</v>
      </c>
      <c r="C87" s="66" t="s">
        <v>120</v>
      </c>
      <c r="D87" s="57"/>
      <c r="E87" s="14"/>
      <c r="F87" s="14">
        <v>4</v>
      </c>
      <c r="G87" s="134">
        <v>849.49</v>
      </c>
      <c r="H87" s="100">
        <f>G87*F87/1000</f>
        <v>3.3979599999999999</v>
      </c>
      <c r="I87" s="14">
        <f>G87*(0.16+0.062)</f>
        <v>188.58678</v>
      </c>
    </row>
    <row r="88" spans="1:9" ht="31.5" customHeight="1">
      <c r="A88" s="31">
        <v>35</v>
      </c>
      <c r="B88" s="62" t="s">
        <v>216</v>
      </c>
      <c r="C88" s="66" t="s">
        <v>128</v>
      </c>
      <c r="D88" s="57"/>
      <c r="E88" s="14"/>
      <c r="F88" s="14">
        <v>2</v>
      </c>
      <c r="G88" s="39">
        <v>419.84</v>
      </c>
      <c r="H88" s="77">
        <f t="shared" ref="H88" si="10">G88*F88/1000</f>
        <v>0.83967999999999998</v>
      </c>
      <c r="I88" s="14">
        <f>G88*1</f>
        <v>419.84</v>
      </c>
    </row>
    <row r="89" spans="1:9" ht="15.75" customHeight="1">
      <c r="A89" s="31">
        <v>36</v>
      </c>
      <c r="B89" s="62" t="s">
        <v>217</v>
      </c>
      <c r="C89" s="66" t="s">
        <v>218</v>
      </c>
      <c r="D89" s="18" t="s">
        <v>219</v>
      </c>
      <c r="E89" s="14"/>
      <c r="F89" s="14">
        <v>5</v>
      </c>
      <c r="G89" s="39">
        <v>342.1</v>
      </c>
      <c r="H89" s="100">
        <f>G89*F89/1000</f>
        <v>1.7104999999999999</v>
      </c>
      <c r="I89" s="14">
        <f>G89*14.2</f>
        <v>4857.82</v>
      </c>
    </row>
    <row r="90" spans="1:9" ht="15.75" customHeight="1">
      <c r="A90" s="31">
        <v>37</v>
      </c>
      <c r="B90" s="104" t="s">
        <v>185</v>
      </c>
      <c r="C90" s="105" t="s">
        <v>186</v>
      </c>
      <c r="D90" s="18"/>
      <c r="E90" s="14"/>
      <c r="F90" s="14"/>
      <c r="G90" s="39">
        <v>134.12</v>
      </c>
      <c r="H90" s="100"/>
      <c r="I90" s="14">
        <f>G90*10</f>
        <v>1341.2</v>
      </c>
    </row>
    <row r="91" spans="1:9" ht="15.75" customHeight="1">
      <c r="A91" s="31">
        <v>38</v>
      </c>
      <c r="B91" s="104" t="s">
        <v>233</v>
      </c>
      <c r="C91" s="66"/>
      <c r="D91" s="18"/>
      <c r="E91" s="14"/>
      <c r="F91" s="14"/>
      <c r="G91" s="39">
        <v>208</v>
      </c>
      <c r="H91" s="100"/>
      <c r="I91" s="14">
        <f>G91*1</f>
        <v>208</v>
      </c>
    </row>
    <row r="92" spans="1:9" ht="15.75" customHeight="1">
      <c r="A92" s="31"/>
      <c r="B92" s="51" t="s">
        <v>51</v>
      </c>
      <c r="C92" s="47"/>
      <c r="D92" s="60"/>
      <c r="E92" s="60"/>
      <c r="F92" s="47">
        <v>1</v>
      </c>
      <c r="G92" s="47"/>
      <c r="H92" s="47"/>
      <c r="I92" s="33">
        <f>SUM(I86:I91)</f>
        <v>18530.446780000002</v>
      </c>
    </row>
    <row r="93" spans="1:9" ht="15.75" customHeight="1">
      <c r="A93" s="31"/>
      <c r="B93" s="57" t="s">
        <v>78</v>
      </c>
      <c r="C93" s="17"/>
      <c r="D93" s="17"/>
      <c r="E93" s="17"/>
      <c r="F93" s="48"/>
      <c r="G93" s="49"/>
      <c r="H93" s="49"/>
      <c r="I93" s="19">
        <v>0</v>
      </c>
    </row>
    <row r="94" spans="1:9" ht="15.75" customHeight="1">
      <c r="A94" s="61"/>
      <c r="B94" s="52" t="s">
        <v>162</v>
      </c>
      <c r="C94" s="37"/>
      <c r="D94" s="37"/>
      <c r="E94" s="37"/>
      <c r="F94" s="37"/>
      <c r="G94" s="37"/>
      <c r="H94" s="37"/>
      <c r="I94" s="50">
        <f>I83+I92</f>
        <v>234659.05357880006</v>
      </c>
    </row>
    <row r="95" spans="1:9" ht="15.75" customHeight="1">
      <c r="A95" s="166" t="s">
        <v>213</v>
      </c>
      <c r="B95" s="167"/>
      <c r="C95" s="167"/>
      <c r="D95" s="167"/>
      <c r="E95" s="167"/>
      <c r="F95" s="167"/>
      <c r="G95" s="167"/>
      <c r="H95" s="167"/>
      <c r="I95" s="167"/>
    </row>
    <row r="96" spans="1:9" ht="15.75" customHeight="1">
      <c r="A96" s="168" t="s">
        <v>240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 customHeight="1">
      <c r="A97" s="76"/>
      <c r="B97" s="158" t="s">
        <v>241</v>
      </c>
      <c r="C97" s="158"/>
      <c r="D97" s="158"/>
      <c r="E97" s="158"/>
      <c r="F97" s="158"/>
      <c r="G97" s="158"/>
      <c r="H97" s="79"/>
      <c r="I97" s="3"/>
    </row>
    <row r="98" spans="1:9" ht="15.75" customHeight="1">
      <c r="A98" s="71"/>
      <c r="B98" s="154" t="s">
        <v>6</v>
      </c>
      <c r="C98" s="154"/>
      <c r="D98" s="154"/>
      <c r="E98" s="154"/>
      <c r="F98" s="154"/>
      <c r="G98" s="154"/>
      <c r="H98" s="26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59" t="s">
        <v>7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5.75" customHeight="1">
      <c r="A101" s="159" t="s">
        <v>8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5.75" customHeight="1">
      <c r="A102" s="160" t="s">
        <v>61</v>
      </c>
      <c r="B102" s="160"/>
      <c r="C102" s="160"/>
      <c r="D102" s="160"/>
      <c r="E102" s="160"/>
      <c r="F102" s="160"/>
      <c r="G102" s="160"/>
      <c r="H102" s="160"/>
      <c r="I102" s="160"/>
    </row>
    <row r="103" spans="1:9" ht="15.75" customHeight="1">
      <c r="A103" s="11"/>
    </row>
    <row r="104" spans="1:9" ht="15.75" customHeight="1">
      <c r="A104" s="161" t="s">
        <v>9</v>
      </c>
      <c r="B104" s="161"/>
      <c r="C104" s="161"/>
      <c r="D104" s="161"/>
      <c r="E104" s="161"/>
      <c r="F104" s="161"/>
      <c r="G104" s="161"/>
      <c r="H104" s="161"/>
      <c r="I104" s="161"/>
    </row>
    <row r="105" spans="1:9" ht="15.75" customHeight="1">
      <c r="A105" s="4"/>
    </row>
    <row r="106" spans="1:9" ht="15.75" customHeight="1">
      <c r="B106" s="70" t="s">
        <v>10</v>
      </c>
      <c r="C106" s="153" t="s">
        <v>92</v>
      </c>
      <c r="D106" s="153"/>
      <c r="E106" s="153"/>
      <c r="F106" s="153"/>
      <c r="I106" s="73"/>
    </row>
    <row r="107" spans="1:9" ht="15.75" customHeight="1">
      <c r="A107" s="71"/>
      <c r="C107" s="154" t="s">
        <v>11</v>
      </c>
      <c r="D107" s="154"/>
      <c r="E107" s="154"/>
      <c r="F107" s="154"/>
      <c r="I107" s="72" t="s">
        <v>12</v>
      </c>
    </row>
    <row r="108" spans="1:9" ht="15.75" customHeight="1">
      <c r="A108" s="27"/>
      <c r="C108" s="12"/>
      <c r="D108" s="12"/>
      <c r="E108" s="12"/>
      <c r="G108" s="12"/>
      <c r="H108" s="12"/>
    </row>
    <row r="109" spans="1:9" ht="15.75" customHeight="1">
      <c r="B109" s="70" t="s">
        <v>13</v>
      </c>
      <c r="C109" s="155"/>
      <c r="D109" s="155"/>
      <c r="E109" s="155"/>
      <c r="F109" s="155"/>
      <c r="I109" s="73"/>
    </row>
    <row r="110" spans="1:9" ht="15.75" customHeight="1">
      <c r="A110" s="71"/>
      <c r="C110" s="156" t="s">
        <v>11</v>
      </c>
      <c r="D110" s="156"/>
      <c r="E110" s="156"/>
      <c r="F110" s="156"/>
      <c r="I110" s="72" t="s">
        <v>12</v>
      </c>
    </row>
    <row r="111" spans="1:9" ht="15.75" customHeight="1">
      <c r="A111" s="4" t="s">
        <v>14</v>
      </c>
    </row>
    <row r="112" spans="1:9">
      <c r="A112" s="157" t="s">
        <v>15</v>
      </c>
      <c r="B112" s="157"/>
      <c r="C112" s="157"/>
      <c r="D112" s="157"/>
      <c r="E112" s="157"/>
      <c r="F112" s="157"/>
      <c r="G112" s="157"/>
      <c r="H112" s="157"/>
      <c r="I112" s="157"/>
    </row>
    <row r="113" spans="1:9" ht="45" customHeight="1">
      <c r="A113" s="146" t="s">
        <v>16</v>
      </c>
      <c r="B113" s="146"/>
      <c r="C113" s="146"/>
      <c r="D113" s="146"/>
      <c r="E113" s="146"/>
      <c r="F113" s="146"/>
      <c r="G113" s="146"/>
      <c r="H113" s="146"/>
      <c r="I113" s="146"/>
    </row>
    <row r="114" spans="1:9" ht="30" customHeight="1">
      <c r="A114" s="146" t="s">
        <v>17</v>
      </c>
      <c r="B114" s="146"/>
      <c r="C114" s="146"/>
      <c r="D114" s="146"/>
      <c r="E114" s="146"/>
      <c r="F114" s="146"/>
      <c r="G114" s="146"/>
      <c r="H114" s="146"/>
      <c r="I114" s="146"/>
    </row>
    <row r="115" spans="1:9" ht="30" customHeight="1">
      <c r="A115" s="146" t="s">
        <v>21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15" customHeight="1">
      <c r="A116" s="146" t="s">
        <v>20</v>
      </c>
      <c r="B116" s="146"/>
      <c r="C116" s="146"/>
      <c r="D116" s="146"/>
      <c r="E116" s="146"/>
      <c r="F116" s="146"/>
      <c r="G116" s="146"/>
      <c r="H116" s="146"/>
      <c r="I116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10:F110"/>
    <mergeCell ref="A84:I84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0:I80"/>
    <mergeCell ref="A95:I95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33"/>
  <sheetViews>
    <sheetView topLeftCell="A92" workbookViewId="0">
      <selection activeCell="I96" sqref="I96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87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169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220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43281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155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>
        <v>4</v>
      </c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f>F19/2*G19</f>
        <v>326.7072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>
        <v>7</v>
      </c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f>F22*G22</f>
        <v>2215.2558719999997</v>
      </c>
      <c r="J22" s="24"/>
      <c r="K22" s="8"/>
      <c r="L22" s="8"/>
      <c r="M22" s="8"/>
    </row>
    <row r="23" spans="1:13" ht="15.75" hidden="1" customHeight="1">
      <c r="A23" s="31">
        <v>8</v>
      </c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f>F23*G23</f>
        <v>42.784140000000001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31">
        <v>10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f>F25*G25</f>
        <v>82.125600000000006</v>
      </c>
      <c r="J25" s="24"/>
      <c r="K25" s="8"/>
      <c r="L25" s="8"/>
      <c r="M25" s="8"/>
    </row>
    <row r="26" spans="1:13" ht="15.75" customHeight="1">
      <c r="A26" s="31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31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31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customHeight="1">
      <c r="A31" s="46">
        <v>10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f>F31/6*G31</f>
        <v>1845.7999560000003</v>
      </c>
      <c r="J31" s="24"/>
      <c r="K31" s="8"/>
      <c r="L31" s="8"/>
      <c r="M31" s="8"/>
    </row>
    <row r="32" spans="1:13" ht="31.5" customHeight="1">
      <c r="A32" s="46">
        <v>11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f t="shared" ref="I32:I35" si="2">F32/6*G32</f>
        <v>1841.9757915000002</v>
      </c>
      <c r="J32" s="24"/>
      <c r="K32" s="8"/>
      <c r="L32" s="8"/>
      <c r="M32" s="8"/>
    </row>
    <row r="33" spans="1:14" ht="15.75" hidden="1" customHeight="1">
      <c r="A33" s="46">
        <v>16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f>F33*G33</f>
        <v>8252.7496919999994</v>
      </c>
      <c r="J33" s="24"/>
      <c r="K33" s="8"/>
      <c r="L33" s="8"/>
      <c r="M33" s="8"/>
    </row>
    <row r="34" spans="1:14" ht="15.75" customHeight="1">
      <c r="A34" s="46">
        <v>12</v>
      </c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f t="shared" si="2"/>
        <v>2690.8413333333338</v>
      </c>
      <c r="J34" s="24"/>
      <c r="K34" s="8"/>
      <c r="L34" s="8"/>
      <c r="M34" s="8"/>
    </row>
    <row r="35" spans="1:14" ht="15.75" customHeight="1">
      <c r="A35" s="46">
        <v>13</v>
      </c>
      <c r="B35" s="80" t="s">
        <v>160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f t="shared" si="2"/>
        <v>1464.4916666666666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3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4">
        <v>0</v>
      </c>
      <c r="J37" s="25"/>
    </row>
    <row r="38" spans="1:14" ht="15.75" hidden="1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hidden="1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4" si="4">F39/6*G39</f>
        <v>3818.05</v>
      </c>
      <c r="J39" s="25"/>
    </row>
    <row r="40" spans="1:14" ht="15.75" hidden="1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5">SUM(F40*G40/1000)</f>
        <v>57.598483674999997</v>
      </c>
      <c r="I40" s="14">
        <f t="shared" si="4"/>
        <v>9599.747279166666</v>
      </c>
      <c r="J40" s="25"/>
    </row>
    <row r="41" spans="1:14" ht="15.75" hidden="1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5"/>
        <v>7.611275</v>
      </c>
      <c r="I41" s="14">
        <f t="shared" si="4"/>
        <v>1268.5458333333333</v>
      </c>
      <c r="J41" s="25"/>
    </row>
    <row r="42" spans="1:14" ht="31.5" hidden="1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5"/>
        <v>9.7495103999999984</v>
      </c>
      <c r="I42" s="14">
        <f t="shared" si="4"/>
        <v>1624.9183999999998</v>
      </c>
      <c r="J42" s="25"/>
    </row>
    <row r="43" spans="1:14" ht="15.75" hidden="1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5"/>
        <v>2.7008100000000002</v>
      </c>
      <c r="I43" s="14">
        <f t="shared" si="4"/>
        <v>450.13499999999999</v>
      </c>
      <c r="J43" s="25"/>
    </row>
    <row r="44" spans="1:14" ht="15.75" hidden="1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5"/>
        <v>0.71820000000000006</v>
      </c>
      <c r="I44" s="14">
        <f t="shared" si="4"/>
        <v>119.69999999999999</v>
      </c>
      <c r="J44" s="25"/>
      <c r="L44" s="21"/>
      <c r="M44" s="22"/>
      <c r="N44" s="23"/>
    </row>
    <row r="45" spans="1:14" ht="15.75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15.75" hidden="1" customHeight="1">
      <c r="A46" s="46">
        <v>19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6">SUM(F46*G46/1000)</f>
        <v>2.7870067920000001</v>
      </c>
      <c r="I46" s="14">
        <f t="shared" ref="I46:I48" si="7">F46/2*G46</f>
        <v>1393.5033960000001</v>
      </c>
      <c r="J46" s="25"/>
      <c r="L46" s="21"/>
      <c r="M46" s="22"/>
      <c r="N46" s="23"/>
    </row>
    <row r="47" spans="1:14" ht="15.75" hidden="1" customHeight="1">
      <c r="A47" s="46">
        <v>20</v>
      </c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6"/>
        <v>1.06421502</v>
      </c>
      <c r="I47" s="14">
        <f t="shared" si="7"/>
        <v>532.10751000000005</v>
      </c>
      <c r="J47" s="25"/>
      <c r="L47" s="21"/>
      <c r="M47" s="22"/>
      <c r="N47" s="23"/>
    </row>
    <row r="48" spans="1:14" ht="15.75" hidden="1" customHeight="1">
      <c r="A48" s="46">
        <v>21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6"/>
        <v>6.4812056496000006</v>
      </c>
      <c r="I48" s="14">
        <f t="shared" si="7"/>
        <v>3240.6028248000002</v>
      </c>
      <c r="J48" s="25"/>
      <c r="L48" s="21"/>
      <c r="M48" s="22"/>
      <c r="N48" s="23"/>
    </row>
    <row r="49" spans="1:14" ht="15.75" hidden="1" customHeight="1">
      <c r="A49" s="46">
        <v>22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6"/>
        <v>3.4193309809999999</v>
      </c>
      <c r="I49" s="14">
        <f>F49/2*G49</f>
        <v>1709.6654905</v>
      </c>
      <c r="J49" s="25"/>
      <c r="L49" s="21"/>
      <c r="M49" s="22"/>
      <c r="N49" s="23"/>
    </row>
    <row r="50" spans="1:14" ht="15.75" hidden="1" customHeight="1">
      <c r="A50" s="46">
        <v>23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6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16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6"/>
        <v>7.9628296799999996</v>
      </c>
      <c r="I51" s="14">
        <f>F51/2*G51</f>
        <v>3981.4148399999999</v>
      </c>
      <c r="J51" s="25"/>
      <c r="L51" s="21"/>
      <c r="M51" s="22"/>
      <c r="N51" s="23"/>
    </row>
    <row r="52" spans="1:14" ht="31.5" hidden="1" customHeight="1">
      <c r="A52" s="46">
        <v>17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6"/>
        <v>2.1843919999999999</v>
      </c>
      <c r="I52" s="14">
        <f>F52/2*G52</f>
        <v>1092.1959999999999</v>
      </c>
      <c r="J52" s="25"/>
      <c r="L52" s="21"/>
      <c r="M52" s="22"/>
      <c r="N52" s="23"/>
    </row>
    <row r="53" spans="1:14" ht="15.75" hidden="1" customHeight="1">
      <c r="A53" s="46">
        <v>16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6"/>
        <v>0.11304260000000001</v>
      </c>
      <c r="I53" s="14">
        <f>F53/2*G53</f>
        <v>56.521300000000004</v>
      </c>
      <c r="J53" s="25"/>
      <c r="L53" s="21"/>
      <c r="M53" s="22"/>
      <c r="N53" s="23"/>
    </row>
    <row r="54" spans="1:14" ht="15.75" customHeight="1">
      <c r="A54" s="46">
        <v>14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6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158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hidden="1" customHeight="1">
      <c r="A56" s="59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hidden="1" customHeight="1">
      <c r="A58" s="46">
        <v>18</v>
      </c>
      <c r="B58" s="80" t="s">
        <v>146</v>
      </c>
      <c r="C58" s="69" t="s">
        <v>110</v>
      </c>
      <c r="D58" s="80" t="s">
        <v>147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F58/6*G58</f>
        <v>2538.1581119999996</v>
      </c>
      <c r="J58" s="25"/>
      <c r="L58" s="21"/>
      <c r="M58" s="22"/>
      <c r="N58" s="23"/>
    </row>
    <row r="59" spans="1:14" ht="15.75" hidden="1" customHeight="1">
      <c r="A59" s="46">
        <v>19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75" t="s">
        <v>43</v>
      </c>
      <c r="C61" s="75"/>
      <c r="D61" s="75"/>
      <c r="E61" s="75"/>
      <c r="F61" s="75"/>
      <c r="G61" s="75"/>
      <c r="H61" s="75"/>
      <c r="I61" s="38"/>
      <c r="J61" s="25"/>
      <c r="L61" s="21"/>
      <c r="M61" s="22"/>
      <c r="N61" s="23"/>
    </row>
    <row r="62" spans="1:14" ht="15.75" customHeight="1">
      <c r="A62" s="46">
        <v>15</v>
      </c>
      <c r="B62" s="91" t="s">
        <v>98</v>
      </c>
      <c r="C62" s="92" t="s">
        <v>25</v>
      </c>
      <c r="D62" s="91" t="s">
        <v>149</v>
      </c>
      <c r="E62" s="93">
        <v>329.4</v>
      </c>
      <c r="F62" s="94">
        <v>2400</v>
      </c>
      <c r="G62" s="97">
        <v>1.2</v>
      </c>
      <c r="H62" s="95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customHeight="1">
      <c r="A64" s="46"/>
      <c r="B64" s="75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hidden="1" customHeight="1">
      <c r="A65" s="46">
        <v>16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8">SUM(F65*G65/1000)</f>
        <v>8.8960000000000008</v>
      </c>
      <c r="I65" s="14">
        <f>G65*13</f>
        <v>2891.2000000000003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8"/>
        <v>1.14375</v>
      </c>
      <c r="I66" s="14">
        <v>0</v>
      </c>
      <c r="J66" s="25"/>
      <c r="L66" s="21"/>
      <c r="M66" s="22"/>
      <c r="N66" s="23"/>
    </row>
    <row r="67" spans="1:22" ht="15.75" hidden="1" customHeight="1">
      <c r="A67" s="31">
        <v>26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8"/>
        <v>52.290731999999998</v>
      </c>
      <c r="I67" s="14">
        <f>F67*G67</f>
        <v>52290.731999999996</v>
      </c>
      <c r="J67" s="25"/>
      <c r="L67" s="21"/>
      <c r="M67" s="22"/>
      <c r="N67" s="23"/>
    </row>
    <row r="68" spans="1:22" ht="15.75" hidden="1" customHeight="1">
      <c r="A68" s="31">
        <v>27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8"/>
        <v>4.0720960800000006</v>
      </c>
      <c r="I68" s="14">
        <f t="shared" ref="I68:I71" si="9">F68*G68</f>
        <v>4072.0960800000003</v>
      </c>
      <c r="J68" s="25"/>
      <c r="L68" s="21"/>
      <c r="M68" s="22"/>
      <c r="N68" s="23"/>
    </row>
    <row r="69" spans="1:22" ht="15.75" hidden="1" customHeight="1">
      <c r="A69" s="31">
        <v>28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8"/>
        <v>56.637399000000002</v>
      </c>
      <c r="I69" s="14">
        <f t="shared" si="9"/>
        <v>56637.399000000005</v>
      </c>
      <c r="J69" s="25"/>
      <c r="L69" s="21"/>
    </row>
    <row r="70" spans="1:22" ht="15.75" hidden="1" customHeight="1">
      <c r="A70" s="31">
        <v>29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8"/>
        <v>0.91908960000000006</v>
      </c>
      <c r="I70" s="14">
        <f t="shared" si="9"/>
        <v>919.08960000000002</v>
      </c>
    </row>
    <row r="71" spans="1:22" ht="15.75" hidden="1" customHeight="1">
      <c r="A71" s="31">
        <v>30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8"/>
        <v>0.85743840000000016</v>
      </c>
      <c r="I71" s="14">
        <f t="shared" si="9"/>
        <v>857.43840000000012</v>
      </c>
    </row>
    <row r="72" spans="1:22" ht="15.75" hidden="1" customHeight="1">
      <c r="A72" s="31">
        <v>16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8"/>
        <v>0.59856000000000009</v>
      </c>
      <c r="I72" s="14">
        <f>G72*F72</f>
        <v>598.56000000000006</v>
      </c>
    </row>
    <row r="73" spans="1:22" ht="15.75" hidden="1" customHeight="1">
      <c r="A73" s="59"/>
      <c r="B73" s="75" t="s">
        <v>132</v>
      </c>
      <c r="C73" s="75"/>
      <c r="D73" s="75"/>
      <c r="E73" s="75"/>
      <c r="F73" s="75"/>
      <c r="G73" s="75"/>
      <c r="H73" s="75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1">
        <v>17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v>10890.14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159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16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17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59"/>
      <c r="B83" s="44" t="s">
        <v>80</v>
      </c>
      <c r="C83" s="46"/>
      <c r="D83" s="17"/>
      <c r="E83" s="17"/>
      <c r="F83" s="17"/>
      <c r="G83" s="20"/>
      <c r="H83" s="20"/>
      <c r="I83" s="33">
        <f>I82+I81+I62+I54+I35+I34+I32+I31+I28+I27+I26+I24+I21+I20+I18+I17+I16</f>
        <v>94877.687953500004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31.5" customHeight="1">
      <c r="A85" s="31">
        <v>18</v>
      </c>
      <c r="B85" s="62" t="s">
        <v>151</v>
      </c>
      <c r="C85" s="66" t="s">
        <v>37</v>
      </c>
      <c r="D85" s="57"/>
      <c r="E85" s="14"/>
      <c r="F85" s="14">
        <v>7.0000000000000007E-2</v>
      </c>
      <c r="G85" s="39">
        <v>3724.37</v>
      </c>
      <c r="H85" s="77">
        <f t="shared" ref="H85" si="10">G85*F85/1000</f>
        <v>0.26070590000000005</v>
      </c>
      <c r="I85" s="14">
        <f>G85*0.01</f>
        <v>37.243699999999997</v>
      </c>
    </row>
    <row r="86" spans="1:9" ht="15.75" customHeight="1">
      <c r="A86" s="31" t="s">
        <v>231</v>
      </c>
      <c r="B86" s="62" t="s">
        <v>104</v>
      </c>
      <c r="C86" s="66" t="s">
        <v>128</v>
      </c>
      <c r="D86" s="57"/>
      <c r="E86" s="14"/>
      <c r="F86" s="14">
        <v>968</v>
      </c>
      <c r="G86" s="14">
        <v>55.55</v>
      </c>
      <c r="H86" s="77">
        <f>G86*F86/1000</f>
        <v>53.772399999999998</v>
      </c>
      <c r="I86" s="14">
        <f>G86*121</f>
        <v>6721.5499999999993</v>
      </c>
    </row>
    <row r="87" spans="1:9" ht="33" customHeight="1">
      <c r="A87" s="31">
        <v>20</v>
      </c>
      <c r="B87" s="62" t="s">
        <v>91</v>
      </c>
      <c r="C87" s="66" t="s">
        <v>94</v>
      </c>
      <c r="D87" s="57"/>
      <c r="E87" s="14"/>
      <c r="F87" s="14"/>
      <c r="G87" s="39">
        <v>613.44000000000005</v>
      </c>
      <c r="H87" s="77"/>
      <c r="I87" s="14">
        <f>G87*1</f>
        <v>613.44000000000005</v>
      </c>
    </row>
    <row r="88" spans="1:9" ht="16.5" customHeight="1">
      <c r="A88" s="31">
        <v>21</v>
      </c>
      <c r="B88" s="104" t="s">
        <v>223</v>
      </c>
      <c r="C88" s="105" t="s">
        <v>29</v>
      </c>
      <c r="D88" s="57"/>
      <c r="E88" s="14"/>
      <c r="F88" s="14"/>
      <c r="G88" s="134">
        <v>849.49</v>
      </c>
      <c r="H88" s="77"/>
      <c r="I88" s="14">
        <f>G88*0.0351</f>
        <v>29.817098999999999</v>
      </c>
    </row>
    <row r="89" spans="1:9" ht="16.5" customHeight="1">
      <c r="A89" s="31">
        <v>22</v>
      </c>
      <c r="B89" s="104" t="s">
        <v>185</v>
      </c>
      <c r="C89" s="105" t="s">
        <v>186</v>
      </c>
      <c r="D89" s="57"/>
      <c r="E89" s="14"/>
      <c r="F89" s="14"/>
      <c r="G89" s="39">
        <v>134.12</v>
      </c>
      <c r="H89" s="77"/>
      <c r="I89" s="14">
        <f>G89*28</f>
        <v>3755.36</v>
      </c>
    </row>
    <row r="90" spans="1:9" ht="30.75" customHeight="1">
      <c r="A90" s="31">
        <v>23</v>
      </c>
      <c r="B90" s="140" t="s">
        <v>224</v>
      </c>
      <c r="C90" s="141" t="s">
        <v>128</v>
      </c>
      <c r="D90" s="57"/>
      <c r="E90" s="14"/>
      <c r="F90" s="14"/>
      <c r="G90" s="39">
        <v>2012.33</v>
      </c>
      <c r="H90" s="77"/>
      <c r="I90" s="14">
        <f>G90*1</f>
        <v>2012.33</v>
      </c>
    </row>
    <row r="91" spans="1:9" ht="16.5" customHeight="1">
      <c r="A91" s="31">
        <v>24</v>
      </c>
      <c r="B91" s="62" t="s">
        <v>154</v>
      </c>
      <c r="C91" s="66" t="s">
        <v>81</v>
      </c>
      <c r="D91" s="57"/>
      <c r="E91" s="14"/>
      <c r="F91" s="14"/>
      <c r="G91" s="39">
        <v>1272</v>
      </c>
      <c r="H91" s="77"/>
      <c r="I91" s="14">
        <f>G91*2</f>
        <v>2544</v>
      </c>
    </row>
    <row r="92" spans="1:9" ht="18" customHeight="1">
      <c r="A92" s="31">
        <v>25</v>
      </c>
      <c r="B92" s="62" t="s">
        <v>225</v>
      </c>
      <c r="C92" s="66" t="s">
        <v>128</v>
      </c>
      <c r="D92" s="57"/>
      <c r="E92" s="14"/>
      <c r="F92" s="14"/>
      <c r="G92" s="39">
        <v>4.46</v>
      </c>
      <c r="H92" s="77"/>
      <c r="I92" s="14">
        <f>G92*1</f>
        <v>4.46</v>
      </c>
    </row>
    <row r="93" spans="1:9" ht="18.75" customHeight="1">
      <c r="A93" s="31">
        <v>26</v>
      </c>
      <c r="B93" s="62" t="s">
        <v>226</v>
      </c>
      <c r="C93" s="66" t="s">
        <v>128</v>
      </c>
      <c r="D93" s="57"/>
      <c r="E93" s="14"/>
      <c r="F93" s="14"/>
      <c r="G93" s="39">
        <v>151.31</v>
      </c>
      <c r="H93" s="77"/>
      <c r="I93" s="14">
        <f>G93*1</f>
        <v>151.31</v>
      </c>
    </row>
    <row r="94" spans="1:9" ht="27.75" customHeight="1">
      <c r="A94" s="31">
        <v>27</v>
      </c>
      <c r="B94" s="62" t="s">
        <v>227</v>
      </c>
      <c r="C94" s="66" t="s">
        <v>81</v>
      </c>
      <c r="D94" s="57"/>
      <c r="E94" s="14"/>
      <c r="F94" s="14"/>
      <c r="G94" s="39">
        <v>1146</v>
      </c>
      <c r="H94" s="77"/>
      <c r="I94" s="14">
        <f>G94*4</f>
        <v>4584</v>
      </c>
    </row>
    <row r="95" spans="1:9" ht="18.75" customHeight="1">
      <c r="A95" s="31">
        <v>28</v>
      </c>
      <c r="B95" s="62" t="s">
        <v>228</v>
      </c>
      <c r="C95" s="66" t="s">
        <v>128</v>
      </c>
      <c r="D95" s="57"/>
      <c r="E95" s="14"/>
      <c r="F95" s="14"/>
      <c r="G95" s="39">
        <v>151.31</v>
      </c>
      <c r="H95" s="77"/>
      <c r="I95" s="14">
        <f>G95*1</f>
        <v>151.31</v>
      </c>
    </row>
    <row r="96" spans="1:9" ht="18.75" customHeight="1">
      <c r="A96" s="31">
        <v>29</v>
      </c>
      <c r="B96" s="62" t="s">
        <v>229</v>
      </c>
      <c r="C96" s="66" t="s">
        <v>128</v>
      </c>
      <c r="D96" s="57"/>
      <c r="E96" s="14"/>
      <c r="F96" s="14"/>
      <c r="G96" s="39">
        <v>169.24</v>
      </c>
      <c r="H96" s="77"/>
      <c r="I96" s="14">
        <f>G96*1</f>
        <v>169.24</v>
      </c>
    </row>
    <row r="97" spans="1:9" ht="18.75" customHeight="1">
      <c r="A97" s="31">
        <v>30</v>
      </c>
      <c r="B97" s="62" t="s">
        <v>230</v>
      </c>
      <c r="C97" s="66" t="s">
        <v>128</v>
      </c>
      <c r="D97" s="57"/>
      <c r="E97" s="14"/>
      <c r="F97" s="14"/>
      <c r="G97" s="39">
        <v>5.43</v>
      </c>
      <c r="H97" s="77"/>
      <c r="I97" s="14">
        <f>G97*2</f>
        <v>10.86</v>
      </c>
    </row>
    <row r="98" spans="1:9" ht="18" customHeight="1">
      <c r="A98" s="31">
        <v>31</v>
      </c>
      <c r="B98" s="104" t="s">
        <v>183</v>
      </c>
      <c r="C98" s="105" t="s">
        <v>84</v>
      </c>
      <c r="D98" s="57"/>
      <c r="E98" s="14"/>
      <c r="F98" s="14">
        <v>27.5</v>
      </c>
      <c r="G98" s="39">
        <v>203.68</v>
      </c>
      <c r="H98" s="77">
        <f>G98*F98/1000</f>
        <v>5.6011999999999995</v>
      </c>
      <c r="I98" s="14">
        <f>G98*3</f>
        <v>611.04</v>
      </c>
    </row>
    <row r="99" spans="1:9" ht="15.75" customHeight="1">
      <c r="A99" s="31">
        <v>32</v>
      </c>
      <c r="B99" s="62" t="s">
        <v>167</v>
      </c>
      <c r="C99" s="68" t="s">
        <v>168</v>
      </c>
      <c r="D99" s="65"/>
      <c r="E99" s="39"/>
      <c r="F99" s="39">
        <v>8</v>
      </c>
      <c r="G99" s="39">
        <v>300.61</v>
      </c>
      <c r="H99" s="100">
        <f>G99*F99/1000</f>
        <v>2.4048799999999999</v>
      </c>
      <c r="I99" s="14">
        <f>G99*1</f>
        <v>300.61</v>
      </c>
    </row>
    <row r="100" spans="1:9" ht="15.75" customHeight="1">
      <c r="A100" s="31">
        <v>33</v>
      </c>
      <c r="B100" s="104" t="s">
        <v>82</v>
      </c>
      <c r="C100" s="105" t="s">
        <v>128</v>
      </c>
      <c r="D100" s="65"/>
      <c r="E100" s="39"/>
      <c r="F100" s="39">
        <v>2</v>
      </c>
      <c r="G100" s="39">
        <v>197.48</v>
      </c>
      <c r="H100" s="100">
        <f t="shared" ref="H100:H103" si="11">G100*F100/1000</f>
        <v>0.39495999999999998</v>
      </c>
      <c r="I100" s="14">
        <f>G100*3</f>
        <v>592.43999999999994</v>
      </c>
    </row>
    <row r="101" spans="1:9" ht="15.75" customHeight="1">
      <c r="A101" s="31">
        <v>34</v>
      </c>
      <c r="B101" s="143" t="s">
        <v>221</v>
      </c>
      <c r="C101" s="46" t="s">
        <v>99</v>
      </c>
      <c r="D101" s="65"/>
      <c r="E101" s="39"/>
      <c r="F101" s="39">
        <v>2</v>
      </c>
      <c r="G101" s="39">
        <v>396.32</v>
      </c>
      <c r="H101" s="100">
        <f t="shared" si="11"/>
        <v>0.79264000000000001</v>
      </c>
      <c r="I101" s="14">
        <f>G101*0.096</f>
        <v>38.046720000000001</v>
      </c>
    </row>
    <row r="102" spans="1:9" ht="18.75" customHeight="1">
      <c r="A102" s="31">
        <v>35</v>
      </c>
      <c r="B102" s="104" t="s">
        <v>222</v>
      </c>
      <c r="C102" s="105" t="s">
        <v>52</v>
      </c>
      <c r="D102" s="57"/>
      <c r="E102" s="39"/>
      <c r="F102" s="39">
        <v>16</v>
      </c>
      <c r="G102" s="39">
        <v>53163.519999999997</v>
      </c>
      <c r="H102" s="100">
        <f t="shared" si="11"/>
        <v>850.61631999999997</v>
      </c>
      <c r="I102" s="14">
        <f>G102*0.0096</f>
        <v>510.3697919999999</v>
      </c>
    </row>
    <row r="103" spans="1:9" ht="31.5" customHeight="1">
      <c r="A103" s="31">
        <v>36</v>
      </c>
      <c r="B103" s="62" t="s">
        <v>79</v>
      </c>
      <c r="C103" s="66" t="s">
        <v>128</v>
      </c>
      <c r="D103" s="65"/>
      <c r="E103" s="39"/>
      <c r="F103" s="39">
        <v>2</v>
      </c>
      <c r="G103" s="39">
        <v>86.69</v>
      </c>
      <c r="H103" s="100">
        <f t="shared" si="11"/>
        <v>0.17338000000000001</v>
      </c>
      <c r="I103" s="14">
        <f>G103*2</f>
        <v>173.38</v>
      </c>
    </row>
    <row r="104" spans="1:9" ht="15.75" hidden="1" customHeight="1">
      <c r="A104" s="31">
        <v>31</v>
      </c>
      <c r="B104" s="57"/>
      <c r="C104" s="18"/>
      <c r="D104" s="65"/>
      <c r="E104" s="39"/>
      <c r="F104" s="39">
        <v>1</v>
      </c>
      <c r="G104" s="39"/>
      <c r="H104" s="100">
        <f>G104*F104/1000</f>
        <v>0</v>
      </c>
      <c r="I104" s="14"/>
    </row>
    <row r="105" spans="1:9" ht="15.75" customHeight="1">
      <c r="A105" s="31"/>
      <c r="B105" s="104" t="s">
        <v>233</v>
      </c>
      <c r="C105" s="105" t="s">
        <v>234</v>
      </c>
      <c r="D105" s="65"/>
      <c r="E105" s="39"/>
      <c r="F105" s="39"/>
      <c r="G105" s="134">
        <v>208</v>
      </c>
      <c r="H105" s="100"/>
      <c r="I105" s="14">
        <f>G105*1</f>
        <v>208</v>
      </c>
    </row>
    <row r="106" spans="1:9" ht="15.75" customHeight="1">
      <c r="A106" s="31"/>
      <c r="B106" s="119" t="s">
        <v>235</v>
      </c>
      <c r="C106" s="46" t="s">
        <v>236</v>
      </c>
      <c r="D106" s="65"/>
      <c r="E106" s="39"/>
      <c r="F106" s="39"/>
      <c r="G106" s="134">
        <v>326.66000000000003</v>
      </c>
      <c r="H106" s="100"/>
      <c r="I106" s="14">
        <f>G106*0.4</f>
        <v>130.66400000000002</v>
      </c>
    </row>
    <row r="107" spans="1:9" ht="15.75" customHeight="1">
      <c r="A107" s="31"/>
      <c r="B107" s="119" t="s">
        <v>237</v>
      </c>
      <c r="C107" s="46" t="s">
        <v>128</v>
      </c>
      <c r="D107" s="65"/>
      <c r="E107" s="39"/>
      <c r="F107" s="39"/>
      <c r="G107" s="134">
        <v>470</v>
      </c>
      <c r="H107" s="100"/>
      <c r="I107" s="14">
        <f>G107*2</f>
        <v>940</v>
      </c>
    </row>
    <row r="108" spans="1:9" ht="15.75" customHeight="1">
      <c r="A108" s="31"/>
      <c r="B108" s="119" t="s">
        <v>238</v>
      </c>
      <c r="C108" s="46" t="s">
        <v>239</v>
      </c>
      <c r="D108" s="65"/>
      <c r="E108" s="39"/>
      <c r="F108" s="39"/>
      <c r="G108" s="134">
        <v>45</v>
      </c>
      <c r="H108" s="100"/>
      <c r="I108" s="14">
        <f>G108*75</f>
        <v>3375</v>
      </c>
    </row>
    <row r="109" spans="1:9" ht="15.75" customHeight="1">
      <c r="A109" s="31"/>
      <c r="B109" s="51" t="s">
        <v>51</v>
      </c>
      <c r="C109" s="47"/>
      <c r="D109" s="60"/>
      <c r="E109" s="60"/>
      <c r="F109" s="47">
        <v>1</v>
      </c>
      <c r="G109" s="47"/>
      <c r="H109" s="47"/>
      <c r="I109" s="33">
        <f>SUM(I85:I108)-I86</f>
        <v>20942.921311000002</v>
      </c>
    </row>
    <row r="110" spans="1:9" ht="15.75" customHeight="1">
      <c r="A110" s="31"/>
      <c r="B110" s="57" t="s">
        <v>78</v>
      </c>
      <c r="C110" s="17"/>
      <c r="D110" s="17"/>
      <c r="E110" s="17"/>
      <c r="F110" s="48"/>
      <c r="G110" s="49"/>
      <c r="H110" s="49"/>
      <c r="I110" s="19">
        <v>0</v>
      </c>
    </row>
    <row r="111" spans="1:9" ht="15.75" customHeight="1">
      <c r="A111" s="61"/>
      <c r="B111" s="52" t="s">
        <v>162</v>
      </c>
      <c r="C111" s="37"/>
      <c r="D111" s="37"/>
      <c r="E111" s="37"/>
      <c r="F111" s="37"/>
      <c r="G111" s="37"/>
      <c r="H111" s="37"/>
      <c r="I111" s="50">
        <f>I83+I109</f>
        <v>115820.6092645</v>
      </c>
    </row>
    <row r="112" spans="1:9" ht="15.75" customHeight="1">
      <c r="A112" s="166" t="s">
        <v>232</v>
      </c>
      <c r="B112" s="167"/>
      <c r="C112" s="167"/>
      <c r="D112" s="167"/>
      <c r="E112" s="167"/>
      <c r="F112" s="167"/>
      <c r="G112" s="167"/>
      <c r="H112" s="167"/>
      <c r="I112" s="167"/>
    </row>
    <row r="113" spans="1:9" ht="15.75" customHeight="1">
      <c r="A113" s="168" t="s">
        <v>242</v>
      </c>
      <c r="B113" s="168"/>
      <c r="C113" s="168"/>
      <c r="D113" s="168"/>
      <c r="E113" s="168"/>
      <c r="F113" s="168"/>
      <c r="G113" s="168"/>
      <c r="H113" s="168"/>
      <c r="I113" s="168"/>
    </row>
    <row r="114" spans="1:9" ht="15.75" customHeight="1">
      <c r="A114" s="76"/>
      <c r="B114" s="158" t="s">
        <v>243</v>
      </c>
      <c r="C114" s="158"/>
      <c r="D114" s="158"/>
      <c r="E114" s="158"/>
      <c r="F114" s="158"/>
      <c r="G114" s="158"/>
      <c r="H114" s="79"/>
      <c r="I114" s="3"/>
    </row>
    <row r="115" spans="1:9" ht="15.75" customHeight="1">
      <c r="A115" s="71"/>
      <c r="B115" s="154" t="s">
        <v>6</v>
      </c>
      <c r="C115" s="154"/>
      <c r="D115" s="154"/>
      <c r="E115" s="154"/>
      <c r="F115" s="154"/>
      <c r="G115" s="154"/>
      <c r="H115" s="26"/>
      <c r="I115" s="5"/>
    </row>
    <row r="116" spans="1:9" ht="15.75" customHeight="1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5.75" customHeight="1">
      <c r="A117" s="159" t="s">
        <v>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5.75" customHeight="1">
      <c r="A118" s="159" t="s">
        <v>8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.75" customHeight="1">
      <c r="A119" s="160" t="s">
        <v>61</v>
      </c>
      <c r="B119" s="160"/>
      <c r="C119" s="160"/>
      <c r="D119" s="160"/>
      <c r="E119" s="160"/>
      <c r="F119" s="160"/>
      <c r="G119" s="160"/>
      <c r="H119" s="160"/>
      <c r="I119" s="160"/>
    </row>
    <row r="120" spans="1:9" ht="15.75" customHeight="1">
      <c r="A120" s="11"/>
    </row>
    <row r="121" spans="1:9" ht="15.75" customHeight="1">
      <c r="A121" s="161" t="s">
        <v>9</v>
      </c>
      <c r="B121" s="161"/>
      <c r="C121" s="161"/>
      <c r="D121" s="161"/>
      <c r="E121" s="161"/>
      <c r="F121" s="161"/>
      <c r="G121" s="161"/>
      <c r="H121" s="161"/>
      <c r="I121" s="161"/>
    </row>
    <row r="122" spans="1:9" ht="15.75" customHeight="1">
      <c r="A122" s="4"/>
    </row>
    <row r="123" spans="1:9" ht="15.75" customHeight="1">
      <c r="B123" s="70" t="s">
        <v>10</v>
      </c>
      <c r="C123" s="153" t="s">
        <v>92</v>
      </c>
      <c r="D123" s="153"/>
      <c r="E123" s="153"/>
      <c r="F123" s="153"/>
      <c r="I123" s="73"/>
    </row>
    <row r="124" spans="1:9" ht="15.75" customHeight="1">
      <c r="A124" s="71"/>
      <c r="C124" s="154" t="s">
        <v>11</v>
      </c>
      <c r="D124" s="154"/>
      <c r="E124" s="154"/>
      <c r="F124" s="154"/>
      <c r="I124" s="72" t="s">
        <v>12</v>
      </c>
    </row>
    <row r="125" spans="1:9" ht="15.75" customHeight="1">
      <c r="A125" s="27"/>
      <c r="C125" s="12"/>
      <c r="D125" s="12"/>
      <c r="E125" s="12"/>
      <c r="G125" s="12"/>
      <c r="H125" s="12"/>
    </row>
    <row r="126" spans="1:9" ht="15.75" customHeight="1">
      <c r="B126" s="70" t="s">
        <v>13</v>
      </c>
      <c r="C126" s="155"/>
      <c r="D126" s="155"/>
      <c r="E126" s="155"/>
      <c r="F126" s="155"/>
      <c r="I126" s="73"/>
    </row>
    <row r="127" spans="1:9" ht="15.75" customHeight="1">
      <c r="A127" s="71"/>
      <c r="C127" s="156" t="s">
        <v>11</v>
      </c>
      <c r="D127" s="156"/>
      <c r="E127" s="156"/>
      <c r="F127" s="156"/>
      <c r="I127" s="72" t="s">
        <v>12</v>
      </c>
    </row>
    <row r="128" spans="1:9" ht="15.75" customHeight="1">
      <c r="A128" s="4" t="s">
        <v>14</v>
      </c>
    </row>
    <row r="129" spans="1:9">
      <c r="A129" s="157" t="s">
        <v>15</v>
      </c>
      <c r="B129" s="157"/>
      <c r="C129" s="157"/>
      <c r="D129" s="157"/>
      <c r="E129" s="157"/>
      <c r="F129" s="157"/>
      <c r="G129" s="157"/>
      <c r="H129" s="157"/>
      <c r="I129" s="157"/>
    </row>
    <row r="130" spans="1:9" ht="45" customHeight="1">
      <c r="A130" s="146" t="s">
        <v>16</v>
      </c>
      <c r="B130" s="146"/>
      <c r="C130" s="146"/>
      <c r="D130" s="146"/>
      <c r="E130" s="146"/>
      <c r="F130" s="146"/>
      <c r="G130" s="146"/>
      <c r="H130" s="146"/>
      <c r="I130" s="146"/>
    </row>
    <row r="131" spans="1:9" ht="30" customHeight="1">
      <c r="A131" s="146" t="s">
        <v>17</v>
      </c>
      <c r="B131" s="146"/>
      <c r="C131" s="146"/>
      <c r="D131" s="146"/>
      <c r="E131" s="146"/>
      <c r="F131" s="146"/>
      <c r="G131" s="146"/>
      <c r="H131" s="146"/>
      <c r="I131" s="146"/>
    </row>
    <row r="132" spans="1:9" ht="30" customHeight="1">
      <c r="A132" s="146" t="s">
        <v>21</v>
      </c>
      <c r="B132" s="146"/>
      <c r="C132" s="146"/>
      <c r="D132" s="146"/>
      <c r="E132" s="146"/>
      <c r="F132" s="146"/>
      <c r="G132" s="146"/>
      <c r="H132" s="146"/>
      <c r="I132" s="146"/>
    </row>
    <row r="133" spans="1:9" ht="15" customHeight="1">
      <c r="A133" s="146" t="s">
        <v>20</v>
      </c>
      <c r="B133" s="146"/>
      <c r="C133" s="146"/>
      <c r="D133" s="146"/>
      <c r="E133" s="146"/>
      <c r="F133" s="146"/>
      <c r="G133" s="146"/>
      <c r="H133" s="146"/>
      <c r="I133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27:F127"/>
    <mergeCell ref="A84:I84"/>
    <mergeCell ref="A113:I113"/>
    <mergeCell ref="B114:G114"/>
    <mergeCell ref="B115:G115"/>
    <mergeCell ref="A117:I117"/>
    <mergeCell ref="A118:I118"/>
    <mergeCell ref="A119:I119"/>
    <mergeCell ref="A121:I121"/>
    <mergeCell ref="C123:F123"/>
    <mergeCell ref="C124:F124"/>
    <mergeCell ref="C126:F126"/>
    <mergeCell ref="A80:I80"/>
    <mergeCell ref="A112:I112"/>
    <mergeCell ref="A129:I129"/>
    <mergeCell ref="A130:I130"/>
    <mergeCell ref="A131:I131"/>
    <mergeCell ref="A132:I132"/>
    <mergeCell ref="A133:I13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3"/>
  <sheetViews>
    <sheetView topLeftCell="A86" workbookViewId="0">
      <selection activeCell="L105" sqref="L105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244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171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245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43312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246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>
        <v>4</v>
      </c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f>F19/2*G19</f>
        <v>326.7072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>
        <v>7</v>
      </c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f>F22*G22</f>
        <v>2215.2558719999997</v>
      </c>
      <c r="J22" s="24"/>
      <c r="K22" s="8"/>
      <c r="L22" s="8"/>
      <c r="M22" s="8"/>
    </row>
    <row r="23" spans="1:13" ht="15.75" hidden="1" customHeight="1">
      <c r="A23" s="31">
        <v>8</v>
      </c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f>F23*G23</f>
        <v>42.784140000000001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31">
        <v>10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f>F25*G25</f>
        <v>82.125600000000006</v>
      </c>
      <c r="J25" s="24"/>
      <c r="K25" s="8"/>
      <c r="L25" s="8"/>
      <c r="M25" s="8"/>
    </row>
    <row r="26" spans="1:13" ht="15.75" customHeight="1">
      <c r="A26" s="31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31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31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customHeight="1">
      <c r="A31" s="46">
        <v>10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f>F31/6*G31</f>
        <v>1845.7999560000003</v>
      </c>
      <c r="J31" s="24"/>
      <c r="K31" s="8"/>
      <c r="L31" s="8"/>
      <c r="M31" s="8"/>
    </row>
    <row r="32" spans="1:13" ht="31.5" customHeight="1">
      <c r="A32" s="46">
        <v>11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f t="shared" ref="I32:I35" si="2">F32/6*G32</f>
        <v>1841.9757915000002</v>
      </c>
      <c r="J32" s="24"/>
      <c r="K32" s="8"/>
      <c r="L32" s="8"/>
      <c r="M32" s="8"/>
    </row>
    <row r="33" spans="1:14" ht="15.75" hidden="1" customHeight="1">
      <c r="A33" s="46">
        <v>16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f>F33*G33</f>
        <v>8252.7496919999994</v>
      </c>
      <c r="J33" s="24"/>
      <c r="K33" s="8"/>
      <c r="L33" s="8"/>
      <c r="M33" s="8"/>
    </row>
    <row r="34" spans="1:14" ht="15.75" customHeight="1">
      <c r="A34" s="46">
        <v>12</v>
      </c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f t="shared" si="2"/>
        <v>2690.8413333333338</v>
      </c>
      <c r="J34" s="24"/>
      <c r="K34" s="8"/>
      <c r="L34" s="8"/>
      <c r="M34" s="8"/>
    </row>
    <row r="35" spans="1:14" ht="15.75" customHeight="1">
      <c r="A35" s="46">
        <v>13</v>
      </c>
      <c r="B35" s="80" t="s">
        <v>160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f t="shared" si="2"/>
        <v>1464.4916666666666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3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4">
        <v>0</v>
      </c>
      <c r="J37" s="25"/>
    </row>
    <row r="38" spans="1:14" ht="15.75" hidden="1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hidden="1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4" si="4">F39/6*G39</f>
        <v>3818.05</v>
      </c>
      <c r="J39" s="25"/>
    </row>
    <row r="40" spans="1:14" ht="15.75" hidden="1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5">SUM(F40*G40/1000)</f>
        <v>57.598483674999997</v>
      </c>
      <c r="I40" s="14">
        <f t="shared" si="4"/>
        <v>9599.747279166666</v>
      </c>
      <c r="J40" s="25"/>
    </row>
    <row r="41" spans="1:14" ht="15.75" hidden="1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5"/>
        <v>7.611275</v>
      </c>
      <c r="I41" s="14">
        <f t="shared" si="4"/>
        <v>1268.5458333333333</v>
      </c>
      <c r="J41" s="25"/>
    </row>
    <row r="42" spans="1:14" ht="31.5" hidden="1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5"/>
        <v>9.7495103999999984</v>
      </c>
      <c r="I42" s="14">
        <f t="shared" si="4"/>
        <v>1624.9183999999998</v>
      </c>
      <c r="J42" s="25"/>
    </row>
    <row r="43" spans="1:14" ht="15.75" hidden="1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5"/>
        <v>2.7008100000000002</v>
      </c>
      <c r="I43" s="14">
        <f t="shared" si="4"/>
        <v>450.13499999999999</v>
      </c>
      <c r="J43" s="25"/>
    </row>
    <row r="44" spans="1:14" ht="15.75" hidden="1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5"/>
        <v>0.71820000000000006</v>
      </c>
      <c r="I44" s="14">
        <f t="shared" si="4"/>
        <v>119.69999999999999</v>
      </c>
      <c r="J44" s="25"/>
      <c r="L44" s="21"/>
      <c r="M44" s="22"/>
      <c r="N44" s="23"/>
    </row>
    <row r="45" spans="1:14" ht="15.75" hidden="1" customHeight="1">
      <c r="A45" s="175" t="s">
        <v>157</v>
      </c>
      <c r="B45" s="176"/>
      <c r="C45" s="176"/>
      <c r="D45" s="176"/>
      <c r="E45" s="176"/>
      <c r="F45" s="176"/>
      <c r="G45" s="176"/>
      <c r="H45" s="176"/>
      <c r="I45" s="177"/>
      <c r="J45" s="25"/>
      <c r="L45" s="21"/>
      <c r="M45" s="22"/>
      <c r="N45" s="23"/>
    </row>
    <row r="46" spans="1:14" ht="15.75" hidden="1" customHeight="1">
      <c r="A46" s="46">
        <v>19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6">SUM(F46*G46/1000)</f>
        <v>2.7870067920000001</v>
      </c>
      <c r="I46" s="14">
        <f t="shared" ref="I46:I48" si="7">F46/2*G46</f>
        <v>1393.5033960000001</v>
      </c>
      <c r="J46" s="25"/>
      <c r="L46" s="21"/>
      <c r="M46" s="22"/>
      <c r="N46" s="23"/>
    </row>
    <row r="47" spans="1:14" ht="15.75" hidden="1" customHeight="1">
      <c r="A47" s="46">
        <v>20</v>
      </c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6"/>
        <v>1.06421502</v>
      </c>
      <c r="I47" s="14">
        <f t="shared" si="7"/>
        <v>532.10751000000005</v>
      </c>
      <c r="J47" s="25"/>
      <c r="L47" s="21"/>
      <c r="M47" s="22"/>
      <c r="N47" s="23"/>
    </row>
    <row r="48" spans="1:14" ht="15.75" hidden="1" customHeight="1">
      <c r="A48" s="46">
        <v>21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6"/>
        <v>6.4812056496000006</v>
      </c>
      <c r="I48" s="14">
        <f t="shared" si="7"/>
        <v>3240.6028248000002</v>
      </c>
      <c r="J48" s="25"/>
      <c r="L48" s="21"/>
      <c r="M48" s="22"/>
      <c r="N48" s="23"/>
    </row>
    <row r="49" spans="1:14" ht="15.75" hidden="1" customHeight="1">
      <c r="A49" s="46">
        <v>22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6"/>
        <v>3.4193309809999999</v>
      </c>
      <c r="I49" s="14">
        <f>F49/2*G49</f>
        <v>1709.6654905</v>
      </c>
      <c r="J49" s="25"/>
      <c r="L49" s="21"/>
      <c r="M49" s="22"/>
      <c r="N49" s="23"/>
    </row>
    <row r="50" spans="1:14" ht="15.75" hidden="1" customHeight="1">
      <c r="A50" s="46">
        <v>23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6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16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6"/>
        <v>7.9628296799999996</v>
      </c>
      <c r="I51" s="14">
        <f>F51/2*G51</f>
        <v>3981.4148399999999</v>
      </c>
      <c r="J51" s="25"/>
      <c r="L51" s="21"/>
      <c r="M51" s="22"/>
      <c r="N51" s="23"/>
    </row>
    <row r="52" spans="1:14" ht="31.5" hidden="1" customHeight="1">
      <c r="A52" s="46">
        <v>17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6"/>
        <v>2.1843919999999999</v>
      </c>
      <c r="I52" s="14">
        <f>F52/2*G52</f>
        <v>1092.1959999999999</v>
      </c>
      <c r="J52" s="25"/>
      <c r="L52" s="21"/>
      <c r="M52" s="22"/>
      <c r="N52" s="23"/>
    </row>
    <row r="53" spans="1:14" ht="15.75" hidden="1" customHeight="1">
      <c r="A53" s="46">
        <v>16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6"/>
        <v>0.11304260000000001</v>
      </c>
      <c r="I53" s="14">
        <f>F53/2*G53</f>
        <v>56.521300000000004</v>
      </c>
      <c r="J53" s="25"/>
      <c r="L53" s="21"/>
      <c r="M53" s="22"/>
      <c r="N53" s="23"/>
    </row>
    <row r="54" spans="1:14" ht="15.75" hidden="1" customHeight="1">
      <c r="A54" s="46">
        <v>14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6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175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hidden="1" customHeight="1">
      <c r="A56" s="59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hidden="1" customHeight="1">
      <c r="A58" s="46">
        <v>18</v>
      </c>
      <c r="B58" s="80" t="s">
        <v>146</v>
      </c>
      <c r="C58" s="69" t="s">
        <v>110</v>
      </c>
      <c r="D58" s="80" t="s">
        <v>147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F58/6*G58</f>
        <v>2538.1581119999996</v>
      </c>
      <c r="J58" s="25"/>
      <c r="L58" s="21"/>
      <c r="M58" s="22"/>
      <c r="N58" s="23"/>
    </row>
    <row r="59" spans="1:14" ht="15.75" hidden="1" customHeight="1">
      <c r="A59" s="46">
        <v>19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75" t="s">
        <v>43</v>
      </c>
      <c r="C61" s="75"/>
      <c r="D61" s="75"/>
      <c r="E61" s="75"/>
      <c r="F61" s="75"/>
      <c r="G61" s="75"/>
      <c r="H61" s="75"/>
      <c r="I61" s="38"/>
      <c r="J61" s="25"/>
      <c r="L61" s="21"/>
      <c r="M61" s="22"/>
      <c r="N61" s="23"/>
    </row>
    <row r="62" spans="1:14" ht="15.75" customHeight="1">
      <c r="A62" s="46">
        <v>14</v>
      </c>
      <c r="B62" s="91" t="s">
        <v>98</v>
      </c>
      <c r="C62" s="92" t="s">
        <v>25</v>
      </c>
      <c r="D62" s="91" t="s">
        <v>149</v>
      </c>
      <c r="E62" s="93">
        <v>329.4</v>
      </c>
      <c r="F62" s="94">
        <v>2400</v>
      </c>
      <c r="G62" s="97">
        <v>1.2</v>
      </c>
      <c r="H62" s="95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hidden="1" customHeight="1">
      <c r="A64" s="46"/>
      <c r="B64" s="75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hidden="1" customHeight="1">
      <c r="A65" s="46">
        <v>15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8">SUM(F65*G65/1000)</f>
        <v>8.8960000000000008</v>
      </c>
      <c r="I65" s="14">
        <f>G65*6</f>
        <v>1334.4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8"/>
        <v>1.14375</v>
      </c>
      <c r="I66" s="14">
        <v>0</v>
      </c>
      <c r="J66" s="25"/>
      <c r="L66" s="21"/>
      <c r="M66" s="22"/>
      <c r="N66" s="23"/>
    </row>
    <row r="67" spans="1:22" ht="15.75" hidden="1" customHeight="1">
      <c r="A67" s="31">
        <v>26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8"/>
        <v>52.290731999999998</v>
      </c>
      <c r="I67" s="14">
        <f>F67*G67</f>
        <v>52290.731999999996</v>
      </c>
      <c r="J67" s="25"/>
      <c r="L67" s="21"/>
      <c r="M67" s="22"/>
      <c r="N67" s="23"/>
    </row>
    <row r="68" spans="1:22" ht="15.75" hidden="1" customHeight="1">
      <c r="A68" s="31">
        <v>27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8"/>
        <v>4.0720960800000006</v>
      </c>
      <c r="I68" s="14">
        <f t="shared" ref="I68:I71" si="9">F68*G68</f>
        <v>4072.0960800000003</v>
      </c>
      <c r="J68" s="25"/>
      <c r="L68" s="21"/>
      <c r="M68" s="22"/>
      <c r="N68" s="23"/>
    </row>
    <row r="69" spans="1:22" ht="15.75" hidden="1" customHeight="1">
      <c r="A69" s="31">
        <v>28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8"/>
        <v>56.637399000000002</v>
      </c>
      <c r="I69" s="14">
        <f t="shared" si="9"/>
        <v>56637.399000000005</v>
      </c>
      <c r="J69" s="25"/>
      <c r="L69" s="21"/>
    </row>
    <row r="70" spans="1:22" ht="15.75" hidden="1" customHeight="1">
      <c r="A70" s="31">
        <v>29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8"/>
        <v>0.91908960000000006</v>
      </c>
      <c r="I70" s="14">
        <f t="shared" si="9"/>
        <v>919.08960000000002</v>
      </c>
    </row>
    <row r="71" spans="1:22" ht="15.75" hidden="1" customHeight="1">
      <c r="A71" s="31">
        <v>30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8"/>
        <v>0.85743840000000016</v>
      </c>
      <c r="I71" s="14">
        <f t="shared" si="9"/>
        <v>857.43840000000012</v>
      </c>
    </row>
    <row r="72" spans="1:22" ht="15.75" hidden="1" customHeight="1">
      <c r="A72" s="31">
        <v>13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8"/>
        <v>0.59856000000000009</v>
      </c>
      <c r="I72" s="14">
        <v>0</v>
      </c>
    </row>
    <row r="73" spans="1:22" ht="15.75" hidden="1" customHeight="1">
      <c r="A73" s="59"/>
      <c r="B73" s="75" t="s">
        <v>132</v>
      </c>
      <c r="C73" s="75"/>
      <c r="D73" s="75"/>
      <c r="E73" s="75"/>
      <c r="F73" s="75"/>
      <c r="G73" s="75"/>
      <c r="H73" s="75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1">
        <v>16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f>G74</f>
        <v>27356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176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15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16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59"/>
      <c r="B83" s="44" t="s">
        <v>80</v>
      </c>
      <c r="C83" s="46"/>
      <c r="D83" s="17"/>
      <c r="E83" s="17"/>
      <c r="F83" s="17"/>
      <c r="G83" s="20"/>
      <c r="H83" s="20"/>
      <c r="I83" s="33">
        <f>I82+I81+I62+I35+I34+I32+I31+I28+I27+I26+I24+I21+I20+I18+I17+I16</f>
        <v>79248.227953500013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19.5" customHeight="1">
      <c r="A85" s="31">
        <v>17</v>
      </c>
      <c r="B85" s="104" t="s">
        <v>183</v>
      </c>
      <c r="C85" s="105" t="s">
        <v>84</v>
      </c>
      <c r="D85" s="65"/>
      <c r="E85" s="39"/>
      <c r="F85" s="39">
        <v>7.0000000000000007E-2</v>
      </c>
      <c r="G85" s="39">
        <v>203.68</v>
      </c>
      <c r="H85" s="100">
        <f t="shared" ref="H85" si="10">G85*F85/1000</f>
        <v>1.4257600000000002E-2</v>
      </c>
      <c r="I85" s="14">
        <f>G85*1</f>
        <v>203.68</v>
      </c>
    </row>
    <row r="86" spans="1:9" ht="15.75" customHeight="1">
      <c r="A86" s="31">
        <v>18</v>
      </c>
      <c r="B86" s="104" t="s">
        <v>185</v>
      </c>
      <c r="C86" s="105" t="s">
        <v>186</v>
      </c>
      <c r="D86" s="57"/>
      <c r="E86" s="39"/>
      <c r="F86" s="39">
        <v>968</v>
      </c>
      <c r="G86" s="39">
        <v>134.12</v>
      </c>
      <c r="H86" s="100">
        <f>G86*F86/1000</f>
        <v>129.82816</v>
      </c>
      <c r="I86" s="14">
        <f>G86*9</f>
        <v>1207.08</v>
      </c>
    </row>
    <row r="87" spans="1:9" ht="31.5" customHeight="1">
      <c r="A87" s="31" t="s">
        <v>231</v>
      </c>
      <c r="B87" s="104" t="s">
        <v>104</v>
      </c>
      <c r="C87" s="105" t="s">
        <v>128</v>
      </c>
      <c r="D87" s="57"/>
      <c r="E87" s="39"/>
      <c r="F87" s="39">
        <v>8</v>
      </c>
      <c r="G87" s="39">
        <v>55.55</v>
      </c>
      <c r="H87" s="100">
        <f>G87*F87/1000</f>
        <v>0.44439999999999996</v>
      </c>
      <c r="I87" s="14">
        <f>G87*121</f>
        <v>6721.5499999999993</v>
      </c>
    </row>
    <row r="88" spans="1:9" ht="15.75" customHeight="1">
      <c r="A88" s="31">
        <v>20</v>
      </c>
      <c r="B88" s="62" t="s">
        <v>167</v>
      </c>
      <c r="C88" s="68" t="s">
        <v>168</v>
      </c>
      <c r="D88" s="65"/>
      <c r="E88" s="39"/>
      <c r="F88" s="39">
        <v>4</v>
      </c>
      <c r="G88" s="39">
        <v>300.61</v>
      </c>
      <c r="H88" s="100">
        <f>G88*F88/1000</f>
        <v>1.20244</v>
      </c>
      <c r="I88" s="14">
        <f>G88*2</f>
        <v>601.22</v>
      </c>
    </row>
    <row r="89" spans="1:9" ht="31.5" customHeight="1">
      <c r="A89" s="31">
        <v>21</v>
      </c>
      <c r="B89" s="62" t="s">
        <v>153</v>
      </c>
      <c r="C89" s="66" t="s">
        <v>81</v>
      </c>
      <c r="D89" s="57"/>
      <c r="E89" s="39"/>
      <c r="F89" s="39">
        <v>9</v>
      </c>
      <c r="G89" s="39">
        <v>1187</v>
      </c>
      <c r="H89" s="100">
        <f>G89*F89/1000</f>
        <v>10.683</v>
      </c>
      <c r="I89" s="14">
        <f>G89*2</f>
        <v>2374</v>
      </c>
    </row>
    <row r="90" spans="1:9" ht="31.5" customHeight="1">
      <c r="A90" s="31">
        <v>22</v>
      </c>
      <c r="B90" s="62" t="s">
        <v>154</v>
      </c>
      <c r="C90" s="66" t="s">
        <v>81</v>
      </c>
      <c r="D90" s="65"/>
      <c r="E90" s="39"/>
      <c r="F90" s="39">
        <v>3</v>
      </c>
      <c r="G90" s="39">
        <v>1272</v>
      </c>
      <c r="H90" s="100">
        <f t="shared" ref="H90:H91" si="11">G90*F90/1000</f>
        <v>3.8159999999999998</v>
      </c>
      <c r="I90" s="14">
        <f>G90*4</f>
        <v>5088</v>
      </c>
    </row>
    <row r="91" spans="1:9" ht="15.75" customHeight="1">
      <c r="A91" s="31">
        <v>23</v>
      </c>
      <c r="B91" s="62" t="s">
        <v>247</v>
      </c>
      <c r="C91" s="66" t="s">
        <v>128</v>
      </c>
      <c r="D91" s="65"/>
      <c r="E91" s="39"/>
      <c r="F91" s="39">
        <f>1/10</f>
        <v>0.1</v>
      </c>
      <c r="G91" s="39">
        <v>23.5</v>
      </c>
      <c r="H91" s="100">
        <f t="shared" si="11"/>
        <v>2.3500000000000001E-3</v>
      </c>
      <c r="I91" s="14">
        <f>G91*2</f>
        <v>47</v>
      </c>
    </row>
    <row r="92" spans="1:9" ht="15.75" customHeight="1">
      <c r="A92" s="31">
        <v>24</v>
      </c>
      <c r="B92" s="62" t="s">
        <v>248</v>
      </c>
      <c r="C92" s="66" t="s">
        <v>128</v>
      </c>
      <c r="D92" s="65"/>
      <c r="E92" s="39"/>
      <c r="F92" s="39">
        <v>1</v>
      </c>
      <c r="G92" s="39">
        <v>10.55</v>
      </c>
      <c r="H92" s="100">
        <f>G92*F92/1000</f>
        <v>1.055E-2</v>
      </c>
      <c r="I92" s="14">
        <f>G92*1</f>
        <v>10.55</v>
      </c>
    </row>
    <row r="93" spans="1:9" ht="15.75" customHeight="1">
      <c r="A93" s="31">
        <v>25</v>
      </c>
      <c r="B93" s="62" t="s">
        <v>228</v>
      </c>
      <c r="C93" s="66" t="s">
        <v>128</v>
      </c>
      <c r="D93" s="65"/>
      <c r="E93" s="39"/>
      <c r="F93" s="39"/>
      <c r="G93" s="39">
        <v>151.31</v>
      </c>
      <c r="H93" s="100"/>
      <c r="I93" s="14">
        <f>G93*2</f>
        <v>302.62</v>
      </c>
    </row>
    <row r="94" spans="1:9" ht="15.75" customHeight="1">
      <c r="A94" s="31">
        <v>26</v>
      </c>
      <c r="B94" s="62" t="s">
        <v>249</v>
      </c>
      <c r="C94" s="66" t="s">
        <v>128</v>
      </c>
      <c r="D94" s="65"/>
      <c r="E94" s="39"/>
      <c r="F94" s="39"/>
      <c r="G94" s="39">
        <v>169.24</v>
      </c>
      <c r="H94" s="100"/>
      <c r="I94" s="14">
        <f>G94*1</f>
        <v>169.24</v>
      </c>
    </row>
    <row r="95" spans="1:9" ht="15.75" customHeight="1">
      <c r="A95" s="31">
        <v>27</v>
      </c>
      <c r="B95" s="62" t="s">
        <v>230</v>
      </c>
      <c r="C95" s="66" t="s">
        <v>128</v>
      </c>
      <c r="D95" s="65"/>
      <c r="E95" s="39"/>
      <c r="F95" s="39"/>
      <c r="G95" s="39">
        <v>5.43</v>
      </c>
      <c r="H95" s="100"/>
      <c r="I95" s="14">
        <f>G95*1</f>
        <v>5.43</v>
      </c>
    </row>
    <row r="96" spans="1:9" ht="15.75" customHeight="1">
      <c r="A96" s="31">
        <v>28</v>
      </c>
      <c r="B96" s="62" t="s">
        <v>250</v>
      </c>
      <c r="C96" s="66" t="s">
        <v>128</v>
      </c>
      <c r="D96" s="65"/>
      <c r="E96" s="39"/>
      <c r="F96" s="39"/>
      <c r="G96" s="39">
        <v>100.37</v>
      </c>
      <c r="H96" s="100"/>
      <c r="I96" s="14">
        <f>G96*1</f>
        <v>100.37</v>
      </c>
    </row>
    <row r="97" spans="1:9" ht="15.75" customHeight="1">
      <c r="A97" s="31">
        <v>29</v>
      </c>
      <c r="B97" s="62" t="s">
        <v>251</v>
      </c>
      <c r="C97" s="66" t="s">
        <v>128</v>
      </c>
      <c r="D97" s="65"/>
      <c r="E97" s="39"/>
      <c r="F97" s="39"/>
      <c r="G97" s="39">
        <v>196.01</v>
      </c>
      <c r="H97" s="100"/>
      <c r="I97" s="14">
        <f>G97*1</f>
        <v>196.01</v>
      </c>
    </row>
    <row r="98" spans="1:9" ht="15.75" customHeight="1">
      <c r="A98" s="31">
        <v>30</v>
      </c>
      <c r="B98" s="104" t="s">
        <v>82</v>
      </c>
      <c r="C98" s="105" t="s">
        <v>128</v>
      </c>
      <c r="D98" s="65"/>
      <c r="E98" s="39"/>
      <c r="F98" s="39"/>
      <c r="G98" s="39">
        <v>197.48</v>
      </c>
      <c r="H98" s="100"/>
      <c r="I98" s="14">
        <f>G98*1</f>
        <v>197.48</v>
      </c>
    </row>
    <row r="99" spans="1:9" ht="15.75" customHeight="1">
      <c r="A99" s="31"/>
      <c r="B99" s="51" t="s">
        <v>51</v>
      </c>
      <c r="C99" s="47"/>
      <c r="D99" s="60"/>
      <c r="E99" s="60"/>
      <c r="F99" s="47">
        <v>1</v>
      </c>
      <c r="G99" s="47"/>
      <c r="H99" s="47"/>
      <c r="I99" s="33">
        <f>I98+I97+I96+I95+I94+I93+I92+I91+I90+I89+I88+I86+I85</f>
        <v>10502.68</v>
      </c>
    </row>
    <row r="100" spans="1:9" ht="15.75" customHeight="1">
      <c r="A100" s="31"/>
      <c r="B100" s="57" t="s">
        <v>78</v>
      </c>
      <c r="C100" s="17"/>
      <c r="D100" s="17"/>
      <c r="E100" s="17"/>
      <c r="F100" s="48"/>
      <c r="G100" s="49"/>
      <c r="H100" s="49"/>
      <c r="I100" s="19">
        <v>0</v>
      </c>
    </row>
    <row r="101" spans="1:9" ht="15.75" customHeight="1">
      <c r="A101" s="61"/>
      <c r="B101" s="52" t="s">
        <v>162</v>
      </c>
      <c r="C101" s="37"/>
      <c r="D101" s="37"/>
      <c r="E101" s="37"/>
      <c r="F101" s="37"/>
      <c r="G101" s="37"/>
      <c r="H101" s="37"/>
      <c r="I101" s="50">
        <f>I83+I99</f>
        <v>89750.90795350002</v>
      </c>
    </row>
    <row r="102" spans="1:9" ht="15.75" customHeight="1">
      <c r="A102" s="166" t="s">
        <v>232</v>
      </c>
      <c r="B102" s="167"/>
      <c r="C102" s="167"/>
      <c r="D102" s="167"/>
      <c r="E102" s="167"/>
      <c r="F102" s="167"/>
      <c r="G102" s="167"/>
      <c r="H102" s="167"/>
      <c r="I102" s="167"/>
    </row>
    <row r="103" spans="1:9" ht="15.75" customHeight="1">
      <c r="A103" s="168" t="s">
        <v>252</v>
      </c>
      <c r="B103" s="168"/>
      <c r="C103" s="168"/>
      <c r="D103" s="168"/>
      <c r="E103" s="168"/>
      <c r="F103" s="168"/>
      <c r="G103" s="168"/>
      <c r="H103" s="168"/>
      <c r="I103" s="168"/>
    </row>
    <row r="104" spans="1:9" ht="15.75" customHeight="1">
      <c r="A104" s="76"/>
      <c r="B104" s="158" t="s">
        <v>253</v>
      </c>
      <c r="C104" s="158"/>
      <c r="D104" s="158"/>
      <c r="E104" s="158"/>
      <c r="F104" s="158"/>
      <c r="G104" s="158"/>
      <c r="H104" s="79"/>
      <c r="I104" s="3"/>
    </row>
    <row r="105" spans="1:9" ht="15.75" customHeight="1">
      <c r="A105" s="71"/>
      <c r="B105" s="154" t="s">
        <v>6</v>
      </c>
      <c r="C105" s="154"/>
      <c r="D105" s="154"/>
      <c r="E105" s="154"/>
      <c r="F105" s="154"/>
      <c r="G105" s="154"/>
      <c r="H105" s="26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159" t="s">
        <v>7</v>
      </c>
      <c r="B107" s="159"/>
      <c r="C107" s="159"/>
      <c r="D107" s="159"/>
      <c r="E107" s="159"/>
      <c r="F107" s="159"/>
      <c r="G107" s="159"/>
      <c r="H107" s="159"/>
      <c r="I107" s="159"/>
    </row>
    <row r="108" spans="1:9" ht="15.75" customHeight="1">
      <c r="A108" s="159" t="s">
        <v>8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5.75" customHeight="1">
      <c r="A109" s="160" t="s">
        <v>61</v>
      </c>
      <c r="B109" s="160"/>
      <c r="C109" s="160"/>
      <c r="D109" s="160"/>
      <c r="E109" s="160"/>
      <c r="F109" s="160"/>
      <c r="G109" s="160"/>
      <c r="H109" s="160"/>
      <c r="I109" s="160"/>
    </row>
    <row r="110" spans="1:9" ht="15.75" customHeight="1">
      <c r="A110" s="11"/>
    </row>
    <row r="111" spans="1:9" ht="15.75" customHeight="1">
      <c r="A111" s="161" t="s">
        <v>9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15.75" customHeight="1">
      <c r="A112" s="4"/>
    </row>
    <row r="113" spans="1:9" ht="15.75" customHeight="1">
      <c r="B113" s="70" t="s">
        <v>10</v>
      </c>
      <c r="C113" s="153" t="s">
        <v>92</v>
      </c>
      <c r="D113" s="153"/>
      <c r="E113" s="153"/>
      <c r="F113" s="153"/>
      <c r="I113" s="73"/>
    </row>
    <row r="114" spans="1:9" ht="15.75" customHeight="1">
      <c r="A114" s="71"/>
      <c r="C114" s="154" t="s">
        <v>11</v>
      </c>
      <c r="D114" s="154"/>
      <c r="E114" s="154"/>
      <c r="F114" s="154"/>
      <c r="I114" s="72" t="s">
        <v>12</v>
      </c>
    </row>
    <row r="115" spans="1:9" ht="15.75" customHeight="1">
      <c r="A115" s="27"/>
      <c r="C115" s="12"/>
      <c r="D115" s="12"/>
      <c r="E115" s="12"/>
      <c r="G115" s="12"/>
      <c r="H115" s="12"/>
    </row>
    <row r="116" spans="1:9" ht="15.75" customHeight="1">
      <c r="B116" s="70" t="s">
        <v>13</v>
      </c>
      <c r="C116" s="155"/>
      <c r="D116" s="155"/>
      <c r="E116" s="155"/>
      <c r="F116" s="155"/>
      <c r="I116" s="73"/>
    </row>
    <row r="117" spans="1:9" ht="15.75" customHeight="1">
      <c r="A117" s="71"/>
      <c r="C117" s="156" t="s">
        <v>11</v>
      </c>
      <c r="D117" s="156"/>
      <c r="E117" s="156"/>
      <c r="F117" s="156"/>
      <c r="I117" s="72" t="s">
        <v>12</v>
      </c>
    </row>
    <row r="118" spans="1:9" ht="15.75" customHeight="1">
      <c r="A118" s="4" t="s">
        <v>14</v>
      </c>
    </row>
    <row r="119" spans="1:9">
      <c r="A119" s="157" t="s">
        <v>15</v>
      </c>
      <c r="B119" s="157"/>
      <c r="C119" s="157"/>
      <c r="D119" s="157"/>
      <c r="E119" s="157"/>
      <c r="F119" s="157"/>
      <c r="G119" s="157"/>
      <c r="H119" s="157"/>
      <c r="I119" s="157"/>
    </row>
    <row r="120" spans="1:9" ht="45" customHeight="1">
      <c r="A120" s="146" t="s">
        <v>16</v>
      </c>
      <c r="B120" s="146"/>
      <c r="C120" s="146"/>
      <c r="D120" s="146"/>
      <c r="E120" s="146"/>
      <c r="F120" s="146"/>
      <c r="G120" s="146"/>
      <c r="H120" s="146"/>
      <c r="I120" s="146"/>
    </row>
    <row r="121" spans="1:9" ht="30" customHeight="1">
      <c r="A121" s="146" t="s">
        <v>17</v>
      </c>
      <c r="B121" s="146"/>
      <c r="C121" s="146"/>
      <c r="D121" s="146"/>
      <c r="E121" s="146"/>
      <c r="F121" s="146"/>
      <c r="G121" s="146"/>
      <c r="H121" s="146"/>
      <c r="I121" s="146"/>
    </row>
    <row r="122" spans="1:9" ht="30" customHeight="1">
      <c r="A122" s="146" t="s">
        <v>21</v>
      </c>
      <c r="B122" s="146"/>
      <c r="C122" s="146"/>
      <c r="D122" s="146"/>
      <c r="E122" s="146"/>
      <c r="F122" s="146"/>
      <c r="G122" s="146"/>
      <c r="H122" s="146"/>
      <c r="I122" s="146"/>
    </row>
    <row r="123" spans="1:9" ht="15" customHeight="1">
      <c r="A123" s="146" t="s">
        <v>20</v>
      </c>
      <c r="B123" s="146"/>
      <c r="C123" s="146"/>
      <c r="D123" s="146"/>
      <c r="E123" s="146"/>
      <c r="F123" s="146"/>
      <c r="G123" s="146"/>
      <c r="H123" s="146"/>
      <c r="I123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17:F117"/>
    <mergeCell ref="A84:I84"/>
    <mergeCell ref="A103:I103"/>
    <mergeCell ref="B104:G104"/>
    <mergeCell ref="B105:G105"/>
    <mergeCell ref="A107:I107"/>
    <mergeCell ref="A108:I108"/>
    <mergeCell ref="A109:I109"/>
    <mergeCell ref="A111:I111"/>
    <mergeCell ref="C113:F113"/>
    <mergeCell ref="C114:F114"/>
    <mergeCell ref="C116:F116"/>
    <mergeCell ref="A80:I80"/>
    <mergeCell ref="A102:I102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30"/>
  <sheetViews>
    <sheetView topLeftCell="A98" workbookViewId="0">
      <selection activeCell="B111" sqref="B111:G111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244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174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266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43343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246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>
        <v>4</v>
      </c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f>F19/2*G19</f>
        <v>326.7072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>
        <v>7</v>
      </c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f>F22*G22</f>
        <v>2215.2558719999997</v>
      </c>
      <c r="J22" s="24"/>
      <c r="K22" s="8"/>
      <c r="L22" s="8"/>
      <c r="M22" s="8"/>
    </row>
    <row r="23" spans="1:13" ht="15.75" hidden="1" customHeight="1">
      <c r="A23" s="31">
        <v>8</v>
      </c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f>F23*G23</f>
        <v>42.784140000000001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31">
        <v>10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f>F25*G25</f>
        <v>82.125600000000006</v>
      </c>
      <c r="J25" s="24"/>
      <c r="K25" s="8"/>
      <c r="L25" s="8"/>
      <c r="M25" s="8"/>
    </row>
    <row r="26" spans="1:13" ht="15.75" customHeight="1">
      <c r="A26" s="31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31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31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customHeight="1">
      <c r="A31" s="46">
        <v>10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f>F31/6*G31</f>
        <v>1845.7999560000003</v>
      </c>
      <c r="J31" s="24"/>
      <c r="K31" s="8"/>
      <c r="L31" s="8"/>
      <c r="M31" s="8"/>
    </row>
    <row r="32" spans="1:13" ht="31.5" customHeight="1">
      <c r="A32" s="46">
        <v>11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f t="shared" ref="I32:I35" si="2">F32/6*G32</f>
        <v>1841.9757915000002</v>
      </c>
      <c r="J32" s="24"/>
      <c r="K32" s="8"/>
      <c r="L32" s="8"/>
      <c r="M32" s="8"/>
    </row>
    <row r="33" spans="1:14" ht="15.75" hidden="1" customHeight="1">
      <c r="A33" s="46">
        <v>16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f>F33*G33</f>
        <v>8252.7496919999994</v>
      </c>
      <c r="J33" s="24"/>
      <c r="K33" s="8"/>
      <c r="L33" s="8"/>
      <c r="M33" s="8"/>
    </row>
    <row r="34" spans="1:14" ht="15.75" customHeight="1">
      <c r="A34" s="46">
        <v>12</v>
      </c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f t="shared" si="2"/>
        <v>2690.8413333333338</v>
      </c>
      <c r="J34" s="24"/>
      <c r="K34" s="8"/>
      <c r="L34" s="8"/>
      <c r="M34" s="8"/>
    </row>
    <row r="35" spans="1:14" ht="15.75" customHeight="1">
      <c r="A35" s="46">
        <v>13</v>
      </c>
      <c r="B35" s="80" t="s">
        <v>160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f t="shared" si="2"/>
        <v>1464.4916666666666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3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4">
        <v>0</v>
      </c>
      <c r="J37" s="25"/>
    </row>
    <row r="38" spans="1:14" ht="15.75" hidden="1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hidden="1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4" si="4">F39/6*G39</f>
        <v>3818.05</v>
      </c>
      <c r="J39" s="25"/>
    </row>
    <row r="40" spans="1:14" ht="15.75" hidden="1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5">SUM(F40*G40/1000)</f>
        <v>57.598483674999997</v>
      </c>
      <c r="I40" s="14">
        <f t="shared" si="4"/>
        <v>9599.747279166666</v>
      </c>
      <c r="J40" s="25"/>
    </row>
    <row r="41" spans="1:14" ht="15.75" hidden="1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5"/>
        <v>7.611275</v>
      </c>
      <c r="I41" s="14">
        <f t="shared" si="4"/>
        <v>1268.5458333333333</v>
      </c>
      <c r="J41" s="25"/>
    </row>
    <row r="42" spans="1:14" ht="31.5" hidden="1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5"/>
        <v>9.7495103999999984</v>
      </c>
      <c r="I42" s="14">
        <f t="shared" si="4"/>
        <v>1624.9183999999998</v>
      </c>
      <c r="J42" s="25"/>
    </row>
    <row r="43" spans="1:14" ht="15.75" hidden="1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5"/>
        <v>2.7008100000000002</v>
      </c>
      <c r="I43" s="14">
        <f t="shared" si="4"/>
        <v>450.13499999999999</v>
      </c>
      <c r="J43" s="25"/>
    </row>
    <row r="44" spans="1:14" ht="15.75" hidden="1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5"/>
        <v>0.71820000000000006</v>
      </c>
      <c r="I44" s="14">
        <f t="shared" si="4"/>
        <v>119.69999999999999</v>
      </c>
      <c r="J44" s="25"/>
      <c r="L44" s="21"/>
      <c r="M44" s="22"/>
      <c r="N44" s="23"/>
    </row>
    <row r="45" spans="1:14" ht="15.75" hidden="1" customHeight="1">
      <c r="A45" s="175" t="s">
        <v>157</v>
      </c>
      <c r="B45" s="176"/>
      <c r="C45" s="176"/>
      <c r="D45" s="176"/>
      <c r="E45" s="176"/>
      <c r="F45" s="176"/>
      <c r="G45" s="176"/>
      <c r="H45" s="176"/>
      <c r="I45" s="177"/>
      <c r="J45" s="25"/>
      <c r="L45" s="21"/>
      <c r="M45" s="22"/>
      <c r="N45" s="23"/>
    </row>
    <row r="46" spans="1:14" ht="15.75" hidden="1" customHeight="1">
      <c r="A46" s="46">
        <v>19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6">SUM(F46*G46/1000)</f>
        <v>2.7870067920000001</v>
      </c>
      <c r="I46" s="14">
        <f t="shared" ref="I46:I48" si="7">F46/2*G46</f>
        <v>1393.5033960000001</v>
      </c>
      <c r="J46" s="25"/>
      <c r="L46" s="21"/>
      <c r="M46" s="22"/>
      <c r="N46" s="23"/>
    </row>
    <row r="47" spans="1:14" ht="15.75" hidden="1" customHeight="1">
      <c r="A47" s="46">
        <v>20</v>
      </c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6"/>
        <v>1.06421502</v>
      </c>
      <c r="I47" s="14">
        <f t="shared" si="7"/>
        <v>532.10751000000005</v>
      </c>
      <c r="J47" s="25"/>
      <c r="L47" s="21"/>
      <c r="M47" s="22"/>
      <c r="N47" s="23"/>
    </row>
    <row r="48" spans="1:14" ht="15.75" hidden="1" customHeight="1">
      <c r="A48" s="46">
        <v>21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6"/>
        <v>6.4812056496000006</v>
      </c>
      <c r="I48" s="14">
        <f t="shared" si="7"/>
        <v>3240.6028248000002</v>
      </c>
      <c r="J48" s="25"/>
      <c r="L48" s="21"/>
      <c r="M48" s="22"/>
      <c r="N48" s="23"/>
    </row>
    <row r="49" spans="1:14" ht="15.75" hidden="1" customHeight="1">
      <c r="A49" s="46">
        <v>22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6"/>
        <v>3.4193309809999999</v>
      </c>
      <c r="I49" s="14">
        <f>F49/2*G49</f>
        <v>1709.6654905</v>
      </c>
      <c r="J49" s="25"/>
      <c r="L49" s="21"/>
      <c r="M49" s="22"/>
      <c r="N49" s="23"/>
    </row>
    <row r="50" spans="1:14" ht="15.75" hidden="1" customHeight="1">
      <c r="A50" s="46">
        <v>23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6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16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6"/>
        <v>7.9628296799999996</v>
      </c>
      <c r="I51" s="14">
        <f>F51/2*G51</f>
        <v>3981.4148399999999</v>
      </c>
      <c r="J51" s="25"/>
      <c r="L51" s="21"/>
      <c r="M51" s="22"/>
      <c r="N51" s="23"/>
    </row>
    <row r="52" spans="1:14" ht="31.5" hidden="1" customHeight="1">
      <c r="A52" s="46">
        <v>17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6"/>
        <v>2.1843919999999999</v>
      </c>
      <c r="I52" s="14">
        <f>F52/2*G52</f>
        <v>1092.1959999999999</v>
      </c>
      <c r="J52" s="25"/>
      <c r="L52" s="21"/>
      <c r="M52" s="22"/>
      <c r="N52" s="23"/>
    </row>
    <row r="53" spans="1:14" ht="15.75" hidden="1" customHeight="1">
      <c r="A53" s="46">
        <v>16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6"/>
        <v>0.11304260000000001</v>
      </c>
      <c r="I53" s="14">
        <f>F53/2*G53</f>
        <v>56.521300000000004</v>
      </c>
      <c r="J53" s="25"/>
      <c r="L53" s="21"/>
      <c r="M53" s="22"/>
      <c r="N53" s="23"/>
    </row>
    <row r="54" spans="1:14" ht="15.75" hidden="1" customHeight="1">
      <c r="A54" s="46">
        <v>14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6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175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hidden="1" customHeight="1">
      <c r="A56" s="59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hidden="1" customHeight="1">
      <c r="A58" s="46">
        <v>18</v>
      </c>
      <c r="B58" s="80" t="s">
        <v>146</v>
      </c>
      <c r="C58" s="69" t="s">
        <v>110</v>
      </c>
      <c r="D58" s="80" t="s">
        <v>147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F58/6*G58</f>
        <v>2538.1581119999996</v>
      </c>
      <c r="J58" s="25"/>
      <c r="L58" s="21"/>
      <c r="M58" s="22"/>
      <c r="N58" s="23"/>
    </row>
    <row r="59" spans="1:14" ht="15.75" hidden="1" customHeight="1">
      <c r="A59" s="46">
        <v>19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75" t="s">
        <v>43</v>
      </c>
      <c r="C61" s="75"/>
      <c r="D61" s="75"/>
      <c r="E61" s="75"/>
      <c r="F61" s="75"/>
      <c r="G61" s="75"/>
      <c r="H61" s="75"/>
      <c r="I61" s="38"/>
      <c r="J61" s="25"/>
      <c r="L61" s="21"/>
      <c r="M61" s="22"/>
      <c r="N61" s="23"/>
    </row>
    <row r="62" spans="1:14" ht="15.75" customHeight="1">
      <c r="A62" s="46">
        <v>14</v>
      </c>
      <c r="B62" s="91" t="s">
        <v>98</v>
      </c>
      <c r="C62" s="92" t="s">
        <v>25</v>
      </c>
      <c r="D62" s="91" t="s">
        <v>149</v>
      </c>
      <c r="E62" s="93">
        <v>329.4</v>
      </c>
      <c r="F62" s="94">
        <v>2400</v>
      </c>
      <c r="G62" s="97">
        <v>1.2</v>
      </c>
      <c r="H62" s="95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7.25" customHeight="1">
      <c r="A64" s="46"/>
      <c r="B64" s="75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6.5" customHeight="1">
      <c r="A65" s="46">
        <v>15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8">SUM(F65*G65/1000)</f>
        <v>8.8960000000000008</v>
      </c>
      <c r="I65" s="14">
        <f>G65*4</f>
        <v>889.6</v>
      </c>
      <c r="J65" s="25"/>
      <c r="L65" s="21"/>
      <c r="M65" s="22"/>
      <c r="N65" s="23"/>
    </row>
    <row r="66" spans="1:22" ht="17.2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8"/>
        <v>1.14375</v>
      </c>
      <c r="I66" s="14">
        <v>0</v>
      </c>
      <c r="J66" s="25"/>
      <c r="L66" s="21"/>
      <c r="M66" s="22"/>
      <c r="N66" s="23"/>
    </row>
    <row r="67" spans="1:22" ht="19.5" hidden="1" customHeight="1">
      <c r="A67" s="31">
        <v>26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8"/>
        <v>52.290731999999998</v>
      </c>
      <c r="I67" s="14">
        <f>F67*G67</f>
        <v>52290.731999999996</v>
      </c>
      <c r="J67" s="25"/>
      <c r="L67" s="21"/>
      <c r="M67" s="22"/>
      <c r="N67" s="23"/>
    </row>
    <row r="68" spans="1:22" ht="18.75" hidden="1" customHeight="1">
      <c r="A68" s="31">
        <v>27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8"/>
        <v>4.0720960800000006</v>
      </c>
      <c r="I68" s="14">
        <f t="shared" ref="I68:I71" si="9">F68*G68</f>
        <v>4072.0960800000003</v>
      </c>
      <c r="J68" s="25"/>
      <c r="L68" s="21"/>
      <c r="M68" s="22"/>
      <c r="N68" s="23"/>
    </row>
    <row r="69" spans="1:22" ht="18.75" hidden="1" customHeight="1">
      <c r="A69" s="31">
        <v>28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8"/>
        <v>56.637399000000002</v>
      </c>
      <c r="I69" s="14">
        <f t="shared" si="9"/>
        <v>56637.399000000005</v>
      </c>
      <c r="J69" s="25"/>
      <c r="L69" s="21"/>
    </row>
    <row r="70" spans="1:22" ht="19.5" hidden="1" customHeight="1">
      <c r="A70" s="31">
        <v>29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8"/>
        <v>0.91908960000000006</v>
      </c>
      <c r="I70" s="14">
        <f t="shared" si="9"/>
        <v>919.08960000000002</v>
      </c>
    </row>
    <row r="71" spans="1:22" ht="20.25" hidden="1" customHeight="1">
      <c r="A71" s="31">
        <v>30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8"/>
        <v>0.85743840000000016</v>
      </c>
      <c r="I71" s="14">
        <f t="shared" si="9"/>
        <v>857.43840000000012</v>
      </c>
    </row>
    <row r="72" spans="1:22" ht="20.25" hidden="1" customHeight="1">
      <c r="A72" s="31">
        <v>13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8"/>
        <v>0.59856000000000009</v>
      </c>
      <c r="I72" s="14">
        <v>0</v>
      </c>
    </row>
    <row r="73" spans="1:22" ht="21" hidden="1" customHeight="1">
      <c r="A73" s="59"/>
      <c r="B73" s="75" t="s">
        <v>132</v>
      </c>
      <c r="C73" s="75"/>
      <c r="D73" s="75"/>
      <c r="E73" s="75"/>
      <c r="F73" s="75"/>
      <c r="G73" s="75"/>
      <c r="H73" s="75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21" hidden="1" customHeight="1">
      <c r="A74" s="31">
        <v>16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f>G74</f>
        <v>27356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23.2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20.2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21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24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25.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176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16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17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59"/>
      <c r="B83" s="44" t="s">
        <v>80</v>
      </c>
      <c r="C83" s="46"/>
      <c r="D83" s="17"/>
      <c r="E83" s="17"/>
      <c r="F83" s="17"/>
      <c r="G83" s="20"/>
      <c r="H83" s="20"/>
      <c r="I83" s="33">
        <f>I82+I81+I65+I62+I35+I34+I32+I31+I28+I27+I26+I24+I21+I20+I18+I17+I16</f>
        <v>80137.827953500018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15.75" customHeight="1">
      <c r="A85" s="31" t="s">
        <v>275</v>
      </c>
      <c r="B85" s="104" t="s">
        <v>104</v>
      </c>
      <c r="C85" s="105" t="s">
        <v>128</v>
      </c>
      <c r="D85" s="57"/>
      <c r="E85" s="39"/>
      <c r="F85" s="39">
        <v>968</v>
      </c>
      <c r="G85" s="40">
        <v>55.55</v>
      </c>
      <c r="H85" s="100">
        <f>G85*F85/1000</f>
        <v>53.772399999999998</v>
      </c>
      <c r="I85" s="14">
        <f>G85*121</f>
        <v>6721.5499999999993</v>
      </c>
    </row>
    <row r="86" spans="1:9" ht="13.5" customHeight="1">
      <c r="A86" s="31">
        <v>19</v>
      </c>
      <c r="B86" s="104" t="s">
        <v>223</v>
      </c>
      <c r="C86" s="105" t="s">
        <v>29</v>
      </c>
      <c r="D86" s="57"/>
      <c r="E86" s="39"/>
      <c r="F86" s="39">
        <v>27.5</v>
      </c>
      <c r="G86" s="39">
        <v>849.49</v>
      </c>
      <c r="H86" s="100">
        <f>G86*F86/1000</f>
        <v>23.360975</v>
      </c>
      <c r="I86" s="114">
        <f>G86*0.06</f>
        <v>50.9694</v>
      </c>
    </row>
    <row r="87" spans="1:9" ht="46.5" customHeight="1">
      <c r="A87" s="31">
        <v>20</v>
      </c>
      <c r="B87" s="104" t="s">
        <v>267</v>
      </c>
      <c r="C87" s="105" t="s">
        <v>188</v>
      </c>
      <c r="D87" s="65"/>
      <c r="E87" s="39"/>
      <c r="F87" s="39">
        <v>4</v>
      </c>
      <c r="G87" s="39">
        <v>1389.97</v>
      </c>
      <c r="H87" s="100">
        <f>G87*F87/1000</f>
        <v>5.5598799999999997</v>
      </c>
      <c r="I87" s="14">
        <f>G87*0.5</f>
        <v>694.98500000000001</v>
      </c>
    </row>
    <row r="88" spans="1:9" ht="29.25" customHeight="1">
      <c r="A88" s="31">
        <v>21</v>
      </c>
      <c r="B88" s="62" t="s">
        <v>153</v>
      </c>
      <c r="C88" s="66" t="s">
        <v>81</v>
      </c>
      <c r="D88" s="65"/>
      <c r="E88" s="39"/>
      <c r="F88" s="39">
        <v>8</v>
      </c>
      <c r="G88" s="39">
        <v>1187</v>
      </c>
      <c r="H88" s="100">
        <f>G88*F88/1000</f>
        <v>9.4960000000000004</v>
      </c>
      <c r="I88" s="14">
        <f>G88*2</f>
        <v>2374</v>
      </c>
    </row>
    <row r="89" spans="1:9" ht="28.5" customHeight="1">
      <c r="A89" s="31">
        <v>22</v>
      </c>
      <c r="B89" s="62" t="s">
        <v>154</v>
      </c>
      <c r="C89" s="66" t="s">
        <v>81</v>
      </c>
      <c r="D89" s="65"/>
      <c r="E89" s="39"/>
      <c r="F89" s="39"/>
      <c r="G89" s="39">
        <v>1272</v>
      </c>
      <c r="H89" s="100"/>
      <c r="I89" s="14">
        <f>G89*4</f>
        <v>5088</v>
      </c>
    </row>
    <row r="90" spans="1:9" ht="15.75" customHeight="1">
      <c r="A90" s="31">
        <v>23</v>
      </c>
      <c r="B90" s="62" t="s">
        <v>268</v>
      </c>
      <c r="C90" s="66" t="s">
        <v>128</v>
      </c>
      <c r="D90" s="65"/>
      <c r="E90" s="39"/>
      <c r="F90" s="39"/>
      <c r="G90" s="39">
        <v>23.29</v>
      </c>
      <c r="H90" s="100"/>
      <c r="I90" s="14">
        <f>G90*1</f>
        <v>23.29</v>
      </c>
    </row>
    <row r="91" spans="1:9" ht="15.75" customHeight="1">
      <c r="A91" s="31">
        <v>24</v>
      </c>
      <c r="B91" s="62" t="s">
        <v>228</v>
      </c>
      <c r="C91" s="66" t="s">
        <v>128</v>
      </c>
      <c r="D91" s="65"/>
      <c r="E91" s="39"/>
      <c r="F91" s="39"/>
      <c r="G91" s="39">
        <v>151.31</v>
      </c>
      <c r="H91" s="100"/>
      <c r="I91" s="14">
        <f>G91*2</f>
        <v>302.62</v>
      </c>
    </row>
    <row r="92" spans="1:9" ht="15.75" customHeight="1">
      <c r="A92" s="31">
        <v>25</v>
      </c>
      <c r="B92" s="62" t="s">
        <v>249</v>
      </c>
      <c r="C92" s="66" t="s">
        <v>128</v>
      </c>
      <c r="D92" s="65"/>
      <c r="E92" s="39"/>
      <c r="F92" s="39"/>
      <c r="G92" s="39">
        <v>169.24</v>
      </c>
      <c r="H92" s="100"/>
      <c r="I92" s="14">
        <f>G92*1</f>
        <v>169.24</v>
      </c>
    </row>
    <row r="93" spans="1:9" ht="16.5" customHeight="1">
      <c r="A93" s="31">
        <v>26</v>
      </c>
      <c r="B93" s="62" t="s">
        <v>230</v>
      </c>
      <c r="C93" s="66" t="s">
        <v>128</v>
      </c>
      <c r="D93" s="57"/>
      <c r="E93" s="39"/>
      <c r="F93" s="39">
        <v>1</v>
      </c>
      <c r="G93" s="39">
        <v>5.43</v>
      </c>
      <c r="H93" s="100">
        <f t="shared" ref="H93:H102" si="10">G93*F93/1000</f>
        <v>5.4299999999999999E-3</v>
      </c>
      <c r="I93" s="14">
        <f>G93*2</f>
        <v>10.86</v>
      </c>
    </row>
    <row r="94" spans="1:9" ht="18.75" customHeight="1">
      <c r="A94" s="31">
        <v>27</v>
      </c>
      <c r="B94" s="62" t="s">
        <v>269</v>
      </c>
      <c r="C94" s="66" t="s">
        <v>128</v>
      </c>
      <c r="D94" s="57"/>
      <c r="E94" s="39"/>
      <c r="F94" s="39"/>
      <c r="G94" s="39">
        <v>89.92</v>
      </c>
      <c r="H94" s="100"/>
      <c r="I94" s="14">
        <f>G94*3</f>
        <v>269.76</v>
      </c>
    </row>
    <row r="95" spans="1:9" ht="18.75" customHeight="1">
      <c r="A95" s="31">
        <v>28</v>
      </c>
      <c r="B95" s="62" t="s">
        <v>270</v>
      </c>
      <c r="C95" s="66" t="s">
        <v>128</v>
      </c>
      <c r="D95" s="57"/>
      <c r="E95" s="39"/>
      <c r="F95" s="39"/>
      <c r="G95" s="39">
        <v>95.25</v>
      </c>
      <c r="H95" s="100"/>
      <c r="I95" s="14">
        <f>G95*1</f>
        <v>95.25</v>
      </c>
    </row>
    <row r="96" spans="1:9" ht="15" customHeight="1">
      <c r="A96" s="31">
        <v>29</v>
      </c>
      <c r="B96" s="62" t="s">
        <v>271</v>
      </c>
      <c r="C96" s="66" t="s">
        <v>128</v>
      </c>
      <c r="D96" s="57"/>
      <c r="E96" s="39"/>
      <c r="F96" s="39"/>
      <c r="G96" s="39">
        <v>6.2</v>
      </c>
      <c r="H96" s="100"/>
      <c r="I96" s="14">
        <f>G96*2</f>
        <v>12.4</v>
      </c>
    </row>
    <row r="97" spans="1:9" ht="15.75" customHeight="1">
      <c r="A97" s="31">
        <v>30</v>
      </c>
      <c r="B97" s="62" t="s">
        <v>272</v>
      </c>
      <c r="C97" s="66" t="s">
        <v>128</v>
      </c>
      <c r="D97" s="57"/>
      <c r="E97" s="39"/>
      <c r="F97" s="39"/>
      <c r="G97" s="39">
        <v>12.8</v>
      </c>
      <c r="H97" s="100"/>
      <c r="I97" s="14">
        <f>G97*1</f>
        <v>12.8</v>
      </c>
    </row>
    <row r="98" spans="1:9" ht="16.5" customHeight="1">
      <c r="A98" s="31">
        <v>31</v>
      </c>
      <c r="B98" s="62" t="s">
        <v>273</v>
      </c>
      <c r="C98" s="66" t="s">
        <v>128</v>
      </c>
      <c r="D98" s="57"/>
      <c r="E98" s="39"/>
      <c r="F98" s="39"/>
      <c r="G98" s="39">
        <v>8.44</v>
      </c>
      <c r="H98" s="100"/>
      <c r="I98" s="14">
        <f>G98*4</f>
        <v>33.76</v>
      </c>
    </row>
    <row r="99" spans="1:9" ht="15" customHeight="1">
      <c r="A99" s="31">
        <v>32</v>
      </c>
      <c r="B99" s="62" t="s">
        <v>274</v>
      </c>
      <c r="C99" s="66" t="s">
        <v>128</v>
      </c>
      <c r="D99" s="57"/>
      <c r="E99" s="39"/>
      <c r="F99" s="39"/>
      <c r="G99" s="39">
        <v>5.42</v>
      </c>
      <c r="H99" s="100"/>
      <c r="I99" s="14">
        <f>G99*4</f>
        <v>21.68</v>
      </c>
    </row>
    <row r="100" spans="1:9" ht="15.75" customHeight="1">
      <c r="A100" s="31">
        <v>33</v>
      </c>
      <c r="B100" s="104" t="s">
        <v>82</v>
      </c>
      <c r="C100" s="105" t="s">
        <v>128</v>
      </c>
      <c r="D100" s="57"/>
      <c r="E100" s="39"/>
      <c r="F100" s="39"/>
      <c r="G100" s="39">
        <v>197.48</v>
      </c>
      <c r="H100" s="100"/>
      <c r="I100" s="14">
        <f>G100*1</f>
        <v>197.48</v>
      </c>
    </row>
    <row r="101" spans="1:9" ht="17.25" hidden="1" customHeight="1">
      <c r="A101" s="31">
        <v>22</v>
      </c>
      <c r="B101" s="62"/>
      <c r="C101" s="66"/>
      <c r="D101" s="65"/>
      <c r="E101" s="39"/>
      <c r="F101" s="39">
        <f>32/10</f>
        <v>3.2</v>
      </c>
      <c r="G101" s="39"/>
      <c r="H101" s="77">
        <f t="shared" si="10"/>
        <v>0</v>
      </c>
      <c r="I101" s="14"/>
    </row>
    <row r="102" spans="1:9" ht="15.75" hidden="1" customHeight="1">
      <c r="A102" s="31">
        <v>23</v>
      </c>
      <c r="B102" s="62"/>
      <c r="C102" s="66"/>
      <c r="D102" s="65"/>
      <c r="E102" s="39"/>
      <c r="F102" s="39">
        <v>1</v>
      </c>
      <c r="G102" s="39"/>
      <c r="H102" s="77">
        <f t="shared" si="10"/>
        <v>0</v>
      </c>
      <c r="I102" s="14"/>
    </row>
    <row r="103" spans="1:9" ht="15.75" customHeight="1">
      <c r="A103" s="31">
        <v>34</v>
      </c>
      <c r="B103" s="104" t="s">
        <v>183</v>
      </c>
      <c r="C103" s="105" t="s">
        <v>84</v>
      </c>
      <c r="D103" s="65"/>
      <c r="E103" s="39"/>
      <c r="F103" s="39"/>
      <c r="G103" s="39">
        <v>203.68</v>
      </c>
      <c r="H103" s="77"/>
      <c r="I103" s="14">
        <f>G103*1</f>
        <v>203.68</v>
      </c>
    </row>
    <row r="104" spans="1:9" ht="35.25" customHeight="1">
      <c r="A104" s="31">
        <v>35</v>
      </c>
      <c r="B104" s="140" t="s">
        <v>170</v>
      </c>
      <c r="C104" s="141" t="s">
        <v>108</v>
      </c>
      <c r="D104" s="65"/>
      <c r="E104" s="39"/>
      <c r="F104" s="39"/>
      <c r="G104" s="39">
        <v>56.34</v>
      </c>
      <c r="H104" s="77"/>
      <c r="I104" s="14">
        <f>G104*3</f>
        <v>169.02</v>
      </c>
    </row>
    <row r="105" spans="1:9" ht="15.75" customHeight="1">
      <c r="A105" s="31">
        <v>36</v>
      </c>
      <c r="B105" s="62" t="s">
        <v>226</v>
      </c>
      <c r="C105" s="66" t="s">
        <v>128</v>
      </c>
      <c r="D105" s="65"/>
      <c r="E105" s="39"/>
      <c r="F105" s="39"/>
      <c r="G105" s="39">
        <v>151.31</v>
      </c>
      <c r="H105" s="77"/>
      <c r="I105" s="14">
        <f>G105*2</f>
        <v>302.62</v>
      </c>
    </row>
    <row r="106" spans="1:9" ht="15.75" customHeight="1">
      <c r="A106" s="31"/>
      <c r="B106" s="51" t="s">
        <v>51</v>
      </c>
      <c r="C106" s="47"/>
      <c r="D106" s="60"/>
      <c r="E106" s="60"/>
      <c r="F106" s="47">
        <v>1</v>
      </c>
      <c r="G106" s="47"/>
      <c r="H106" s="47"/>
      <c r="I106" s="33">
        <f>SUM(I86:I105)</f>
        <v>10032.414400000003</v>
      </c>
    </row>
    <row r="107" spans="1:9" ht="15.75" customHeight="1">
      <c r="A107" s="31"/>
      <c r="B107" s="57" t="s">
        <v>78</v>
      </c>
      <c r="C107" s="17"/>
      <c r="D107" s="17"/>
      <c r="E107" s="17"/>
      <c r="F107" s="48"/>
      <c r="G107" s="49"/>
      <c r="H107" s="49"/>
      <c r="I107" s="19">
        <v>0</v>
      </c>
    </row>
    <row r="108" spans="1:9" ht="15.75" customHeight="1">
      <c r="A108" s="61"/>
      <c r="B108" s="52" t="s">
        <v>162</v>
      </c>
      <c r="C108" s="37"/>
      <c r="D108" s="37"/>
      <c r="E108" s="37"/>
      <c r="F108" s="37"/>
      <c r="G108" s="37"/>
      <c r="H108" s="37"/>
      <c r="I108" s="50">
        <f>I83+I106</f>
        <v>90170.242353500027</v>
      </c>
    </row>
    <row r="109" spans="1:9" ht="15.75" customHeight="1">
      <c r="A109" s="166" t="s">
        <v>276</v>
      </c>
      <c r="B109" s="167"/>
      <c r="C109" s="167"/>
      <c r="D109" s="167"/>
      <c r="E109" s="167"/>
      <c r="F109" s="167"/>
      <c r="G109" s="167"/>
      <c r="H109" s="167"/>
      <c r="I109" s="167"/>
    </row>
    <row r="110" spans="1:9" ht="15.75" customHeight="1">
      <c r="A110" s="168" t="s">
        <v>277</v>
      </c>
      <c r="B110" s="168"/>
      <c r="C110" s="168"/>
      <c r="D110" s="168"/>
      <c r="E110" s="168"/>
      <c r="F110" s="168"/>
      <c r="G110" s="168"/>
      <c r="H110" s="168"/>
      <c r="I110" s="168"/>
    </row>
    <row r="111" spans="1:9" ht="15.75" customHeight="1">
      <c r="A111" s="76"/>
      <c r="B111" s="158" t="s">
        <v>278</v>
      </c>
      <c r="C111" s="158"/>
      <c r="D111" s="158"/>
      <c r="E111" s="158"/>
      <c r="F111" s="158"/>
      <c r="G111" s="158"/>
      <c r="H111" s="79"/>
      <c r="I111" s="3"/>
    </row>
    <row r="112" spans="1:9" ht="15.75" customHeight="1">
      <c r="A112" s="71"/>
      <c r="B112" s="154" t="s">
        <v>6</v>
      </c>
      <c r="C112" s="154"/>
      <c r="D112" s="154"/>
      <c r="E112" s="154"/>
      <c r="F112" s="154"/>
      <c r="G112" s="154"/>
      <c r="H112" s="26"/>
      <c r="I112" s="5"/>
    </row>
    <row r="113" spans="1:9" ht="15.75" customHeight="1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5.75" customHeight="1">
      <c r="A114" s="159" t="s">
        <v>7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5.75" customHeight="1">
      <c r="A115" s="159" t="s">
        <v>8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5.75" customHeight="1">
      <c r="A116" s="160" t="s">
        <v>61</v>
      </c>
      <c r="B116" s="160"/>
      <c r="C116" s="160"/>
      <c r="D116" s="160"/>
      <c r="E116" s="160"/>
      <c r="F116" s="160"/>
      <c r="G116" s="160"/>
      <c r="H116" s="160"/>
      <c r="I116" s="160"/>
    </row>
    <row r="117" spans="1:9" ht="15.75" customHeight="1">
      <c r="A117" s="11"/>
    </row>
    <row r="118" spans="1:9" ht="15.75" customHeight="1">
      <c r="A118" s="161" t="s">
        <v>9</v>
      </c>
      <c r="B118" s="161"/>
      <c r="C118" s="161"/>
      <c r="D118" s="161"/>
      <c r="E118" s="161"/>
      <c r="F118" s="161"/>
      <c r="G118" s="161"/>
      <c r="H118" s="161"/>
      <c r="I118" s="161"/>
    </row>
    <row r="119" spans="1:9" ht="15.75" customHeight="1">
      <c r="A119" s="4"/>
    </row>
    <row r="120" spans="1:9" ht="15.75" customHeight="1">
      <c r="B120" s="70" t="s">
        <v>10</v>
      </c>
      <c r="C120" s="153" t="s">
        <v>92</v>
      </c>
      <c r="D120" s="153"/>
      <c r="E120" s="153"/>
      <c r="F120" s="153"/>
      <c r="I120" s="73"/>
    </row>
    <row r="121" spans="1:9" ht="15.75" customHeight="1">
      <c r="A121" s="71"/>
      <c r="C121" s="154" t="s">
        <v>11</v>
      </c>
      <c r="D121" s="154"/>
      <c r="E121" s="154"/>
      <c r="F121" s="154"/>
      <c r="I121" s="72" t="s">
        <v>12</v>
      </c>
    </row>
    <row r="122" spans="1:9" ht="15.75" customHeight="1">
      <c r="A122" s="27"/>
      <c r="C122" s="12"/>
      <c r="D122" s="12"/>
      <c r="E122" s="12"/>
      <c r="G122" s="12"/>
      <c r="H122" s="12"/>
    </row>
    <row r="123" spans="1:9" ht="15.75" customHeight="1">
      <c r="B123" s="70" t="s">
        <v>13</v>
      </c>
      <c r="C123" s="155"/>
      <c r="D123" s="155"/>
      <c r="E123" s="155"/>
      <c r="F123" s="155"/>
      <c r="I123" s="73"/>
    </row>
    <row r="124" spans="1:9" ht="15.75" customHeight="1">
      <c r="A124" s="71"/>
      <c r="C124" s="156" t="s">
        <v>11</v>
      </c>
      <c r="D124" s="156"/>
      <c r="E124" s="156"/>
      <c r="F124" s="156"/>
      <c r="I124" s="72" t="s">
        <v>12</v>
      </c>
    </row>
    <row r="125" spans="1:9" ht="15.75" customHeight="1">
      <c r="A125" s="4" t="s">
        <v>14</v>
      </c>
    </row>
    <row r="126" spans="1:9">
      <c r="A126" s="157" t="s">
        <v>15</v>
      </c>
      <c r="B126" s="157"/>
      <c r="C126" s="157"/>
      <c r="D126" s="157"/>
      <c r="E126" s="157"/>
      <c r="F126" s="157"/>
      <c r="G126" s="157"/>
      <c r="H126" s="157"/>
      <c r="I126" s="157"/>
    </row>
    <row r="127" spans="1:9" ht="45" customHeight="1">
      <c r="A127" s="146" t="s">
        <v>16</v>
      </c>
      <c r="B127" s="146"/>
      <c r="C127" s="146"/>
      <c r="D127" s="146"/>
      <c r="E127" s="146"/>
      <c r="F127" s="146"/>
      <c r="G127" s="146"/>
      <c r="H127" s="146"/>
      <c r="I127" s="146"/>
    </row>
    <row r="128" spans="1:9" ht="30" customHeight="1">
      <c r="A128" s="146" t="s">
        <v>17</v>
      </c>
      <c r="B128" s="146"/>
      <c r="C128" s="146"/>
      <c r="D128" s="146"/>
      <c r="E128" s="146"/>
      <c r="F128" s="146"/>
      <c r="G128" s="146"/>
      <c r="H128" s="146"/>
      <c r="I128" s="146"/>
    </row>
    <row r="129" spans="1:9" ht="30" customHeight="1">
      <c r="A129" s="146" t="s">
        <v>21</v>
      </c>
      <c r="B129" s="146"/>
      <c r="C129" s="146"/>
      <c r="D129" s="146"/>
      <c r="E129" s="146"/>
      <c r="F129" s="146"/>
      <c r="G129" s="146"/>
      <c r="H129" s="146"/>
      <c r="I129" s="146"/>
    </row>
    <row r="130" spans="1:9" ht="15" customHeight="1">
      <c r="A130" s="146" t="s">
        <v>20</v>
      </c>
      <c r="B130" s="146"/>
      <c r="C130" s="146"/>
      <c r="D130" s="146"/>
      <c r="E130" s="146"/>
      <c r="F130" s="146"/>
      <c r="G130" s="146"/>
      <c r="H130" s="146"/>
      <c r="I130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24:F124"/>
    <mergeCell ref="A84:I84"/>
    <mergeCell ref="A110:I110"/>
    <mergeCell ref="B111:G111"/>
    <mergeCell ref="B112:G112"/>
    <mergeCell ref="A114:I114"/>
    <mergeCell ref="A115:I115"/>
    <mergeCell ref="A116:I116"/>
    <mergeCell ref="A118:I118"/>
    <mergeCell ref="C120:F120"/>
    <mergeCell ref="C121:F121"/>
    <mergeCell ref="C123:F123"/>
    <mergeCell ref="A80:I80"/>
    <mergeCell ref="A109:I109"/>
    <mergeCell ref="A126:I126"/>
    <mergeCell ref="A127:I127"/>
    <mergeCell ref="A128:I128"/>
    <mergeCell ref="A129:I129"/>
    <mergeCell ref="A130:I13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8"/>
  <sheetViews>
    <sheetView topLeftCell="A89" workbookViewId="0">
      <selection activeCell="B109" sqref="B109:G109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244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9" t="s">
        <v>177</v>
      </c>
      <c r="B3" s="169"/>
      <c r="C3" s="169"/>
      <c r="D3" s="169"/>
      <c r="E3" s="169"/>
      <c r="F3" s="169"/>
      <c r="G3" s="169"/>
      <c r="H3" s="169"/>
      <c r="I3" s="169"/>
      <c r="J3" s="3"/>
      <c r="K3" s="3"/>
      <c r="L3" s="3"/>
    </row>
    <row r="4" spans="1:13" ht="31.5" customHeight="1">
      <c r="A4" s="170" t="s">
        <v>136</v>
      </c>
      <c r="B4" s="170"/>
      <c r="C4" s="170"/>
      <c r="D4" s="170"/>
      <c r="E4" s="170"/>
      <c r="F4" s="170"/>
      <c r="G4" s="170"/>
      <c r="H4" s="170"/>
      <c r="I4" s="170"/>
    </row>
    <row r="5" spans="1:13" ht="15.75" customHeight="1">
      <c r="A5" s="169" t="s">
        <v>279</v>
      </c>
      <c r="B5" s="171"/>
      <c r="C5" s="171"/>
      <c r="D5" s="171"/>
      <c r="E5" s="171"/>
      <c r="F5" s="171"/>
      <c r="G5" s="171"/>
      <c r="H5" s="171"/>
      <c r="I5" s="171"/>
      <c r="J5" s="2"/>
      <c r="K5" s="2"/>
      <c r="L5" s="2"/>
      <c r="M5" s="2"/>
    </row>
    <row r="6" spans="1:13" ht="15.75" customHeight="1">
      <c r="A6" s="2"/>
      <c r="B6" s="74"/>
      <c r="C6" s="74"/>
      <c r="D6" s="74"/>
      <c r="E6" s="74"/>
      <c r="F6" s="74"/>
      <c r="G6" s="74"/>
      <c r="H6" s="74"/>
      <c r="I6" s="32">
        <v>43373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172" t="s">
        <v>246</v>
      </c>
      <c r="B8" s="172"/>
      <c r="C8" s="172"/>
      <c r="D8" s="172"/>
      <c r="E8" s="172"/>
      <c r="F8" s="172"/>
      <c r="G8" s="172"/>
      <c r="H8" s="172"/>
      <c r="I8" s="17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73" t="s">
        <v>182</v>
      </c>
      <c r="B10" s="173"/>
      <c r="C10" s="173"/>
      <c r="D10" s="173"/>
      <c r="E10" s="173"/>
      <c r="F10" s="173"/>
      <c r="G10" s="173"/>
      <c r="H10" s="173"/>
      <c r="I10" s="17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74" t="s">
        <v>59</v>
      </c>
      <c r="B14" s="174"/>
      <c r="C14" s="174"/>
      <c r="D14" s="174"/>
      <c r="E14" s="174"/>
      <c r="F14" s="174"/>
      <c r="G14" s="174"/>
      <c r="H14" s="174"/>
      <c r="I14" s="174"/>
      <c r="J14" s="8"/>
      <c r="K14" s="8"/>
      <c r="L14" s="8"/>
      <c r="M14" s="8"/>
    </row>
    <row r="15" spans="1:13" ht="15.75" customHeight="1">
      <c r="A15" s="162" t="s">
        <v>4</v>
      </c>
      <c r="B15" s="162"/>
      <c r="C15" s="162"/>
      <c r="D15" s="162"/>
      <c r="E15" s="162"/>
      <c r="F15" s="162"/>
      <c r="G15" s="162"/>
      <c r="H15" s="162"/>
      <c r="I15" s="162"/>
      <c r="J15" s="8"/>
      <c r="K15" s="8"/>
      <c r="L15" s="8"/>
      <c r="M15" s="8"/>
    </row>
    <row r="16" spans="1:13" ht="15.75" customHeight="1">
      <c r="A16" s="31">
        <v>1</v>
      </c>
      <c r="B16" s="80" t="s">
        <v>88</v>
      </c>
      <c r="C16" s="69" t="s">
        <v>110</v>
      </c>
      <c r="D16" s="80" t="s">
        <v>111</v>
      </c>
      <c r="E16" s="81">
        <v>160.5</v>
      </c>
      <c r="F16" s="82">
        <f>SUM(E16*156/100)</f>
        <v>250.38</v>
      </c>
      <c r="G16" s="82">
        <v>175.38</v>
      </c>
      <c r="H16" s="83">
        <f t="shared" ref="H16:H28" si="0">SUM(F16*G16/1000)</f>
        <v>43.9116444</v>
      </c>
      <c r="I16" s="14">
        <f>F16/12*G16</f>
        <v>3659.3036999999995</v>
      </c>
      <c r="J16" s="8"/>
      <c r="K16" s="8"/>
      <c r="L16" s="8"/>
      <c r="M16" s="8"/>
    </row>
    <row r="17" spans="1:13" ht="15.75" customHeight="1">
      <c r="A17" s="31">
        <v>2</v>
      </c>
      <c r="B17" s="80" t="s">
        <v>95</v>
      </c>
      <c r="C17" s="69" t="s">
        <v>110</v>
      </c>
      <c r="D17" s="80" t="s">
        <v>112</v>
      </c>
      <c r="E17" s="81">
        <v>642</v>
      </c>
      <c r="F17" s="82">
        <f>SUM(E17*104/100)</f>
        <v>667.68</v>
      </c>
      <c r="G17" s="82">
        <v>175.38</v>
      </c>
      <c r="H17" s="83">
        <f t="shared" si="0"/>
        <v>117.09771839999998</v>
      </c>
      <c r="I17" s="14">
        <f>F17/12*G17</f>
        <v>9758.1431999999986</v>
      </c>
      <c r="J17" s="24"/>
      <c r="K17" s="8"/>
      <c r="L17" s="8"/>
      <c r="M17" s="8"/>
    </row>
    <row r="18" spans="1:13" ht="15.75" customHeight="1">
      <c r="A18" s="31">
        <v>3</v>
      </c>
      <c r="B18" s="80" t="s">
        <v>96</v>
      </c>
      <c r="C18" s="69" t="s">
        <v>110</v>
      </c>
      <c r="D18" s="80" t="s">
        <v>113</v>
      </c>
      <c r="E18" s="81">
        <f>SUM(E16+E17)</f>
        <v>802.5</v>
      </c>
      <c r="F18" s="82">
        <f>SUM(E18*24/100)</f>
        <v>192.6</v>
      </c>
      <c r="G18" s="82">
        <v>504.5</v>
      </c>
      <c r="H18" s="83">
        <f t="shared" si="0"/>
        <v>97.166699999999992</v>
      </c>
      <c r="I18" s="14">
        <f>F18/12*G18</f>
        <v>8097.2250000000004</v>
      </c>
      <c r="J18" s="24"/>
      <c r="K18" s="8"/>
      <c r="L18" s="8"/>
      <c r="M18" s="8"/>
    </row>
    <row r="19" spans="1:13" ht="15.75" hidden="1" customHeight="1">
      <c r="A19" s="31">
        <v>4</v>
      </c>
      <c r="B19" s="80" t="s">
        <v>114</v>
      </c>
      <c r="C19" s="69" t="s">
        <v>115</v>
      </c>
      <c r="D19" s="80" t="s">
        <v>116</v>
      </c>
      <c r="E19" s="81">
        <v>38.4</v>
      </c>
      <c r="F19" s="82">
        <f>SUM(E19/10)</f>
        <v>3.84</v>
      </c>
      <c r="G19" s="82">
        <v>170.16</v>
      </c>
      <c r="H19" s="83">
        <f t="shared" si="0"/>
        <v>0.65341439999999995</v>
      </c>
      <c r="I19" s="14">
        <f>F19/2*G19</f>
        <v>326.7072</v>
      </c>
      <c r="J19" s="24"/>
      <c r="K19" s="8"/>
      <c r="L19" s="8"/>
      <c r="M19" s="8"/>
    </row>
    <row r="20" spans="1:13" ht="15.75" customHeight="1">
      <c r="A20" s="31">
        <v>4</v>
      </c>
      <c r="B20" s="80" t="s">
        <v>100</v>
      </c>
      <c r="C20" s="69" t="s">
        <v>110</v>
      </c>
      <c r="D20" s="80" t="s">
        <v>30</v>
      </c>
      <c r="E20" s="81">
        <v>58.4</v>
      </c>
      <c r="F20" s="82">
        <f>SUM(E20*12/100)</f>
        <v>7.0079999999999991</v>
      </c>
      <c r="G20" s="82">
        <v>217.88</v>
      </c>
      <c r="H20" s="83">
        <f t="shared" si="0"/>
        <v>1.5269030399999997</v>
      </c>
      <c r="I20" s="14">
        <f>F20/12*G20</f>
        <v>127.24191999999999</v>
      </c>
      <c r="J20" s="24"/>
      <c r="K20" s="8"/>
      <c r="L20" s="8"/>
      <c r="M20" s="8"/>
    </row>
    <row r="21" spans="1:13" ht="15.75" customHeight="1">
      <c r="A21" s="31">
        <v>5</v>
      </c>
      <c r="B21" s="80" t="s">
        <v>101</v>
      </c>
      <c r="C21" s="69" t="s">
        <v>110</v>
      </c>
      <c r="D21" s="80" t="s">
        <v>30</v>
      </c>
      <c r="E21" s="81">
        <v>9.08</v>
      </c>
      <c r="F21" s="82">
        <f>SUM(E21*12/100)</f>
        <v>1.0896000000000001</v>
      </c>
      <c r="G21" s="82">
        <v>216.12</v>
      </c>
      <c r="H21" s="83">
        <f t="shared" si="0"/>
        <v>0.23548435200000004</v>
      </c>
      <c r="I21" s="14">
        <f>F21/12*G21</f>
        <v>19.623696000000002</v>
      </c>
      <c r="J21" s="24"/>
      <c r="K21" s="8"/>
      <c r="L21" s="8"/>
      <c r="M21" s="8"/>
    </row>
    <row r="22" spans="1:13" ht="15.75" hidden="1" customHeight="1">
      <c r="A22" s="31">
        <v>7</v>
      </c>
      <c r="B22" s="80" t="s">
        <v>117</v>
      </c>
      <c r="C22" s="69" t="s">
        <v>52</v>
      </c>
      <c r="D22" s="80" t="s">
        <v>116</v>
      </c>
      <c r="E22" s="81">
        <v>822.72</v>
      </c>
      <c r="F22" s="82">
        <f>SUM(E22/100)</f>
        <v>8.2271999999999998</v>
      </c>
      <c r="G22" s="82">
        <v>269.26</v>
      </c>
      <c r="H22" s="83">
        <f t="shared" si="0"/>
        <v>2.2152558719999997</v>
      </c>
      <c r="I22" s="14">
        <f>F22*G22</f>
        <v>2215.2558719999997</v>
      </c>
      <c r="J22" s="24"/>
      <c r="K22" s="8"/>
      <c r="L22" s="8"/>
      <c r="M22" s="8"/>
    </row>
    <row r="23" spans="1:13" ht="15.75" hidden="1" customHeight="1">
      <c r="A23" s="31">
        <v>8</v>
      </c>
      <c r="B23" s="80" t="s">
        <v>118</v>
      </c>
      <c r="C23" s="69" t="s">
        <v>52</v>
      </c>
      <c r="D23" s="80" t="s">
        <v>116</v>
      </c>
      <c r="E23" s="84">
        <v>96.6</v>
      </c>
      <c r="F23" s="82">
        <f>SUM(E23/100)</f>
        <v>0.96599999999999997</v>
      </c>
      <c r="G23" s="82">
        <v>44.29</v>
      </c>
      <c r="H23" s="83">
        <f t="shared" si="0"/>
        <v>4.2784139999999998E-2</v>
      </c>
      <c r="I23" s="14">
        <f>F23*G23</f>
        <v>42.784140000000001</v>
      </c>
      <c r="J23" s="24"/>
      <c r="K23" s="8"/>
      <c r="L23" s="8"/>
      <c r="M23" s="8"/>
    </row>
    <row r="24" spans="1:13" ht="15.75" customHeight="1">
      <c r="A24" s="31">
        <v>6</v>
      </c>
      <c r="B24" s="80" t="s">
        <v>106</v>
      </c>
      <c r="C24" s="69" t="s">
        <v>52</v>
      </c>
      <c r="D24" s="80" t="s">
        <v>30</v>
      </c>
      <c r="E24" s="85">
        <v>32</v>
      </c>
      <c r="F24" s="82">
        <f>32*12/1000</f>
        <v>0.38400000000000001</v>
      </c>
      <c r="G24" s="82">
        <v>389.42</v>
      </c>
      <c r="H24" s="83">
        <f>G24*F24/100</f>
        <v>1.4953728000000002</v>
      </c>
      <c r="I24" s="14">
        <f>F24/12*G24</f>
        <v>12.461440000000001</v>
      </c>
      <c r="J24" s="24"/>
      <c r="K24" s="8"/>
      <c r="L24" s="8"/>
      <c r="M24" s="8"/>
    </row>
    <row r="25" spans="1:13" ht="15.75" hidden="1" customHeight="1">
      <c r="A25" s="31">
        <v>10</v>
      </c>
      <c r="B25" s="80" t="s">
        <v>137</v>
      </c>
      <c r="C25" s="69" t="s">
        <v>52</v>
      </c>
      <c r="D25" s="80" t="s">
        <v>53</v>
      </c>
      <c r="E25" s="86">
        <v>38</v>
      </c>
      <c r="F25" s="82">
        <v>0.38</v>
      </c>
      <c r="G25" s="82">
        <v>216.12</v>
      </c>
      <c r="H25" s="83">
        <f>G25*F25/1000</f>
        <v>8.2125600000000007E-2</v>
      </c>
      <c r="I25" s="14">
        <f>F25*G25</f>
        <v>82.125600000000006</v>
      </c>
      <c r="J25" s="24"/>
      <c r="K25" s="8"/>
      <c r="L25" s="8"/>
      <c r="M25" s="8"/>
    </row>
    <row r="26" spans="1:13" ht="15.75" customHeight="1">
      <c r="A26" s="31">
        <v>7</v>
      </c>
      <c r="B26" s="80" t="s">
        <v>107</v>
      </c>
      <c r="C26" s="69" t="s">
        <v>52</v>
      </c>
      <c r="D26" s="80" t="s">
        <v>138</v>
      </c>
      <c r="E26" s="81">
        <v>17</v>
      </c>
      <c r="F26" s="82">
        <f>SUM(E26*12/100)</f>
        <v>2.04</v>
      </c>
      <c r="G26" s="82">
        <v>520.79999999999995</v>
      </c>
      <c r="H26" s="83">
        <f t="shared" si="0"/>
        <v>1.062432</v>
      </c>
      <c r="I26" s="14">
        <f>F26/12*G26</f>
        <v>88.536000000000001</v>
      </c>
      <c r="J26" s="24"/>
      <c r="K26" s="8"/>
      <c r="L26" s="8"/>
      <c r="M26" s="8"/>
    </row>
    <row r="27" spans="1:13" ht="15.75" customHeight="1">
      <c r="A27" s="31">
        <v>8</v>
      </c>
      <c r="B27" s="80" t="s">
        <v>64</v>
      </c>
      <c r="C27" s="69" t="s">
        <v>33</v>
      </c>
      <c r="D27" s="80"/>
      <c r="E27" s="81">
        <v>0.1</v>
      </c>
      <c r="F27" s="82">
        <f>SUM(E27*365)</f>
        <v>36.5</v>
      </c>
      <c r="G27" s="82">
        <v>147.03</v>
      </c>
      <c r="H27" s="83">
        <f t="shared" si="0"/>
        <v>5.3665950000000002</v>
      </c>
      <c r="I27" s="14">
        <f>F27/12*G27</f>
        <v>447.21625</v>
      </c>
      <c r="J27" s="24"/>
      <c r="K27" s="8"/>
      <c r="L27" s="8"/>
      <c r="M27" s="8"/>
    </row>
    <row r="28" spans="1:13" ht="15.75" customHeight="1">
      <c r="A28" s="31">
        <v>9</v>
      </c>
      <c r="B28" s="87" t="s">
        <v>23</v>
      </c>
      <c r="C28" s="69" t="s">
        <v>24</v>
      </c>
      <c r="D28" s="87"/>
      <c r="E28" s="81">
        <v>5926.8</v>
      </c>
      <c r="F28" s="82">
        <f>SUM(E28*12)</f>
        <v>71121.600000000006</v>
      </c>
      <c r="G28" s="82">
        <v>4.53</v>
      </c>
      <c r="H28" s="83">
        <f t="shared" si="0"/>
        <v>322.18084800000008</v>
      </c>
      <c r="I28" s="14">
        <f>F28/12*G28</f>
        <v>26848.404000000002</v>
      </c>
      <c r="J28" s="24"/>
      <c r="K28" s="8"/>
      <c r="L28" s="8"/>
      <c r="M28" s="8"/>
    </row>
    <row r="29" spans="1:13" ht="15.75" customHeight="1">
      <c r="A29" s="162" t="s">
        <v>86</v>
      </c>
      <c r="B29" s="162"/>
      <c r="C29" s="162"/>
      <c r="D29" s="162"/>
      <c r="E29" s="162"/>
      <c r="F29" s="162"/>
      <c r="G29" s="162"/>
      <c r="H29" s="162"/>
      <c r="I29" s="162"/>
      <c r="J29" s="24"/>
      <c r="K29" s="8"/>
      <c r="L29" s="8"/>
      <c r="M29" s="8"/>
    </row>
    <row r="30" spans="1:13" ht="15.75" customHeight="1">
      <c r="A30" s="46"/>
      <c r="B30" s="56" t="s">
        <v>28</v>
      </c>
      <c r="C30" s="56"/>
      <c r="D30" s="56"/>
      <c r="E30" s="56"/>
      <c r="F30" s="56"/>
      <c r="G30" s="56"/>
      <c r="H30" s="56"/>
      <c r="I30" s="20"/>
      <c r="J30" s="24"/>
      <c r="K30" s="8"/>
      <c r="L30" s="8"/>
      <c r="M30" s="8"/>
    </row>
    <row r="31" spans="1:13" ht="15.75" customHeight="1">
      <c r="A31" s="46">
        <v>10</v>
      </c>
      <c r="B31" s="80" t="s">
        <v>119</v>
      </c>
      <c r="C31" s="69" t="s">
        <v>120</v>
      </c>
      <c r="D31" s="80" t="s">
        <v>140</v>
      </c>
      <c r="E31" s="82">
        <v>2732.4</v>
      </c>
      <c r="F31" s="82">
        <f>SUM(E31*26/1000)</f>
        <v>71.042400000000015</v>
      </c>
      <c r="G31" s="82">
        <v>155.88999999999999</v>
      </c>
      <c r="H31" s="83">
        <f t="shared" ref="H31:H33" si="1">SUM(F31*G31/1000)</f>
        <v>11.074799736000001</v>
      </c>
      <c r="I31" s="14">
        <f>F31/6*G31</f>
        <v>1845.7999560000003</v>
      </c>
      <c r="J31" s="24"/>
      <c r="K31" s="8"/>
      <c r="L31" s="8"/>
      <c r="M31" s="8"/>
    </row>
    <row r="32" spans="1:13" ht="31.5" customHeight="1">
      <c r="A32" s="46">
        <v>11</v>
      </c>
      <c r="B32" s="80" t="s">
        <v>141</v>
      </c>
      <c r="C32" s="69" t="s">
        <v>120</v>
      </c>
      <c r="D32" s="80" t="s">
        <v>121</v>
      </c>
      <c r="E32" s="82">
        <v>547.85</v>
      </c>
      <c r="F32" s="82">
        <f>SUM(E32*78/1000)</f>
        <v>42.732300000000002</v>
      </c>
      <c r="G32" s="82">
        <v>258.63</v>
      </c>
      <c r="H32" s="83">
        <f t="shared" si="1"/>
        <v>11.051854749</v>
      </c>
      <c r="I32" s="14">
        <f t="shared" ref="I32:I35" si="2">F32/6*G32</f>
        <v>1841.9757915000002</v>
      </c>
      <c r="J32" s="24"/>
      <c r="K32" s="8"/>
      <c r="L32" s="8"/>
      <c r="M32" s="8"/>
    </row>
    <row r="33" spans="1:14" ht="15.75" hidden="1" customHeight="1">
      <c r="A33" s="46">
        <v>16</v>
      </c>
      <c r="B33" s="80" t="s">
        <v>27</v>
      </c>
      <c r="C33" s="69" t="s">
        <v>120</v>
      </c>
      <c r="D33" s="80" t="s">
        <v>53</v>
      </c>
      <c r="E33" s="82">
        <v>2732.4</v>
      </c>
      <c r="F33" s="82">
        <f>SUM(E33/1000)</f>
        <v>2.7324000000000002</v>
      </c>
      <c r="G33" s="82">
        <v>3020.33</v>
      </c>
      <c r="H33" s="83">
        <f t="shared" si="1"/>
        <v>8.2527496920000001</v>
      </c>
      <c r="I33" s="14">
        <f>F33*G33</f>
        <v>8252.7496919999994</v>
      </c>
      <c r="J33" s="24"/>
      <c r="K33" s="8"/>
      <c r="L33" s="8"/>
      <c r="M33" s="8"/>
    </row>
    <row r="34" spans="1:14" ht="15.75" customHeight="1">
      <c r="A34" s="46">
        <v>12</v>
      </c>
      <c r="B34" s="80" t="s">
        <v>139</v>
      </c>
      <c r="C34" s="69" t="s">
        <v>39</v>
      </c>
      <c r="D34" s="80" t="s">
        <v>63</v>
      </c>
      <c r="E34" s="82">
        <v>8</v>
      </c>
      <c r="F34" s="82">
        <v>12.4</v>
      </c>
      <c r="G34" s="82">
        <v>1302.02</v>
      </c>
      <c r="H34" s="83">
        <v>16.145</v>
      </c>
      <c r="I34" s="14">
        <f t="shared" si="2"/>
        <v>2690.8413333333338</v>
      </c>
      <c r="J34" s="24"/>
      <c r="K34" s="8"/>
      <c r="L34" s="8"/>
      <c r="M34" s="8"/>
    </row>
    <row r="35" spans="1:14" ht="15.75" customHeight="1">
      <c r="A35" s="46">
        <v>13</v>
      </c>
      <c r="B35" s="80" t="s">
        <v>160</v>
      </c>
      <c r="C35" s="69" t="s">
        <v>31</v>
      </c>
      <c r="D35" s="80" t="s">
        <v>63</v>
      </c>
      <c r="E35" s="88">
        <v>1</v>
      </c>
      <c r="F35" s="82">
        <v>155</v>
      </c>
      <c r="G35" s="82">
        <v>56.69</v>
      </c>
      <c r="H35" s="83">
        <f>SUM(G35*155/1000)</f>
        <v>8.7869499999999992</v>
      </c>
      <c r="I35" s="14">
        <f t="shared" si="2"/>
        <v>1464.4916666666666</v>
      </c>
      <c r="J35" s="24"/>
      <c r="K35" s="8"/>
      <c r="L35" s="8"/>
      <c r="M35" s="8"/>
    </row>
    <row r="36" spans="1:14" ht="15.75" hidden="1" customHeight="1">
      <c r="A36" s="46">
        <v>4</v>
      </c>
      <c r="B36" s="80" t="s">
        <v>65</v>
      </c>
      <c r="C36" s="69" t="s">
        <v>33</v>
      </c>
      <c r="D36" s="80" t="s">
        <v>67</v>
      </c>
      <c r="E36" s="81"/>
      <c r="F36" s="82">
        <v>2</v>
      </c>
      <c r="G36" s="82">
        <v>191.32</v>
      </c>
      <c r="H36" s="83">
        <f t="shared" ref="H36:H37" si="3">SUM(F36*G36/1000)</f>
        <v>0.38263999999999998</v>
      </c>
      <c r="I36" s="14">
        <v>0</v>
      </c>
      <c r="J36" s="24"/>
      <c r="K36" s="8"/>
    </row>
    <row r="37" spans="1:14" ht="15.75" hidden="1" customHeight="1">
      <c r="A37" s="31">
        <v>8</v>
      </c>
      <c r="B37" s="80" t="s">
        <v>66</v>
      </c>
      <c r="C37" s="69" t="s">
        <v>32</v>
      </c>
      <c r="D37" s="80" t="s">
        <v>67</v>
      </c>
      <c r="E37" s="81"/>
      <c r="F37" s="82">
        <v>3</v>
      </c>
      <c r="G37" s="82">
        <v>1136.32</v>
      </c>
      <c r="H37" s="83">
        <f t="shared" si="3"/>
        <v>3.40896</v>
      </c>
      <c r="I37" s="14">
        <v>0</v>
      </c>
      <c r="J37" s="25"/>
    </row>
    <row r="38" spans="1:14" ht="15.75" hidden="1" customHeight="1">
      <c r="A38" s="46"/>
      <c r="B38" s="54" t="s">
        <v>5</v>
      </c>
      <c r="C38" s="54"/>
      <c r="D38" s="54"/>
      <c r="E38" s="54"/>
      <c r="F38" s="14"/>
      <c r="G38" s="15"/>
      <c r="H38" s="15"/>
      <c r="I38" s="20"/>
      <c r="J38" s="25"/>
    </row>
    <row r="39" spans="1:14" ht="15.75" hidden="1" customHeight="1">
      <c r="A39" s="36">
        <v>10</v>
      </c>
      <c r="B39" s="80" t="s">
        <v>26</v>
      </c>
      <c r="C39" s="69" t="s">
        <v>32</v>
      </c>
      <c r="D39" s="80"/>
      <c r="E39" s="81"/>
      <c r="F39" s="82">
        <v>15</v>
      </c>
      <c r="G39" s="82">
        <v>1527.22</v>
      </c>
      <c r="H39" s="83">
        <f>SUM(F39*G39/1000)</f>
        <v>22.908300000000001</v>
      </c>
      <c r="I39" s="14">
        <f t="shared" ref="I39:I44" si="4">F39/6*G39</f>
        <v>3818.05</v>
      </c>
      <c r="J39" s="25"/>
    </row>
    <row r="40" spans="1:14" ht="15.75" hidden="1" customHeight="1">
      <c r="A40" s="36">
        <v>11</v>
      </c>
      <c r="B40" s="80" t="s">
        <v>68</v>
      </c>
      <c r="C40" s="69" t="s">
        <v>29</v>
      </c>
      <c r="D40" s="80" t="s">
        <v>123</v>
      </c>
      <c r="E40" s="82">
        <v>547.85</v>
      </c>
      <c r="F40" s="82">
        <f>SUM(E40*50/1000)</f>
        <v>27.392499999999998</v>
      </c>
      <c r="G40" s="82">
        <v>2102.71</v>
      </c>
      <c r="H40" s="83">
        <f t="shared" ref="H40:H44" si="5">SUM(F40*G40/1000)</f>
        <v>57.598483674999997</v>
      </c>
      <c r="I40" s="14">
        <f t="shared" si="4"/>
        <v>9599.747279166666</v>
      </c>
      <c r="J40" s="25"/>
    </row>
    <row r="41" spans="1:14" ht="15.75" hidden="1" customHeight="1">
      <c r="A41" s="36">
        <v>12</v>
      </c>
      <c r="B41" s="80" t="s">
        <v>69</v>
      </c>
      <c r="C41" s="69" t="s">
        <v>29</v>
      </c>
      <c r="D41" s="80" t="s">
        <v>124</v>
      </c>
      <c r="E41" s="82">
        <v>140</v>
      </c>
      <c r="F41" s="82">
        <f>SUM(E41*155/1000)</f>
        <v>21.7</v>
      </c>
      <c r="G41" s="82">
        <v>350.75</v>
      </c>
      <c r="H41" s="83">
        <f t="shared" si="5"/>
        <v>7.611275</v>
      </c>
      <c r="I41" s="14">
        <f t="shared" si="4"/>
        <v>1268.5458333333333</v>
      </c>
      <c r="J41" s="25"/>
    </row>
    <row r="42" spans="1:14" ht="31.5" hidden="1" customHeight="1">
      <c r="A42" s="36">
        <v>13</v>
      </c>
      <c r="B42" s="80" t="s">
        <v>83</v>
      </c>
      <c r="C42" s="69" t="s">
        <v>120</v>
      </c>
      <c r="D42" s="80" t="s">
        <v>142</v>
      </c>
      <c r="E42" s="82">
        <v>140</v>
      </c>
      <c r="F42" s="82">
        <f>SUM(E42*12/1000)</f>
        <v>1.68</v>
      </c>
      <c r="G42" s="82">
        <v>5803.28</v>
      </c>
      <c r="H42" s="83">
        <f t="shared" si="5"/>
        <v>9.7495103999999984</v>
      </c>
      <c r="I42" s="14">
        <f t="shared" si="4"/>
        <v>1624.9183999999998</v>
      </c>
      <c r="J42" s="25"/>
    </row>
    <row r="43" spans="1:14" ht="15.75" hidden="1" customHeight="1">
      <c r="A43" s="36">
        <v>14</v>
      </c>
      <c r="B43" s="80" t="s">
        <v>125</v>
      </c>
      <c r="C43" s="69" t="s">
        <v>120</v>
      </c>
      <c r="D43" s="80" t="s">
        <v>70</v>
      </c>
      <c r="E43" s="82">
        <v>140</v>
      </c>
      <c r="F43" s="82">
        <f>SUM(E43*45/1000)</f>
        <v>6.3</v>
      </c>
      <c r="G43" s="82">
        <v>428.7</v>
      </c>
      <c r="H43" s="83">
        <f t="shared" si="5"/>
        <v>2.7008100000000002</v>
      </c>
      <c r="I43" s="14">
        <f t="shared" si="4"/>
        <v>450.13499999999999</v>
      </c>
      <c r="J43" s="25"/>
    </row>
    <row r="44" spans="1:14" ht="15.75" hidden="1" customHeight="1">
      <c r="A44" s="36">
        <v>15</v>
      </c>
      <c r="B44" s="80" t="s">
        <v>71</v>
      </c>
      <c r="C44" s="69" t="s">
        <v>33</v>
      </c>
      <c r="D44" s="80"/>
      <c r="E44" s="81"/>
      <c r="F44" s="82">
        <v>0.9</v>
      </c>
      <c r="G44" s="82">
        <v>798</v>
      </c>
      <c r="H44" s="83">
        <f t="shared" si="5"/>
        <v>0.71820000000000006</v>
      </c>
      <c r="I44" s="14">
        <f t="shared" si="4"/>
        <v>119.69999999999999</v>
      </c>
      <c r="J44" s="25"/>
      <c r="L44" s="21"/>
      <c r="M44" s="22"/>
      <c r="N44" s="23"/>
    </row>
    <row r="45" spans="1:14" ht="15.75" customHeight="1">
      <c r="A45" s="163" t="s">
        <v>157</v>
      </c>
      <c r="B45" s="164"/>
      <c r="C45" s="164"/>
      <c r="D45" s="164"/>
      <c r="E45" s="164"/>
      <c r="F45" s="164"/>
      <c r="G45" s="164"/>
      <c r="H45" s="164"/>
      <c r="I45" s="165"/>
      <c r="J45" s="25"/>
      <c r="L45" s="21"/>
      <c r="M45" s="22"/>
      <c r="N45" s="23"/>
    </row>
    <row r="46" spans="1:14" ht="15.75" customHeight="1">
      <c r="A46" s="46">
        <v>14</v>
      </c>
      <c r="B46" s="80" t="s">
        <v>126</v>
      </c>
      <c r="C46" s="69" t="s">
        <v>120</v>
      </c>
      <c r="D46" s="80" t="s">
        <v>41</v>
      </c>
      <c r="E46" s="81">
        <v>1640.4</v>
      </c>
      <c r="F46" s="82">
        <f>SUM(E46*2/1000)</f>
        <v>3.2808000000000002</v>
      </c>
      <c r="G46" s="14">
        <v>849.49</v>
      </c>
      <c r="H46" s="83">
        <f t="shared" ref="H46:H54" si="6">SUM(F46*G46/1000)</f>
        <v>2.7870067920000001</v>
      </c>
      <c r="I46" s="14">
        <f t="shared" ref="I46:I48" si="7">F46/2*G46</f>
        <v>1393.5033960000001</v>
      </c>
      <c r="J46" s="25"/>
      <c r="L46" s="21"/>
      <c r="M46" s="22"/>
      <c r="N46" s="23"/>
    </row>
    <row r="47" spans="1:14" ht="15.75" customHeight="1">
      <c r="A47" s="46">
        <v>15</v>
      </c>
      <c r="B47" s="80" t="s">
        <v>34</v>
      </c>
      <c r="C47" s="69" t="s">
        <v>120</v>
      </c>
      <c r="D47" s="80" t="s">
        <v>41</v>
      </c>
      <c r="E47" s="81">
        <v>918.25</v>
      </c>
      <c r="F47" s="82">
        <f>SUM(E47*2/1000)</f>
        <v>1.8365</v>
      </c>
      <c r="G47" s="14">
        <v>579.48</v>
      </c>
      <c r="H47" s="83">
        <f t="shared" si="6"/>
        <v>1.06421502</v>
      </c>
      <c r="I47" s="14">
        <f t="shared" si="7"/>
        <v>532.10751000000005</v>
      </c>
      <c r="J47" s="25"/>
      <c r="L47" s="21"/>
      <c r="M47" s="22"/>
      <c r="N47" s="23"/>
    </row>
    <row r="48" spans="1:14" ht="15.75" customHeight="1">
      <c r="A48" s="46">
        <v>16</v>
      </c>
      <c r="B48" s="80" t="s">
        <v>35</v>
      </c>
      <c r="C48" s="69" t="s">
        <v>120</v>
      </c>
      <c r="D48" s="80" t="s">
        <v>41</v>
      </c>
      <c r="E48" s="81">
        <v>5592.26</v>
      </c>
      <c r="F48" s="82">
        <f>SUM(E48*2/1000)</f>
        <v>11.184520000000001</v>
      </c>
      <c r="G48" s="14">
        <v>579.48</v>
      </c>
      <c r="H48" s="83">
        <f t="shared" si="6"/>
        <v>6.4812056496000006</v>
      </c>
      <c r="I48" s="14">
        <f t="shared" si="7"/>
        <v>3240.6028248000002</v>
      </c>
      <c r="J48" s="25"/>
      <c r="L48" s="21"/>
      <c r="M48" s="22"/>
      <c r="N48" s="23"/>
    </row>
    <row r="49" spans="1:14" ht="15.75" customHeight="1">
      <c r="A49" s="46">
        <v>17</v>
      </c>
      <c r="B49" s="80" t="s">
        <v>36</v>
      </c>
      <c r="C49" s="69" t="s">
        <v>120</v>
      </c>
      <c r="D49" s="80" t="s">
        <v>41</v>
      </c>
      <c r="E49" s="81">
        <v>2817.65</v>
      </c>
      <c r="F49" s="82">
        <f>SUM(E49*2/1000)</f>
        <v>5.6353</v>
      </c>
      <c r="G49" s="14">
        <v>606.77</v>
      </c>
      <c r="H49" s="83">
        <f t="shared" si="6"/>
        <v>3.4193309809999999</v>
      </c>
      <c r="I49" s="14">
        <f>F49/2*G49</f>
        <v>1709.6654905</v>
      </c>
      <c r="J49" s="25"/>
      <c r="L49" s="21"/>
      <c r="M49" s="22"/>
      <c r="N49" s="23"/>
    </row>
    <row r="50" spans="1:14" ht="15.75" customHeight="1">
      <c r="A50" s="46">
        <v>18</v>
      </c>
      <c r="B50" s="80" t="s">
        <v>56</v>
      </c>
      <c r="C50" s="69" t="s">
        <v>120</v>
      </c>
      <c r="D50" s="80" t="s">
        <v>144</v>
      </c>
      <c r="E50" s="81">
        <v>3280.8</v>
      </c>
      <c r="F50" s="82">
        <f>SUM(E50*5/1000)</f>
        <v>16.404</v>
      </c>
      <c r="G50" s="14">
        <v>1213.55</v>
      </c>
      <c r="H50" s="83">
        <f t="shared" si="6"/>
        <v>19.9070742</v>
      </c>
      <c r="I50" s="14">
        <f>F50/5*G50</f>
        <v>3981.4148399999999</v>
      </c>
      <c r="J50" s="25"/>
      <c r="L50" s="21"/>
      <c r="M50" s="22"/>
      <c r="N50" s="23"/>
    </row>
    <row r="51" spans="1:14" ht="31.5" hidden="1" customHeight="1">
      <c r="A51" s="46">
        <v>16</v>
      </c>
      <c r="B51" s="80" t="s">
        <v>127</v>
      </c>
      <c r="C51" s="69" t="s">
        <v>120</v>
      </c>
      <c r="D51" s="80" t="s">
        <v>41</v>
      </c>
      <c r="E51" s="81">
        <v>3280.8</v>
      </c>
      <c r="F51" s="82">
        <f>SUM(E51*2/1000)</f>
        <v>6.5616000000000003</v>
      </c>
      <c r="G51" s="14">
        <v>1213.55</v>
      </c>
      <c r="H51" s="83">
        <f t="shared" si="6"/>
        <v>7.9628296799999996</v>
      </c>
      <c r="I51" s="14">
        <f>F51/2*G51</f>
        <v>3981.4148399999999</v>
      </c>
      <c r="J51" s="25"/>
      <c r="L51" s="21"/>
      <c r="M51" s="22"/>
      <c r="N51" s="23"/>
    </row>
    <row r="52" spans="1:14" ht="31.5" hidden="1" customHeight="1">
      <c r="A52" s="46">
        <v>17</v>
      </c>
      <c r="B52" s="80" t="s">
        <v>143</v>
      </c>
      <c r="C52" s="69" t="s">
        <v>37</v>
      </c>
      <c r="D52" s="80" t="s">
        <v>41</v>
      </c>
      <c r="E52" s="81">
        <v>40</v>
      </c>
      <c r="F52" s="82">
        <f>SUM(E52*2/100)</f>
        <v>0.8</v>
      </c>
      <c r="G52" s="14">
        <v>2730.49</v>
      </c>
      <c r="H52" s="83">
        <f t="shared" si="6"/>
        <v>2.1843919999999999</v>
      </c>
      <c r="I52" s="14">
        <f>F52/2*G52</f>
        <v>1092.1959999999999</v>
      </c>
      <c r="J52" s="25"/>
      <c r="L52" s="21"/>
      <c r="M52" s="22"/>
      <c r="N52" s="23"/>
    </row>
    <row r="53" spans="1:14" ht="15.75" hidden="1" customHeight="1">
      <c r="A53" s="46">
        <v>16</v>
      </c>
      <c r="B53" s="80" t="s">
        <v>38</v>
      </c>
      <c r="C53" s="69" t="s">
        <v>39</v>
      </c>
      <c r="D53" s="80" t="s">
        <v>41</v>
      </c>
      <c r="E53" s="81">
        <v>1</v>
      </c>
      <c r="F53" s="82">
        <v>0.02</v>
      </c>
      <c r="G53" s="14">
        <v>5652.13</v>
      </c>
      <c r="H53" s="83">
        <f t="shared" si="6"/>
        <v>0.11304260000000001</v>
      </c>
      <c r="I53" s="14">
        <f>F53/2*G53</f>
        <v>56.521300000000004</v>
      </c>
      <c r="J53" s="25"/>
      <c r="L53" s="21"/>
      <c r="M53" s="22"/>
      <c r="N53" s="23"/>
    </row>
    <row r="54" spans="1:14" ht="15.75" hidden="1" customHeight="1">
      <c r="A54" s="46">
        <v>14</v>
      </c>
      <c r="B54" s="80" t="s">
        <v>40</v>
      </c>
      <c r="C54" s="69" t="s">
        <v>128</v>
      </c>
      <c r="D54" s="80" t="s">
        <v>72</v>
      </c>
      <c r="E54" s="81">
        <v>238</v>
      </c>
      <c r="F54" s="82">
        <f>SUM(E54)*3</f>
        <v>714</v>
      </c>
      <c r="G54" s="14">
        <v>65.67</v>
      </c>
      <c r="H54" s="83">
        <f t="shared" si="6"/>
        <v>46.888380000000005</v>
      </c>
      <c r="I54" s="14">
        <f>E54*G54</f>
        <v>15629.460000000001</v>
      </c>
      <c r="J54" s="25"/>
      <c r="L54" s="21"/>
      <c r="M54" s="22"/>
      <c r="N54" s="23"/>
    </row>
    <row r="55" spans="1:14" ht="15.75" customHeight="1">
      <c r="A55" s="163" t="s">
        <v>158</v>
      </c>
      <c r="B55" s="164"/>
      <c r="C55" s="164"/>
      <c r="D55" s="164"/>
      <c r="E55" s="164"/>
      <c r="F55" s="164"/>
      <c r="G55" s="164"/>
      <c r="H55" s="164"/>
      <c r="I55" s="165"/>
      <c r="J55" s="25"/>
      <c r="L55" s="21"/>
      <c r="M55" s="22"/>
      <c r="N55" s="23"/>
    </row>
    <row r="56" spans="1:14" ht="15.75" hidden="1" customHeight="1">
      <c r="A56" s="59"/>
      <c r="B56" s="53" t="s">
        <v>42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5.75" hidden="1" customHeight="1">
      <c r="A57" s="46">
        <v>15</v>
      </c>
      <c r="B57" s="80" t="s">
        <v>145</v>
      </c>
      <c r="C57" s="69" t="s">
        <v>110</v>
      </c>
      <c r="D57" s="80" t="s">
        <v>53</v>
      </c>
      <c r="E57" s="89">
        <v>1640.4</v>
      </c>
      <c r="F57" s="14">
        <f>E57/100</f>
        <v>16.404</v>
      </c>
      <c r="G57" s="82">
        <v>472.59</v>
      </c>
      <c r="H57" s="83">
        <f>SUM(F57*G57/1000)</f>
        <v>7.7523663599999999</v>
      </c>
      <c r="I57" s="14">
        <v>0</v>
      </c>
      <c r="J57" s="25"/>
      <c r="L57" s="21"/>
      <c r="M57" s="22"/>
      <c r="N57" s="23"/>
    </row>
    <row r="58" spans="1:14" ht="31.5" hidden="1" customHeight="1">
      <c r="A58" s="46">
        <v>18</v>
      </c>
      <c r="B58" s="80" t="s">
        <v>146</v>
      </c>
      <c r="C58" s="69" t="s">
        <v>110</v>
      </c>
      <c r="D58" s="80" t="s">
        <v>147</v>
      </c>
      <c r="E58" s="81">
        <v>164.04</v>
      </c>
      <c r="F58" s="14">
        <f>E58*6/100</f>
        <v>9.8423999999999996</v>
      </c>
      <c r="G58" s="90">
        <v>1547.28</v>
      </c>
      <c r="H58" s="83">
        <f>F58*G58/1000</f>
        <v>15.228948671999998</v>
      </c>
      <c r="I58" s="14">
        <f>F58/6*G58</f>
        <v>2538.1581119999996</v>
      </c>
      <c r="J58" s="25"/>
      <c r="L58" s="21"/>
      <c r="M58" s="22"/>
      <c r="N58" s="23"/>
    </row>
    <row r="59" spans="1:14" ht="15.75" hidden="1" customHeight="1">
      <c r="A59" s="46">
        <v>19</v>
      </c>
      <c r="B59" s="91" t="s">
        <v>97</v>
      </c>
      <c r="C59" s="92" t="s">
        <v>110</v>
      </c>
      <c r="D59" s="91" t="s">
        <v>148</v>
      </c>
      <c r="E59" s="93">
        <v>8</v>
      </c>
      <c r="F59" s="94">
        <f>E59*8/100</f>
        <v>0.64</v>
      </c>
      <c r="G59" s="90">
        <v>1547.28</v>
      </c>
      <c r="H59" s="95">
        <f>F59*G59/1000</f>
        <v>0.99025920000000001</v>
      </c>
      <c r="I59" s="14">
        <f>F59/6*G59</f>
        <v>165.04320000000001</v>
      </c>
      <c r="J59" s="25"/>
      <c r="L59" s="21"/>
      <c r="M59" s="22"/>
      <c r="N59" s="23"/>
    </row>
    <row r="60" spans="1:14" ht="15.75" hidden="1" customHeight="1">
      <c r="A60" s="46"/>
      <c r="B60" s="91" t="s">
        <v>102</v>
      </c>
      <c r="C60" s="92" t="s">
        <v>103</v>
      </c>
      <c r="D60" s="91" t="s">
        <v>41</v>
      </c>
      <c r="E60" s="93">
        <v>8</v>
      </c>
      <c r="F60" s="94">
        <v>16</v>
      </c>
      <c r="G60" s="96">
        <v>180.78</v>
      </c>
      <c r="H60" s="95">
        <f>F60*G60/1000</f>
        <v>2.8924799999999999</v>
      </c>
      <c r="I60" s="14">
        <v>0</v>
      </c>
      <c r="J60" s="25"/>
      <c r="L60" s="21"/>
      <c r="M60" s="22"/>
      <c r="N60" s="23"/>
    </row>
    <row r="61" spans="1:14" ht="15.75" customHeight="1">
      <c r="A61" s="46"/>
      <c r="B61" s="75" t="s">
        <v>43</v>
      </c>
      <c r="C61" s="75"/>
      <c r="D61" s="75"/>
      <c r="E61" s="75"/>
      <c r="F61" s="75"/>
      <c r="G61" s="75"/>
      <c r="H61" s="75"/>
      <c r="I61" s="38"/>
      <c r="J61" s="25"/>
      <c r="L61" s="21"/>
      <c r="M61" s="22"/>
      <c r="N61" s="23"/>
    </row>
    <row r="62" spans="1:14" ht="15.75" customHeight="1">
      <c r="A62" s="46">
        <v>19</v>
      </c>
      <c r="B62" s="91" t="s">
        <v>98</v>
      </c>
      <c r="C62" s="92" t="s">
        <v>25</v>
      </c>
      <c r="D62" s="91" t="s">
        <v>149</v>
      </c>
      <c r="E62" s="93">
        <v>329.4</v>
      </c>
      <c r="F62" s="94">
        <v>2400</v>
      </c>
      <c r="G62" s="97">
        <v>1.2</v>
      </c>
      <c r="H62" s="95">
        <f>G62*F62</f>
        <v>2880</v>
      </c>
      <c r="I62" s="14">
        <f>F62/12*G62</f>
        <v>240</v>
      </c>
      <c r="J62" s="25"/>
      <c r="L62" s="21"/>
      <c r="M62" s="22"/>
      <c r="N62" s="23"/>
    </row>
    <row r="63" spans="1:14" ht="15.75" hidden="1" customHeight="1">
      <c r="A63" s="46"/>
      <c r="B63" s="91" t="s">
        <v>44</v>
      </c>
      <c r="C63" s="92" t="s">
        <v>25</v>
      </c>
      <c r="D63" s="91" t="s">
        <v>53</v>
      </c>
      <c r="E63" s="93">
        <v>1640.4</v>
      </c>
      <c r="F63" s="94">
        <v>16.404</v>
      </c>
      <c r="G63" s="98">
        <v>739.61</v>
      </c>
      <c r="H63" s="95">
        <f>G63*F63/1000</f>
        <v>12.132562439999999</v>
      </c>
      <c r="I63" s="14">
        <v>0</v>
      </c>
      <c r="J63" s="25"/>
      <c r="L63" s="21"/>
      <c r="M63" s="22"/>
      <c r="N63" s="23"/>
    </row>
    <row r="64" spans="1:14" ht="15.75" customHeight="1">
      <c r="A64" s="46"/>
      <c r="B64" s="75" t="s">
        <v>45</v>
      </c>
      <c r="C64" s="18"/>
      <c r="D64" s="42"/>
      <c r="E64" s="42"/>
      <c r="F64" s="17"/>
      <c r="G64" s="31"/>
      <c r="H64" s="31"/>
      <c r="I64" s="20"/>
      <c r="J64" s="25"/>
      <c r="L64" s="21"/>
      <c r="M64" s="22"/>
      <c r="N64" s="23"/>
    </row>
    <row r="65" spans="1:22" ht="15.75" customHeight="1">
      <c r="A65" s="46">
        <v>20</v>
      </c>
      <c r="B65" s="16" t="s">
        <v>46</v>
      </c>
      <c r="C65" s="18" t="s">
        <v>128</v>
      </c>
      <c r="D65" s="16" t="s">
        <v>67</v>
      </c>
      <c r="E65" s="20">
        <v>40</v>
      </c>
      <c r="F65" s="82">
        <v>40</v>
      </c>
      <c r="G65" s="14">
        <v>222.4</v>
      </c>
      <c r="H65" s="77">
        <f t="shared" ref="H65:H72" si="8">SUM(F65*G65/1000)</f>
        <v>8.8960000000000008</v>
      </c>
      <c r="I65" s="14">
        <f>G65*13</f>
        <v>2891.2000000000003</v>
      </c>
      <c r="J65" s="25"/>
      <c r="L65" s="21"/>
      <c r="M65" s="22"/>
      <c r="N65" s="23"/>
    </row>
    <row r="66" spans="1:22" ht="15.75" hidden="1" customHeight="1">
      <c r="A66" s="31">
        <v>29</v>
      </c>
      <c r="B66" s="16" t="s">
        <v>47</v>
      </c>
      <c r="C66" s="18" t="s">
        <v>128</v>
      </c>
      <c r="D66" s="16" t="s">
        <v>67</v>
      </c>
      <c r="E66" s="20">
        <v>15</v>
      </c>
      <c r="F66" s="82">
        <v>15</v>
      </c>
      <c r="G66" s="14">
        <v>76.25</v>
      </c>
      <c r="H66" s="77">
        <f t="shared" si="8"/>
        <v>1.14375</v>
      </c>
      <c r="I66" s="14">
        <v>0</v>
      </c>
      <c r="J66" s="25"/>
      <c r="L66" s="21"/>
      <c r="M66" s="22"/>
      <c r="N66" s="23"/>
    </row>
    <row r="67" spans="1:22" ht="15.75" hidden="1" customHeight="1">
      <c r="A67" s="31">
        <v>26</v>
      </c>
      <c r="B67" s="16" t="s">
        <v>48</v>
      </c>
      <c r="C67" s="18" t="s">
        <v>129</v>
      </c>
      <c r="D67" s="16" t="s">
        <v>53</v>
      </c>
      <c r="E67" s="81">
        <v>24648</v>
      </c>
      <c r="F67" s="14">
        <f>SUM(E67/100)</f>
        <v>246.48</v>
      </c>
      <c r="G67" s="14">
        <v>212.15</v>
      </c>
      <c r="H67" s="77">
        <f t="shared" si="8"/>
        <v>52.290731999999998</v>
      </c>
      <c r="I67" s="14">
        <f>F67*G67</f>
        <v>52290.731999999996</v>
      </c>
      <c r="J67" s="25"/>
      <c r="L67" s="21"/>
      <c r="M67" s="22"/>
      <c r="N67" s="23"/>
    </row>
    <row r="68" spans="1:22" ht="15.75" hidden="1" customHeight="1">
      <c r="A68" s="31">
        <v>27</v>
      </c>
      <c r="B68" s="16" t="s">
        <v>49</v>
      </c>
      <c r="C68" s="18" t="s">
        <v>130</v>
      </c>
      <c r="D68" s="16"/>
      <c r="E68" s="81">
        <v>24648</v>
      </c>
      <c r="F68" s="14">
        <f>SUM(E68/1000)</f>
        <v>24.648</v>
      </c>
      <c r="G68" s="14">
        <v>165.21</v>
      </c>
      <c r="H68" s="77">
        <f t="shared" si="8"/>
        <v>4.0720960800000006</v>
      </c>
      <c r="I68" s="14">
        <f t="shared" ref="I68:I71" si="9">F68*G68</f>
        <v>4072.0960800000003</v>
      </c>
      <c r="J68" s="25"/>
      <c r="L68" s="21"/>
      <c r="M68" s="22"/>
      <c r="N68" s="23"/>
    </row>
    <row r="69" spans="1:22" ht="15.75" hidden="1" customHeight="1">
      <c r="A69" s="31">
        <v>28</v>
      </c>
      <c r="B69" s="16" t="s">
        <v>50</v>
      </c>
      <c r="C69" s="18" t="s">
        <v>76</v>
      </c>
      <c r="D69" s="16" t="s">
        <v>53</v>
      </c>
      <c r="E69" s="81">
        <v>2730</v>
      </c>
      <c r="F69" s="14">
        <f>SUM(E69/100)</f>
        <v>27.3</v>
      </c>
      <c r="G69" s="14">
        <v>2074.63</v>
      </c>
      <c r="H69" s="77">
        <f t="shared" si="8"/>
        <v>56.637399000000002</v>
      </c>
      <c r="I69" s="14">
        <f t="shared" si="9"/>
        <v>56637.399000000005</v>
      </c>
      <c r="J69" s="25"/>
      <c r="L69" s="21"/>
    </row>
    <row r="70" spans="1:22" ht="15.75" hidden="1" customHeight="1">
      <c r="A70" s="31">
        <v>29</v>
      </c>
      <c r="B70" s="99" t="s">
        <v>131</v>
      </c>
      <c r="C70" s="18" t="s">
        <v>33</v>
      </c>
      <c r="D70" s="16"/>
      <c r="E70" s="81">
        <v>20.28</v>
      </c>
      <c r="F70" s="14">
        <f>SUM(E70)</f>
        <v>20.28</v>
      </c>
      <c r="G70" s="14">
        <v>45.32</v>
      </c>
      <c r="H70" s="77">
        <f t="shared" si="8"/>
        <v>0.91908960000000006</v>
      </c>
      <c r="I70" s="14">
        <f t="shared" si="9"/>
        <v>919.08960000000002</v>
      </c>
    </row>
    <row r="71" spans="1:22" ht="15.75" hidden="1" customHeight="1">
      <c r="A71" s="31">
        <v>30</v>
      </c>
      <c r="B71" s="99" t="s">
        <v>161</v>
      </c>
      <c r="C71" s="18" t="s">
        <v>33</v>
      </c>
      <c r="D71" s="16"/>
      <c r="E71" s="81">
        <v>20.28</v>
      </c>
      <c r="F71" s="14">
        <f>SUM(E71)</f>
        <v>20.28</v>
      </c>
      <c r="G71" s="14">
        <v>42.28</v>
      </c>
      <c r="H71" s="77">
        <f t="shared" si="8"/>
        <v>0.85743840000000016</v>
      </c>
      <c r="I71" s="14">
        <f t="shared" si="9"/>
        <v>857.43840000000012</v>
      </c>
    </row>
    <row r="72" spans="1:22" ht="15.75" customHeight="1">
      <c r="A72" s="31">
        <v>21</v>
      </c>
      <c r="B72" s="16" t="s">
        <v>57</v>
      </c>
      <c r="C72" s="18" t="s">
        <v>58</v>
      </c>
      <c r="D72" s="16" t="s">
        <v>53</v>
      </c>
      <c r="E72" s="20">
        <v>12</v>
      </c>
      <c r="F72" s="82">
        <f>SUM(E72)</f>
        <v>12</v>
      </c>
      <c r="G72" s="14">
        <v>49.88</v>
      </c>
      <c r="H72" s="77">
        <f t="shared" si="8"/>
        <v>0.59856000000000009</v>
      </c>
      <c r="I72" s="14">
        <f>G72*12</f>
        <v>598.56000000000006</v>
      </c>
    </row>
    <row r="73" spans="1:22" ht="15.75" hidden="1" customHeight="1">
      <c r="A73" s="59"/>
      <c r="B73" s="75" t="s">
        <v>132</v>
      </c>
      <c r="C73" s="75"/>
      <c r="D73" s="75"/>
      <c r="E73" s="75"/>
      <c r="F73" s="75"/>
      <c r="G73" s="75"/>
      <c r="H73" s="75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1">
        <v>16</v>
      </c>
      <c r="B74" s="80" t="s">
        <v>133</v>
      </c>
      <c r="C74" s="18"/>
      <c r="D74" s="16"/>
      <c r="E74" s="78"/>
      <c r="F74" s="14">
        <v>1</v>
      </c>
      <c r="G74" s="14">
        <v>27356</v>
      </c>
      <c r="H74" s="77">
        <f>G74*F74/1000</f>
        <v>27.356000000000002</v>
      </c>
      <c r="I74" s="14">
        <f>G74</f>
        <v>27356</v>
      </c>
      <c r="J74" s="27"/>
      <c r="K74" s="27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1"/>
      <c r="B75" s="54" t="s">
        <v>73</v>
      </c>
      <c r="C75" s="54"/>
      <c r="D75" s="54"/>
      <c r="E75" s="54"/>
      <c r="F75" s="20"/>
      <c r="G75" s="31"/>
      <c r="H75" s="31"/>
      <c r="I75" s="20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1"/>
      <c r="B76" s="16" t="s">
        <v>90</v>
      </c>
      <c r="C76" s="18" t="s">
        <v>31</v>
      </c>
      <c r="D76" s="16"/>
      <c r="E76" s="20">
        <v>2</v>
      </c>
      <c r="F76" s="82">
        <f>SUM(E76)</f>
        <v>2</v>
      </c>
      <c r="G76" s="14">
        <v>358.51</v>
      </c>
      <c r="H76" s="77">
        <f>SUM(F76*G76/1000)</f>
        <v>0.71701999999999999</v>
      </c>
      <c r="I76" s="14">
        <v>0</v>
      </c>
      <c r="J76" s="5"/>
      <c r="K76" s="5"/>
      <c r="L76" s="5"/>
      <c r="M76" s="5"/>
      <c r="N76" s="5"/>
      <c r="O76" s="5"/>
      <c r="P76" s="5"/>
      <c r="Q76" s="5"/>
      <c r="R76" s="156"/>
      <c r="S76" s="156"/>
      <c r="T76" s="156"/>
      <c r="U76" s="156"/>
    </row>
    <row r="77" spans="1:22" ht="15.75" hidden="1" customHeight="1">
      <c r="A77" s="31"/>
      <c r="B77" s="16" t="s">
        <v>74</v>
      </c>
      <c r="C77" s="18" t="s">
        <v>31</v>
      </c>
      <c r="D77" s="16"/>
      <c r="E77" s="20">
        <v>1</v>
      </c>
      <c r="F77" s="14">
        <v>1</v>
      </c>
      <c r="G77" s="14">
        <v>852.99</v>
      </c>
      <c r="H77" s="77">
        <f>F77*G77/1000</f>
        <v>0.85299000000000003</v>
      </c>
      <c r="I77" s="14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1"/>
      <c r="B78" s="55" t="s">
        <v>75</v>
      </c>
      <c r="C78" s="43"/>
      <c r="D78" s="31"/>
      <c r="E78" s="31"/>
      <c r="F78" s="20"/>
      <c r="G78" s="39" t="s">
        <v>150</v>
      </c>
      <c r="H78" s="39"/>
      <c r="I78" s="20"/>
    </row>
    <row r="79" spans="1:22" ht="15.75" hidden="1" customHeight="1">
      <c r="A79" s="31">
        <v>39</v>
      </c>
      <c r="B79" s="57" t="s">
        <v>134</v>
      </c>
      <c r="C79" s="18" t="s">
        <v>76</v>
      </c>
      <c r="D79" s="16"/>
      <c r="E79" s="20"/>
      <c r="F79" s="14">
        <v>1.35</v>
      </c>
      <c r="G79" s="14">
        <v>2759.44</v>
      </c>
      <c r="H79" s="77">
        <f>SUM(F79*G79/1000)</f>
        <v>3.725244</v>
      </c>
      <c r="I79" s="14">
        <v>0</v>
      </c>
    </row>
    <row r="80" spans="1:22" ht="15.75" customHeight="1">
      <c r="A80" s="147" t="s">
        <v>159</v>
      </c>
      <c r="B80" s="148"/>
      <c r="C80" s="148"/>
      <c r="D80" s="148"/>
      <c r="E80" s="148"/>
      <c r="F80" s="148"/>
      <c r="G80" s="148"/>
      <c r="H80" s="148"/>
      <c r="I80" s="149"/>
    </row>
    <row r="81" spans="1:9" ht="15.75" customHeight="1">
      <c r="A81" s="31">
        <v>22</v>
      </c>
      <c r="B81" s="80" t="s">
        <v>135</v>
      </c>
      <c r="C81" s="18" t="s">
        <v>54</v>
      </c>
      <c r="D81" s="101" t="s">
        <v>55</v>
      </c>
      <c r="E81" s="14">
        <v>5926.8</v>
      </c>
      <c r="F81" s="14">
        <f>SUM(E81*12)</f>
        <v>71121.600000000006</v>
      </c>
      <c r="G81" s="14">
        <v>2.1</v>
      </c>
      <c r="H81" s="77">
        <f>SUM(F81*G81/1000)</f>
        <v>149.35536000000002</v>
      </c>
      <c r="I81" s="14">
        <f>F81/12*G81</f>
        <v>12446.28</v>
      </c>
    </row>
    <row r="82" spans="1:9" ht="31.5" customHeight="1">
      <c r="A82" s="31">
        <v>23</v>
      </c>
      <c r="B82" s="16" t="s">
        <v>77</v>
      </c>
      <c r="C82" s="18"/>
      <c r="D82" s="101" t="s">
        <v>55</v>
      </c>
      <c r="E82" s="81">
        <v>5926.8</v>
      </c>
      <c r="F82" s="14">
        <f>E82*12</f>
        <v>71121.600000000006</v>
      </c>
      <c r="G82" s="14">
        <v>1.63</v>
      </c>
      <c r="H82" s="77">
        <f>F82*G82/1000</f>
        <v>115.928208</v>
      </c>
      <c r="I82" s="14">
        <f>F82/12*G82</f>
        <v>9660.6839999999993</v>
      </c>
    </row>
    <row r="83" spans="1:9" ht="15.75" customHeight="1">
      <c r="A83" s="59"/>
      <c r="B83" s="44" t="s">
        <v>80</v>
      </c>
      <c r="C83" s="46"/>
      <c r="D83" s="17"/>
      <c r="E83" s="17"/>
      <c r="F83" s="17"/>
      <c r="G83" s="20"/>
      <c r="H83" s="20"/>
      <c r="I83" s="33">
        <f>I82+I81+I72+I65+I62+I50+I49+I48+I47+I46+I35+I34+I32+I31+I28+I27+I26+I24+I21+I20+I18+I17+I16</f>
        <v>93595.282014800017</v>
      </c>
    </row>
    <row r="84" spans="1:9" ht="15.75" customHeight="1">
      <c r="A84" s="150" t="s">
        <v>60</v>
      </c>
      <c r="B84" s="151"/>
      <c r="C84" s="151"/>
      <c r="D84" s="151"/>
      <c r="E84" s="151"/>
      <c r="F84" s="151"/>
      <c r="G84" s="151"/>
      <c r="H84" s="151"/>
      <c r="I84" s="152"/>
    </row>
    <row r="85" spans="1:9" ht="19.5" customHeight="1">
      <c r="A85" s="31">
        <v>24</v>
      </c>
      <c r="B85" s="104" t="s">
        <v>183</v>
      </c>
      <c r="C85" s="105" t="s">
        <v>84</v>
      </c>
      <c r="D85" s="57"/>
      <c r="E85" s="14"/>
      <c r="F85" s="14">
        <v>7.0000000000000007E-2</v>
      </c>
      <c r="G85" s="39">
        <v>203.68</v>
      </c>
      <c r="H85" s="77">
        <f t="shared" ref="H85" si="10">G85*F85/1000</f>
        <v>1.4257600000000002E-2</v>
      </c>
      <c r="I85" s="14">
        <f>G85*2</f>
        <v>407.36</v>
      </c>
    </row>
    <row r="86" spans="1:9" ht="15.75" customHeight="1">
      <c r="A86" s="31">
        <v>25</v>
      </c>
      <c r="B86" s="144" t="s">
        <v>280</v>
      </c>
      <c r="C86" s="145" t="s">
        <v>281</v>
      </c>
      <c r="D86" s="57"/>
      <c r="E86" s="39"/>
      <c r="F86" s="39">
        <v>1089</v>
      </c>
      <c r="G86" s="39">
        <v>13785.45</v>
      </c>
      <c r="H86" s="100">
        <f t="shared" ref="H86:H92" si="11">G86*F86/1000</f>
        <v>15012.35505</v>
      </c>
      <c r="I86" s="114">
        <f>G86*0.1</f>
        <v>1378.5450000000001</v>
      </c>
    </row>
    <row r="87" spans="1:9" ht="16.5" customHeight="1">
      <c r="A87" s="31">
        <v>26</v>
      </c>
      <c r="B87" s="104" t="s">
        <v>282</v>
      </c>
      <c r="C87" s="105" t="s">
        <v>128</v>
      </c>
      <c r="D87" s="57"/>
      <c r="E87" s="39"/>
      <c r="F87" s="39">
        <v>8</v>
      </c>
      <c r="G87" s="39">
        <v>1831.95</v>
      </c>
      <c r="H87" s="100">
        <f t="shared" si="11"/>
        <v>14.6556</v>
      </c>
      <c r="I87" s="14">
        <f>G87*6</f>
        <v>10991.7</v>
      </c>
    </row>
    <row r="88" spans="1:9" ht="18.75" customHeight="1">
      <c r="A88" s="31">
        <v>27</v>
      </c>
      <c r="B88" s="104" t="s">
        <v>283</v>
      </c>
      <c r="C88" s="105" t="s">
        <v>284</v>
      </c>
      <c r="D88" s="57"/>
      <c r="E88" s="39"/>
      <c r="F88" s="39">
        <v>27.5</v>
      </c>
      <c r="G88" s="39">
        <v>24829.08</v>
      </c>
      <c r="H88" s="100">
        <f t="shared" si="11"/>
        <v>682.79970000000003</v>
      </c>
      <c r="I88" s="14">
        <f>G88*0.03</f>
        <v>744.87239999999997</v>
      </c>
    </row>
    <row r="89" spans="1:9" ht="32.25" customHeight="1">
      <c r="A89" s="31">
        <v>28</v>
      </c>
      <c r="B89" s="62" t="s">
        <v>91</v>
      </c>
      <c r="C89" s="66" t="s">
        <v>94</v>
      </c>
      <c r="D89" s="57"/>
      <c r="E89" s="39"/>
      <c r="F89" s="39">
        <v>5</v>
      </c>
      <c r="G89" s="39">
        <v>613.44000000000005</v>
      </c>
      <c r="H89" s="100">
        <f t="shared" si="11"/>
        <v>3.0672000000000001</v>
      </c>
      <c r="I89" s="14">
        <f>G89*3</f>
        <v>1840.3200000000002</v>
      </c>
    </row>
    <row r="90" spans="1:9" ht="15.75" customHeight="1">
      <c r="A90" s="31">
        <v>29</v>
      </c>
      <c r="B90" s="62" t="s">
        <v>285</v>
      </c>
      <c r="C90" s="66" t="s">
        <v>128</v>
      </c>
      <c r="D90" s="65"/>
      <c r="E90" s="39"/>
      <c r="F90" s="39">
        <f>60/3</f>
        <v>20</v>
      </c>
      <c r="G90" s="39">
        <v>38.67</v>
      </c>
      <c r="H90" s="100">
        <f t="shared" si="11"/>
        <v>0.77340000000000009</v>
      </c>
      <c r="I90" s="14">
        <f>G90*1</f>
        <v>38.67</v>
      </c>
    </row>
    <row r="91" spans="1:9" ht="15.75" customHeight="1">
      <c r="A91" s="31">
        <v>30</v>
      </c>
      <c r="B91" s="104" t="s">
        <v>185</v>
      </c>
      <c r="C91" s="105" t="s">
        <v>186</v>
      </c>
      <c r="D91" s="65"/>
      <c r="E91" s="39"/>
      <c r="F91" s="34">
        <v>2</v>
      </c>
      <c r="G91" s="39">
        <v>134.12</v>
      </c>
      <c r="H91" s="100">
        <f t="shared" si="11"/>
        <v>0.26824000000000003</v>
      </c>
      <c r="I91" s="14">
        <f>G91*40</f>
        <v>5364.8</v>
      </c>
    </row>
    <row r="92" spans="1:9" ht="16.5" customHeight="1">
      <c r="A92" s="31" t="s">
        <v>292</v>
      </c>
      <c r="B92" s="104" t="s">
        <v>104</v>
      </c>
      <c r="C92" s="105" t="s">
        <v>128</v>
      </c>
      <c r="D92" s="57"/>
      <c r="E92" s="39"/>
      <c r="F92" s="39">
        <v>9</v>
      </c>
      <c r="G92" s="40">
        <v>55.55</v>
      </c>
      <c r="H92" s="100">
        <f t="shared" si="11"/>
        <v>0.49995000000000001</v>
      </c>
      <c r="I92" s="14">
        <f>G92*121</f>
        <v>6721.5499999999993</v>
      </c>
    </row>
    <row r="93" spans="1:9" ht="31.5" customHeight="1">
      <c r="A93" s="31">
        <v>32</v>
      </c>
      <c r="B93" s="140" t="s">
        <v>170</v>
      </c>
      <c r="C93" s="141" t="s">
        <v>108</v>
      </c>
      <c r="D93" s="65"/>
      <c r="E93" s="39"/>
      <c r="F93" s="39">
        <v>2</v>
      </c>
      <c r="G93" s="39">
        <v>56.34</v>
      </c>
      <c r="H93" s="100">
        <f t="shared" ref="H93:H95" si="12">G93*F93/1000</f>
        <v>0.11268</v>
      </c>
      <c r="I93" s="14">
        <f>G93*1</f>
        <v>56.34</v>
      </c>
    </row>
    <row r="94" spans="1:9" ht="15.75" customHeight="1">
      <c r="A94" s="31">
        <v>33</v>
      </c>
      <c r="B94" s="62" t="s">
        <v>153</v>
      </c>
      <c r="C94" s="66" t="s">
        <v>81</v>
      </c>
      <c r="D94" s="18" t="s">
        <v>287</v>
      </c>
      <c r="E94" s="14"/>
      <c r="F94" s="14">
        <v>0.02</v>
      </c>
      <c r="G94" s="39">
        <v>1187</v>
      </c>
      <c r="H94" s="77">
        <f t="shared" si="12"/>
        <v>2.3740000000000001E-2</v>
      </c>
      <c r="I94" s="14">
        <f>G94*1</f>
        <v>1187</v>
      </c>
    </row>
    <row r="95" spans="1:9" ht="15.75" customHeight="1">
      <c r="A95" s="31">
        <v>34</v>
      </c>
      <c r="B95" s="62" t="s">
        <v>154</v>
      </c>
      <c r="C95" s="66" t="s">
        <v>81</v>
      </c>
      <c r="D95" s="43" t="s">
        <v>287</v>
      </c>
      <c r="E95" s="39"/>
      <c r="F95" s="39">
        <v>1</v>
      </c>
      <c r="G95" s="39">
        <v>1272</v>
      </c>
      <c r="H95" s="77">
        <f t="shared" si="12"/>
        <v>1.272</v>
      </c>
      <c r="I95" s="14">
        <f>G95*2</f>
        <v>2544</v>
      </c>
    </row>
    <row r="96" spans="1:9" ht="15.75" customHeight="1">
      <c r="A96" s="31">
        <v>35</v>
      </c>
      <c r="B96" s="104" t="s">
        <v>286</v>
      </c>
      <c r="C96" s="105" t="s">
        <v>81</v>
      </c>
      <c r="D96" s="18" t="s">
        <v>287</v>
      </c>
      <c r="E96" s="39"/>
      <c r="F96" s="39">
        <v>1</v>
      </c>
      <c r="G96" s="39">
        <v>922.49</v>
      </c>
      <c r="H96" s="100">
        <f>G96*F96/1000</f>
        <v>0.92249000000000003</v>
      </c>
      <c r="I96" s="14">
        <f>G96*2</f>
        <v>1844.98</v>
      </c>
    </row>
    <row r="97" spans="1:9" ht="15.75" customHeight="1">
      <c r="A97" s="31">
        <v>36</v>
      </c>
      <c r="B97" s="62" t="s">
        <v>228</v>
      </c>
      <c r="C97" s="66" t="s">
        <v>128</v>
      </c>
      <c r="D97" s="57"/>
      <c r="E97" s="39"/>
      <c r="F97" s="39"/>
      <c r="G97" s="39">
        <v>151.31</v>
      </c>
      <c r="H97" s="100"/>
      <c r="I97" s="14">
        <f>G97*2</f>
        <v>302.62</v>
      </c>
    </row>
    <row r="98" spans="1:9" ht="15.75" customHeight="1">
      <c r="A98" s="31">
        <v>37</v>
      </c>
      <c r="B98" s="62" t="s">
        <v>288</v>
      </c>
      <c r="C98" s="66" t="s">
        <v>128</v>
      </c>
      <c r="D98" s="57"/>
      <c r="E98" s="39"/>
      <c r="F98" s="39"/>
      <c r="G98" s="39">
        <v>196.01</v>
      </c>
      <c r="H98" s="100"/>
      <c r="I98" s="14">
        <f>G98*2</f>
        <v>392.02</v>
      </c>
    </row>
    <row r="99" spans="1:9" ht="15.75" customHeight="1">
      <c r="A99" s="31">
        <v>38</v>
      </c>
      <c r="B99" s="62" t="s">
        <v>289</v>
      </c>
      <c r="C99" s="66" t="s">
        <v>128</v>
      </c>
      <c r="D99" s="57"/>
      <c r="E99" s="39"/>
      <c r="F99" s="39"/>
      <c r="G99" s="39">
        <v>14.36</v>
      </c>
      <c r="H99" s="100"/>
      <c r="I99" s="14">
        <f>G99*2</f>
        <v>28.72</v>
      </c>
    </row>
    <row r="100" spans="1:9" ht="15.75" customHeight="1">
      <c r="A100" s="31">
        <v>39</v>
      </c>
      <c r="B100" s="62" t="s">
        <v>290</v>
      </c>
      <c r="C100" s="66" t="s">
        <v>128</v>
      </c>
      <c r="D100" s="57"/>
      <c r="E100" s="39"/>
      <c r="F100" s="39"/>
      <c r="G100" s="39">
        <v>20.350000000000001</v>
      </c>
      <c r="H100" s="100"/>
      <c r="I100" s="14">
        <f>G100*1</f>
        <v>20.350000000000001</v>
      </c>
    </row>
    <row r="101" spans="1:9" ht="15.75" customHeight="1">
      <c r="A101" s="31">
        <v>40</v>
      </c>
      <c r="B101" s="62" t="s">
        <v>291</v>
      </c>
      <c r="C101" s="66" t="s">
        <v>128</v>
      </c>
      <c r="D101" s="57"/>
      <c r="E101" s="39"/>
      <c r="F101" s="39"/>
      <c r="G101" s="39">
        <v>8.44</v>
      </c>
      <c r="H101" s="100"/>
      <c r="I101" s="14">
        <f>G101*2</f>
        <v>16.88</v>
      </c>
    </row>
    <row r="102" spans="1:9" ht="30" customHeight="1">
      <c r="A102" s="31">
        <v>41</v>
      </c>
      <c r="B102" s="62" t="s">
        <v>151</v>
      </c>
      <c r="C102" s="66" t="s">
        <v>37</v>
      </c>
      <c r="D102" s="57"/>
      <c r="E102" s="39"/>
      <c r="F102" s="39"/>
      <c r="G102" s="39">
        <v>3724.37</v>
      </c>
      <c r="H102" s="100"/>
      <c r="I102" s="14">
        <f>G102*0.01</f>
        <v>37.243699999999997</v>
      </c>
    </row>
    <row r="103" spans="1:9" ht="15.75" customHeight="1">
      <c r="A103" s="31">
        <v>42</v>
      </c>
      <c r="B103" s="104" t="s">
        <v>82</v>
      </c>
      <c r="C103" s="105" t="s">
        <v>128</v>
      </c>
      <c r="D103" s="57"/>
      <c r="E103" s="39"/>
      <c r="F103" s="39"/>
      <c r="G103" s="39">
        <v>197.48</v>
      </c>
      <c r="H103" s="100"/>
      <c r="I103" s="14">
        <f>G103*1</f>
        <v>197.48</v>
      </c>
    </row>
    <row r="104" spans="1:9" ht="15.75" customHeight="1">
      <c r="A104" s="31"/>
      <c r="B104" s="51" t="s">
        <v>51</v>
      </c>
      <c r="C104" s="47"/>
      <c r="D104" s="60"/>
      <c r="E104" s="60"/>
      <c r="F104" s="47">
        <v>1</v>
      </c>
      <c r="G104" s="47"/>
      <c r="H104" s="47"/>
      <c r="I104" s="33">
        <f>I103+I102+I101+I100+I99+I98+I97+I96+I95+I94+I93+I91+I90+I89+I88+I87+I86+I85</f>
        <v>27393.901100000003</v>
      </c>
    </row>
    <row r="105" spans="1:9" ht="15.75" customHeight="1">
      <c r="A105" s="31"/>
      <c r="B105" s="57" t="s">
        <v>78</v>
      </c>
      <c r="C105" s="17"/>
      <c r="D105" s="17"/>
      <c r="E105" s="17"/>
      <c r="F105" s="48"/>
      <c r="G105" s="49"/>
      <c r="H105" s="49"/>
      <c r="I105" s="19">
        <v>0</v>
      </c>
    </row>
    <row r="106" spans="1:9" ht="15.75" customHeight="1">
      <c r="A106" s="61"/>
      <c r="B106" s="52" t="s">
        <v>162</v>
      </c>
      <c r="C106" s="37"/>
      <c r="D106" s="37"/>
      <c r="E106" s="37"/>
      <c r="F106" s="37"/>
      <c r="G106" s="37"/>
      <c r="H106" s="37"/>
      <c r="I106" s="50">
        <f>I83+I104</f>
        <v>120989.18311480002</v>
      </c>
    </row>
    <row r="107" spans="1:9" ht="15.75" customHeight="1">
      <c r="A107" s="166" t="s">
        <v>293</v>
      </c>
      <c r="B107" s="167"/>
      <c r="C107" s="167"/>
      <c r="D107" s="167"/>
      <c r="E107" s="167"/>
      <c r="F107" s="167"/>
      <c r="G107" s="167"/>
      <c r="H107" s="167"/>
      <c r="I107" s="167"/>
    </row>
    <row r="108" spans="1:9" ht="15.75" customHeight="1">
      <c r="A108" s="168" t="s">
        <v>294</v>
      </c>
      <c r="B108" s="168"/>
      <c r="C108" s="168"/>
      <c r="D108" s="168"/>
      <c r="E108" s="168"/>
      <c r="F108" s="168"/>
      <c r="G108" s="168"/>
      <c r="H108" s="168"/>
      <c r="I108" s="168"/>
    </row>
    <row r="109" spans="1:9" ht="15.75" customHeight="1">
      <c r="A109" s="76"/>
      <c r="B109" s="158" t="s">
        <v>295</v>
      </c>
      <c r="C109" s="158"/>
      <c r="D109" s="158"/>
      <c r="E109" s="158"/>
      <c r="F109" s="158"/>
      <c r="G109" s="158"/>
      <c r="H109" s="79"/>
      <c r="I109" s="3"/>
    </row>
    <row r="110" spans="1:9" ht="15.75" customHeight="1">
      <c r="A110" s="71"/>
      <c r="B110" s="154" t="s">
        <v>6</v>
      </c>
      <c r="C110" s="154"/>
      <c r="D110" s="154"/>
      <c r="E110" s="154"/>
      <c r="F110" s="154"/>
      <c r="G110" s="154"/>
      <c r="H110" s="26"/>
      <c r="I110" s="5"/>
    </row>
    <row r="111" spans="1:9" ht="15.75" customHeight="1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 customHeight="1">
      <c r="A112" s="159" t="s">
        <v>7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5.75" customHeight="1">
      <c r="A113" s="159" t="s">
        <v>8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.75" customHeight="1">
      <c r="A114" s="160" t="s">
        <v>61</v>
      </c>
      <c r="B114" s="160"/>
      <c r="C114" s="160"/>
      <c r="D114" s="160"/>
      <c r="E114" s="160"/>
      <c r="F114" s="160"/>
      <c r="G114" s="160"/>
      <c r="H114" s="160"/>
      <c r="I114" s="160"/>
    </row>
    <row r="115" spans="1:9" ht="15.75" customHeight="1">
      <c r="A115" s="11"/>
    </row>
    <row r="116" spans="1:9" ht="15.75" customHeight="1">
      <c r="A116" s="161" t="s">
        <v>9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15.75" customHeight="1">
      <c r="A117" s="4"/>
    </row>
    <row r="118" spans="1:9" ht="15.75" customHeight="1">
      <c r="B118" s="70" t="s">
        <v>10</v>
      </c>
      <c r="C118" s="153" t="s">
        <v>92</v>
      </c>
      <c r="D118" s="153"/>
      <c r="E118" s="153"/>
      <c r="F118" s="153"/>
      <c r="I118" s="73"/>
    </row>
    <row r="119" spans="1:9" ht="15.75" customHeight="1">
      <c r="A119" s="71"/>
      <c r="C119" s="154" t="s">
        <v>11</v>
      </c>
      <c r="D119" s="154"/>
      <c r="E119" s="154"/>
      <c r="F119" s="154"/>
      <c r="I119" s="72" t="s">
        <v>12</v>
      </c>
    </row>
    <row r="120" spans="1:9" ht="15.75" customHeight="1">
      <c r="A120" s="27"/>
      <c r="C120" s="12"/>
      <c r="D120" s="12"/>
      <c r="E120" s="12"/>
      <c r="G120" s="12"/>
      <c r="H120" s="12"/>
    </row>
    <row r="121" spans="1:9" ht="15.75" customHeight="1">
      <c r="B121" s="70" t="s">
        <v>13</v>
      </c>
      <c r="C121" s="155"/>
      <c r="D121" s="155"/>
      <c r="E121" s="155"/>
      <c r="F121" s="155"/>
      <c r="I121" s="73"/>
    </row>
    <row r="122" spans="1:9" ht="15.75" customHeight="1">
      <c r="A122" s="71"/>
      <c r="C122" s="156" t="s">
        <v>11</v>
      </c>
      <c r="D122" s="156"/>
      <c r="E122" s="156"/>
      <c r="F122" s="156"/>
      <c r="I122" s="72" t="s">
        <v>12</v>
      </c>
    </row>
    <row r="123" spans="1:9" ht="15.75" customHeight="1">
      <c r="A123" s="4" t="s">
        <v>14</v>
      </c>
    </row>
    <row r="124" spans="1:9">
      <c r="A124" s="157" t="s">
        <v>15</v>
      </c>
      <c r="B124" s="157"/>
      <c r="C124" s="157"/>
      <c r="D124" s="157"/>
      <c r="E124" s="157"/>
      <c r="F124" s="157"/>
      <c r="G124" s="157"/>
      <c r="H124" s="157"/>
      <c r="I124" s="157"/>
    </row>
    <row r="125" spans="1:9" ht="45" customHeight="1">
      <c r="A125" s="146" t="s">
        <v>16</v>
      </c>
      <c r="B125" s="146"/>
      <c r="C125" s="146"/>
      <c r="D125" s="146"/>
      <c r="E125" s="146"/>
      <c r="F125" s="146"/>
      <c r="G125" s="146"/>
      <c r="H125" s="146"/>
      <c r="I125" s="146"/>
    </row>
    <row r="126" spans="1:9" ht="30" customHeight="1">
      <c r="A126" s="146" t="s">
        <v>17</v>
      </c>
      <c r="B126" s="146"/>
      <c r="C126" s="146"/>
      <c r="D126" s="146"/>
      <c r="E126" s="146"/>
      <c r="F126" s="146"/>
      <c r="G126" s="146"/>
      <c r="H126" s="146"/>
      <c r="I126" s="146"/>
    </row>
    <row r="127" spans="1:9" ht="30" customHeight="1">
      <c r="A127" s="146" t="s">
        <v>21</v>
      </c>
      <c r="B127" s="146"/>
      <c r="C127" s="146"/>
      <c r="D127" s="146"/>
      <c r="E127" s="146"/>
      <c r="F127" s="146"/>
      <c r="G127" s="146"/>
      <c r="H127" s="146"/>
      <c r="I127" s="146"/>
    </row>
    <row r="128" spans="1:9" ht="15" customHeight="1">
      <c r="A128" s="146" t="s">
        <v>20</v>
      </c>
      <c r="B128" s="146"/>
      <c r="C128" s="146"/>
      <c r="D128" s="146"/>
      <c r="E128" s="146"/>
      <c r="F128" s="146"/>
      <c r="G128" s="146"/>
      <c r="H128" s="146"/>
      <c r="I128" s="146"/>
    </row>
  </sheetData>
  <autoFilter ref="I12:I71"/>
  <mergeCells count="30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6:U76"/>
    <mergeCell ref="C122:F122"/>
    <mergeCell ref="A84:I84"/>
    <mergeCell ref="A108:I108"/>
    <mergeCell ref="B109:G109"/>
    <mergeCell ref="B110:G110"/>
    <mergeCell ref="A112:I112"/>
    <mergeCell ref="A113:I113"/>
    <mergeCell ref="A114:I114"/>
    <mergeCell ref="A116:I116"/>
    <mergeCell ref="C118:F118"/>
    <mergeCell ref="C119:F119"/>
    <mergeCell ref="C121:F121"/>
    <mergeCell ref="A80:I80"/>
    <mergeCell ref="A107:I107"/>
    <mergeCell ref="A124:I124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11.17</vt:lpstr>
      <vt:lpstr>12.18</vt:lpstr>
      <vt:lpstr>'05.18'!Заголовки_для_печати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'11.17'!Область_печати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2018-03-23T06:39:45Z</cp:lastPrinted>
  <dcterms:created xsi:type="dcterms:W3CDTF">2016-03-25T08:33:47Z</dcterms:created>
  <dcterms:modified xsi:type="dcterms:W3CDTF">2019-01-14T07:57:20Z</dcterms:modified>
</cp:coreProperties>
</file>