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585" yWindow="-30" windowWidth="15555" windowHeight="8145" activeTab="11"/>
  </bookViews>
  <sheets>
    <sheet name="01.17" sheetId="28" r:id="rId1"/>
    <sheet name="02.17" sheetId="29" r:id="rId2"/>
    <sheet name="03.17" sheetId="30" r:id="rId3"/>
    <sheet name="04.17" sheetId="31" r:id="rId4"/>
    <sheet name="05.17" sheetId="32" r:id="rId5"/>
    <sheet name="06.17" sheetId="33" r:id="rId6"/>
    <sheet name="07.17" sheetId="34" r:id="rId7"/>
    <sheet name="08.17" sheetId="35" r:id="rId8"/>
    <sheet name="09.17" sheetId="36" r:id="rId9"/>
    <sheet name="10.17" sheetId="37" r:id="rId10"/>
    <sheet name="11.17" sheetId="38" r:id="rId11"/>
    <sheet name="12.17" sheetId="39" r:id="rId12"/>
  </sheets>
  <definedNames>
    <definedName name="_xlnm._FilterDatabase" localSheetId="0" hidden="1">'01.17'!$I$15:$I$96</definedName>
    <definedName name="_xlnm._FilterDatabase" localSheetId="1" hidden="1">'02.17'!$I$15:$I$97</definedName>
    <definedName name="_xlnm._FilterDatabase" localSheetId="2" hidden="1">'03.17'!$I$15:$I$92</definedName>
    <definedName name="_xlnm._FilterDatabase" localSheetId="3" hidden="1">'04.17'!$I$15:$I$92</definedName>
    <definedName name="_xlnm._FilterDatabase" localSheetId="4" hidden="1">'05.17'!$I$15:$I$97</definedName>
    <definedName name="_xlnm._FilterDatabase" localSheetId="5" hidden="1">'06.17'!$I$15:$I$92</definedName>
    <definedName name="_xlnm._FilterDatabase" localSheetId="6" hidden="1">'07.17'!$I$15:$I$91</definedName>
    <definedName name="_xlnm._FilterDatabase" localSheetId="7" hidden="1">'08.17'!$I$15:$I$91</definedName>
    <definedName name="_xlnm._FilterDatabase" localSheetId="8" hidden="1">'09.17'!$I$15:$I$95</definedName>
    <definedName name="_xlnm._FilterDatabase" localSheetId="9" hidden="1">'10.17'!$I$15:$I$92</definedName>
    <definedName name="_xlnm._FilterDatabase" localSheetId="10" hidden="1">'11.17'!$I$15:$I$96</definedName>
    <definedName name="_xlnm._FilterDatabase" localSheetId="11" hidden="1">'12.17'!$I$15:$I$93</definedName>
    <definedName name="_xlnm.Print_Area" localSheetId="0">'01.17'!$A$1:$I$115</definedName>
    <definedName name="_xlnm.Print_Area" localSheetId="1">'02.17'!$A$1:$I$116</definedName>
    <definedName name="_xlnm.Print_Area" localSheetId="2">'03.17'!$A$1:$I$111</definedName>
    <definedName name="_xlnm.Print_Area" localSheetId="3">'04.17'!$A$1:$I$111</definedName>
    <definedName name="_xlnm.Print_Area" localSheetId="4">'05.17'!$A$1:$I$116</definedName>
    <definedName name="_xlnm.Print_Area" localSheetId="5">'06.17'!$A$1:$I$111</definedName>
    <definedName name="_xlnm.Print_Area" localSheetId="6">'07.17'!$A$1:$I$110</definedName>
    <definedName name="_xlnm.Print_Area" localSheetId="7">'08.17'!$A$1:$I$110</definedName>
    <definedName name="_xlnm.Print_Area" localSheetId="8">'09.17'!$A$1:$I$114</definedName>
    <definedName name="_xlnm.Print_Area" localSheetId="9">'10.17'!$A$1:$I$111</definedName>
    <definedName name="_xlnm.Print_Area" localSheetId="10">'11.17'!$A$1:$I$115</definedName>
    <definedName name="_xlnm.Print_Area" localSheetId="11">'12.17'!$A$1:$I$112</definedName>
  </definedNames>
  <calcPr calcId="124519"/>
</workbook>
</file>

<file path=xl/calcChain.xml><?xml version="1.0" encoding="utf-8"?>
<calcChain xmlns="http://schemas.openxmlformats.org/spreadsheetml/2006/main">
  <c r="I88" i="39"/>
  <c r="I89" s="1"/>
  <c r="F88"/>
  <c r="H88" s="1"/>
  <c r="I84"/>
  <c r="I84" i="38"/>
  <c r="I86" i="35"/>
  <c r="I88" i="33"/>
  <c r="I87"/>
  <c r="H87"/>
  <c r="F87"/>
  <c r="I42" i="31"/>
  <c r="I42" i="30"/>
  <c r="I84" i="29"/>
  <c r="I84" i="28" l="1"/>
  <c r="I86" i="36" l="1"/>
  <c r="I87" i="39" l="1"/>
  <c r="I86"/>
  <c r="F87"/>
  <c r="H87" s="1"/>
  <c r="H86"/>
  <c r="F83"/>
  <c r="I83" s="1"/>
  <c r="F82"/>
  <c r="H82" s="1"/>
  <c r="H80"/>
  <c r="H78"/>
  <c r="H77"/>
  <c r="I76"/>
  <c r="H76"/>
  <c r="H75"/>
  <c r="F74"/>
  <c r="H74" s="1"/>
  <c r="I72"/>
  <c r="H72"/>
  <c r="F70"/>
  <c r="I70" s="1"/>
  <c r="I69"/>
  <c r="F69"/>
  <c r="H69" s="1"/>
  <c r="F68"/>
  <c r="I68" s="1"/>
  <c r="F67"/>
  <c r="H67" s="1"/>
  <c r="F66"/>
  <c r="I66" s="1"/>
  <c r="F65"/>
  <c r="H65" s="1"/>
  <c r="F64"/>
  <c r="I64" s="1"/>
  <c r="F63"/>
  <c r="H63" s="1"/>
  <c r="I62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H38" s="1"/>
  <c r="I37"/>
  <c r="H37"/>
  <c r="H35"/>
  <c r="H34"/>
  <c r="F33"/>
  <c r="I33" s="1"/>
  <c r="E33"/>
  <c r="F32"/>
  <c r="I32" s="1"/>
  <c r="F31"/>
  <c r="H31" s="1"/>
  <c r="F30"/>
  <c r="I30" s="1"/>
  <c r="F27"/>
  <c r="I27" s="1"/>
  <c r="F26"/>
  <c r="I26" s="1"/>
  <c r="F25"/>
  <c r="I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2" i="38"/>
  <c r="I91"/>
  <c r="I90"/>
  <c r="I89"/>
  <c r="I88"/>
  <c r="F91"/>
  <c r="H91" s="1"/>
  <c r="H90"/>
  <c r="F89"/>
  <c r="H89" s="1"/>
  <c r="F88"/>
  <c r="H88" s="1"/>
  <c r="I87"/>
  <c r="F87"/>
  <c r="H87" s="1"/>
  <c r="I86"/>
  <c r="H86"/>
  <c r="I62"/>
  <c r="H83"/>
  <c r="F83"/>
  <c r="I83" s="1"/>
  <c r="F82"/>
  <c r="I82" s="1"/>
  <c r="H80"/>
  <c r="H78"/>
  <c r="H77"/>
  <c r="I76"/>
  <c r="H76"/>
  <c r="H75"/>
  <c r="F74"/>
  <c r="H74" s="1"/>
  <c r="I72"/>
  <c r="H72"/>
  <c r="F70"/>
  <c r="H70" s="1"/>
  <c r="I69"/>
  <c r="F69"/>
  <c r="H69" s="1"/>
  <c r="F68"/>
  <c r="H68" s="1"/>
  <c r="F67"/>
  <c r="I67" s="1"/>
  <c r="F66"/>
  <c r="H66" s="1"/>
  <c r="F65"/>
  <c r="I65" s="1"/>
  <c r="F64"/>
  <c r="H64" s="1"/>
  <c r="F63"/>
  <c r="H63" s="1"/>
  <c r="F62"/>
  <c r="H62" s="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7" i="37"/>
  <c r="I86"/>
  <c r="H87"/>
  <c r="F86"/>
  <c r="H86" s="1"/>
  <c r="I62"/>
  <c r="H25" i="39" l="1"/>
  <c r="H27"/>
  <c r="I18"/>
  <c r="H18"/>
  <c r="I16"/>
  <c r="H17"/>
  <c r="I19"/>
  <c r="H20"/>
  <c r="I21"/>
  <c r="H22"/>
  <c r="I23"/>
  <c r="H24"/>
  <c r="H26"/>
  <c r="H30"/>
  <c r="I31"/>
  <c r="H32"/>
  <c r="H33"/>
  <c r="I38"/>
  <c r="H40"/>
  <c r="I41"/>
  <c r="H42"/>
  <c r="I45"/>
  <c r="H46"/>
  <c r="I47"/>
  <c r="H48"/>
  <c r="I49"/>
  <c r="H50"/>
  <c r="I51"/>
  <c r="H57"/>
  <c r="H64"/>
  <c r="I65"/>
  <c r="H66"/>
  <c r="I67"/>
  <c r="H68"/>
  <c r="H70"/>
  <c r="I82"/>
  <c r="H83"/>
  <c r="H18" i="38"/>
  <c r="I18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I42"/>
  <c r="H45"/>
  <c r="I46"/>
  <c r="H47"/>
  <c r="I48"/>
  <c r="H49"/>
  <c r="I50"/>
  <c r="H51"/>
  <c r="I57"/>
  <c r="I64"/>
  <c r="H65"/>
  <c r="I66"/>
  <c r="H67"/>
  <c r="I68"/>
  <c r="I70"/>
  <c r="H82"/>
  <c r="I91" i="39" l="1"/>
  <c r="I94" i="38"/>
  <c r="F83" i="37" l="1"/>
  <c r="H83" s="1"/>
  <c r="F82"/>
  <c r="I82" s="1"/>
  <c r="H80"/>
  <c r="H78"/>
  <c r="H77"/>
  <c r="I76"/>
  <c r="H76"/>
  <c r="H75"/>
  <c r="F74"/>
  <c r="H74" s="1"/>
  <c r="I72"/>
  <c r="H72"/>
  <c r="F70"/>
  <c r="H70" s="1"/>
  <c r="I69"/>
  <c r="F69"/>
  <c r="H69" s="1"/>
  <c r="F68"/>
  <c r="H68" s="1"/>
  <c r="F67"/>
  <c r="I67" s="1"/>
  <c r="F66"/>
  <c r="H66" s="1"/>
  <c r="F65"/>
  <c r="I65" s="1"/>
  <c r="F64"/>
  <c r="H64" s="1"/>
  <c r="F63"/>
  <c r="H63" s="1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H38" s="1"/>
  <c r="I37"/>
  <c r="H37"/>
  <c r="H35"/>
  <c r="H34"/>
  <c r="F33"/>
  <c r="I33" s="1"/>
  <c r="E33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0" i="36"/>
  <c r="I89"/>
  <c r="H90"/>
  <c r="H89"/>
  <c r="I88"/>
  <c r="I87"/>
  <c r="I91"/>
  <c r="H88"/>
  <c r="H87"/>
  <c r="F86"/>
  <c r="H86" s="1"/>
  <c r="I69"/>
  <c r="F83"/>
  <c r="H83" s="1"/>
  <c r="F82"/>
  <c r="I82" s="1"/>
  <c r="H80"/>
  <c r="H78"/>
  <c r="H77"/>
  <c r="I76"/>
  <c r="H76"/>
  <c r="H75"/>
  <c r="F74"/>
  <c r="H74" s="1"/>
  <c r="I72"/>
  <c r="H72"/>
  <c r="F70"/>
  <c r="H70" s="1"/>
  <c r="F69"/>
  <c r="F68"/>
  <c r="H68" s="1"/>
  <c r="F67"/>
  <c r="I67" s="1"/>
  <c r="F66"/>
  <c r="H66" s="1"/>
  <c r="F65"/>
  <c r="I65" s="1"/>
  <c r="F64"/>
  <c r="H64" s="1"/>
  <c r="F63"/>
  <c r="H63" s="1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H38" s="1"/>
  <c r="I37"/>
  <c r="H37"/>
  <c r="H35"/>
  <c r="H34"/>
  <c r="F33"/>
  <c r="I33" s="1"/>
  <c r="E33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7" i="35"/>
  <c r="H86"/>
  <c r="F86"/>
  <c r="I84"/>
  <c r="F83"/>
  <c r="H83" s="1"/>
  <c r="F82"/>
  <c r="I82" s="1"/>
  <c r="H80"/>
  <c r="H78"/>
  <c r="H77"/>
  <c r="I76"/>
  <c r="H76"/>
  <c r="H75"/>
  <c r="F74"/>
  <c r="H74" s="1"/>
  <c r="I72"/>
  <c r="H72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H42"/>
  <c r="F42"/>
  <c r="I42" s="1"/>
  <c r="F41"/>
  <c r="H41" s="1"/>
  <c r="H40"/>
  <c r="F40"/>
  <c r="I40" s="1"/>
  <c r="I39"/>
  <c r="H39"/>
  <c r="F38"/>
  <c r="H38" s="1"/>
  <c r="I37"/>
  <c r="H37"/>
  <c r="H35"/>
  <c r="H34"/>
  <c r="F33"/>
  <c r="I33" s="1"/>
  <c r="E33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I86" i="34"/>
  <c r="F86"/>
  <c r="H86" s="1"/>
  <c r="I84"/>
  <c r="I84" i="33"/>
  <c r="I87" i="34"/>
  <c r="F83"/>
  <c r="I83" s="1"/>
  <c r="F82"/>
  <c r="H82" s="1"/>
  <c r="H80"/>
  <c r="H78"/>
  <c r="H77"/>
  <c r="I76"/>
  <c r="H76"/>
  <c r="H75"/>
  <c r="F74"/>
  <c r="H74" s="1"/>
  <c r="I72"/>
  <c r="H72"/>
  <c r="F70"/>
  <c r="I70" s="1"/>
  <c r="F69"/>
  <c r="H69" s="1"/>
  <c r="F68"/>
  <c r="I68" s="1"/>
  <c r="F67"/>
  <c r="H67" s="1"/>
  <c r="H66"/>
  <c r="F66"/>
  <c r="I66" s="1"/>
  <c r="F65"/>
  <c r="H65" s="1"/>
  <c r="F64"/>
  <c r="I64" s="1"/>
  <c r="F63"/>
  <c r="H63" s="1"/>
  <c r="F62"/>
  <c r="H62" s="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6" i="33"/>
  <c r="H86"/>
  <c r="F83"/>
  <c r="I83" s="1"/>
  <c r="F82"/>
  <c r="H82" s="1"/>
  <c r="H80"/>
  <c r="H78"/>
  <c r="H77"/>
  <c r="I76"/>
  <c r="H76"/>
  <c r="H75"/>
  <c r="F74"/>
  <c r="H74" s="1"/>
  <c r="I72"/>
  <c r="H72"/>
  <c r="F70"/>
  <c r="I70" s="1"/>
  <c r="F69"/>
  <c r="H69" s="1"/>
  <c r="F68"/>
  <c r="I68" s="1"/>
  <c r="F67"/>
  <c r="H67" s="1"/>
  <c r="F66"/>
  <c r="I66" s="1"/>
  <c r="F65"/>
  <c r="H65" s="1"/>
  <c r="F64"/>
  <c r="I64" s="1"/>
  <c r="F63"/>
  <c r="H63" s="1"/>
  <c r="F62"/>
  <c r="H62" s="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3" i="32"/>
  <c r="I92"/>
  <c r="I91"/>
  <c r="I90"/>
  <c r="I89"/>
  <c r="I88"/>
  <c r="I87"/>
  <c r="F92"/>
  <c r="H92" s="1"/>
  <c r="F91"/>
  <c r="H91" s="1"/>
  <c r="H90"/>
  <c r="H89"/>
  <c r="F88"/>
  <c r="H88" s="1"/>
  <c r="F87"/>
  <c r="H87" s="1"/>
  <c r="I86"/>
  <c r="H86"/>
  <c r="I72"/>
  <c r="I65"/>
  <c r="I66"/>
  <c r="I67"/>
  <c r="I68"/>
  <c r="I69"/>
  <c r="I64"/>
  <c r="I58"/>
  <c r="I45"/>
  <c r="I46"/>
  <c r="I47"/>
  <c r="I48"/>
  <c r="I32"/>
  <c r="I31"/>
  <c r="I33"/>
  <c r="I30"/>
  <c r="F33"/>
  <c r="H33" s="1"/>
  <c r="E33"/>
  <c r="F32"/>
  <c r="H32" s="1"/>
  <c r="F31"/>
  <c r="H31" s="1"/>
  <c r="F30"/>
  <c r="H30" s="1"/>
  <c r="I23"/>
  <c r="I24"/>
  <c r="I25"/>
  <c r="I22"/>
  <c r="I20"/>
  <c r="I84" s="1"/>
  <c r="I21"/>
  <c r="I19"/>
  <c r="F27"/>
  <c r="H27" s="1"/>
  <c r="H26"/>
  <c r="F26"/>
  <c r="I26" s="1"/>
  <c r="H25"/>
  <c r="F25"/>
  <c r="H24"/>
  <c r="F24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F27" i="31"/>
  <c r="H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F27" i="30"/>
  <c r="H27" s="1"/>
  <c r="H26"/>
  <c r="F26"/>
  <c r="I26" s="1"/>
  <c r="H25"/>
  <c r="F25"/>
  <c r="H24"/>
  <c r="F24"/>
  <c r="H23"/>
  <c r="F23"/>
  <c r="H22"/>
  <c r="F22"/>
  <c r="H21"/>
  <c r="F21"/>
  <c r="H20"/>
  <c r="F20"/>
  <c r="H19"/>
  <c r="F19"/>
  <c r="F18"/>
  <c r="H18" s="1"/>
  <c r="E18"/>
  <c r="F17"/>
  <c r="H17" s="1"/>
  <c r="H16"/>
  <c r="F16"/>
  <c r="I16" s="1"/>
  <c r="F27" i="29"/>
  <c r="H27" s="1"/>
  <c r="H26"/>
  <c r="F26"/>
  <c r="I26" s="1"/>
  <c r="H25"/>
  <c r="F25"/>
  <c r="H24"/>
  <c r="F24"/>
  <c r="H23"/>
  <c r="F23"/>
  <c r="H22"/>
  <c r="F22"/>
  <c r="H21"/>
  <c r="F21"/>
  <c r="F20"/>
  <c r="H20" s="1"/>
  <c r="F19"/>
  <c r="H19" s="1"/>
  <c r="E18"/>
  <c r="F18" s="1"/>
  <c r="H17"/>
  <c r="F17"/>
  <c r="I17" s="1"/>
  <c r="F16"/>
  <c r="I16" s="1"/>
  <c r="F27" i="28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H83" i="32"/>
  <c r="F83"/>
  <c r="I83" s="1"/>
  <c r="F82"/>
  <c r="I82" s="1"/>
  <c r="H80"/>
  <c r="H78"/>
  <c r="H77"/>
  <c r="I76"/>
  <c r="H76"/>
  <c r="H75"/>
  <c r="F74"/>
  <c r="H74" s="1"/>
  <c r="H72"/>
  <c r="F70"/>
  <c r="I70" s="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H58"/>
  <c r="F57"/>
  <c r="I57" s="1"/>
  <c r="I54"/>
  <c r="F54"/>
  <c r="H54" s="1"/>
  <c r="I53"/>
  <c r="H53"/>
  <c r="F53"/>
  <c r="I52"/>
  <c r="H52"/>
  <c r="F51"/>
  <c r="I51" s="1"/>
  <c r="F50"/>
  <c r="I50" s="1"/>
  <c r="F49"/>
  <c r="I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I39"/>
  <c r="H39"/>
  <c r="F38"/>
  <c r="I38" s="1"/>
  <c r="I37"/>
  <c r="H37"/>
  <c r="H35"/>
  <c r="H34"/>
  <c r="I87" i="31"/>
  <c r="H87"/>
  <c r="I86"/>
  <c r="I39"/>
  <c r="I88"/>
  <c r="F86"/>
  <c r="H86" s="1"/>
  <c r="F83"/>
  <c r="H83" s="1"/>
  <c r="H82"/>
  <c r="F82"/>
  <c r="I82" s="1"/>
  <c r="H80"/>
  <c r="H78"/>
  <c r="H77"/>
  <c r="I76"/>
  <c r="H76"/>
  <c r="H75"/>
  <c r="H74"/>
  <c r="F74"/>
  <c r="H72"/>
  <c r="H70"/>
  <c r="F70"/>
  <c r="I70" s="1"/>
  <c r="H69"/>
  <c r="F69"/>
  <c r="H68"/>
  <c r="F68"/>
  <c r="H67"/>
  <c r="F67"/>
  <c r="H66"/>
  <c r="F66"/>
  <c r="H65"/>
  <c r="F65"/>
  <c r="H64"/>
  <c r="F64"/>
  <c r="H63"/>
  <c r="F63"/>
  <c r="H62"/>
  <c r="F62"/>
  <c r="H60"/>
  <c r="F60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F32"/>
  <c r="H32" s="1"/>
  <c r="I87" i="30"/>
  <c r="H87"/>
  <c r="I86"/>
  <c r="F86"/>
  <c r="H86" s="1"/>
  <c r="I52"/>
  <c r="I88"/>
  <c r="F83"/>
  <c r="I83" s="1"/>
  <c r="F82"/>
  <c r="H82" s="1"/>
  <c r="H80"/>
  <c r="H78"/>
  <c r="H77"/>
  <c r="I76"/>
  <c r="H76"/>
  <c r="H75"/>
  <c r="F74"/>
  <c r="H74" s="1"/>
  <c r="H72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I58"/>
  <c r="H58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F32"/>
  <c r="H32" s="1"/>
  <c r="I92" i="29"/>
  <c r="I88"/>
  <c r="I89"/>
  <c r="I90"/>
  <c r="I91"/>
  <c r="I86"/>
  <c r="I93"/>
  <c r="H92"/>
  <c r="F92"/>
  <c r="H91"/>
  <c r="F91"/>
  <c r="H90"/>
  <c r="H89"/>
  <c r="H88"/>
  <c r="H87"/>
  <c r="H86"/>
  <c r="I87"/>
  <c r="H83"/>
  <c r="F83"/>
  <c r="I83" s="1"/>
  <c r="F82"/>
  <c r="I82" s="1"/>
  <c r="H80"/>
  <c r="H78"/>
  <c r="H77"/>
  <c r="I76"/>
  <c r="H76"/>
  <c r="H75"/>
  <c r="F74"/>
  <c r="H74" s="1"/>
  <c r="H72"/>
  <c r="F70"/>
  <c r="I70" s="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I58"/>
  <c r="H58"/>
  <c r="F57"/>
  <c r="H57" s="1"/>
  <c r="I54"/>
  <c r="F54"/>
  <c r="H54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H35"/>
  <c r="H34"/>
  <c r="F32"/>
  <c r="H32" s="1"/>
  <c r="I91" i="28"/>
  <c r="H91"/>
  <c r="I90"/>
  <c r="H90"/>
  <c r="I89"/>
  <c r="H89"/>
  <c r="I88"/>
  <c r="H88"/>
  <c r="I87"/>
  <c r="H87"/>
  <c r="I86"/>
  <c r="I92" s="1"/>
  <c r="F86"/>
  <c r="H86" s="1"/>
  <c r="F83"/>
  <c r="F82"/>
  <c r="H82" s="1"/>
  <c r="H80"/>
  <c r="H78"/>
  <c r="H77"/>
  <c r="I76"/>
  <c r="H76"/>
  <c r="H75"/>
  <c r="F74"/>
  <c r="H74" s="1"/>
  <c r="H72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I58"/>
  <c r="H58"/>
  <c r="F57"/>
  <c r="H57" s="1"/>
  <c r="I54"/>
  <c r="F54"/>
  <c r="H54" s="1"/>
  <c r="I53"/>
  <c r="H53"/>
  <c r="F53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F32"/>
  <c r="H32" s="1"/>
  <c r="I88" i="37" l="1"/>
  <c r="I18"/>
  <c r="H18"/>
  <c r="I16"/>
  <c r="H17"/>
  <c r="I19"/>
  <c r="H20"/>
  <c r="I21"/>
  <c r="H22"/>
  <c r="I23"/>
  <c r="H24"/>
  <c r="I25"/>
  <c r="H26"/>
  <c r="I27"/>
  <c r="H30"/>
  <c r="I31"/>
  <c r="H32"/>
  <c r="H33"/>
  <c r="I38"/>
  <c r="H40"/>
  <c r="I41"/>
  <c r="H42"/>
  <c r="I45"/>
  <c r="H46"/>
  <c r="I47"/>
  <c r="H48"/>
  <c r="I49"/>
  <c r="H50"/>
  <c r="I51"/>
  <c r="H57"/>
  <c r="I64"/>
  <c r="H65"/>
  <c r="I66"/>
  <c r="H67"/>
  <c r="I68"/>
  <c r="I70"/>
  <c r="H82"/>
  <c r="I83"/>
  <c r="I18" i="36"/>
  <c r="H18"/>
  <c r="I16"/>
  <c r="H17"/>
  <c r="I19"/>
  <c r="H20"/>
  <c r="I21"/>
  <c r="H22"/>
  <c r="I23"/>
  <c r="H24"/>
  <c r="I25"/>
  <c r="H26"/>
  <c r="I27"/>
  <c r="H30"/>
  <c r="I31"/>
  <c r="H32"/>
  <c r="H33"/>
  <c r="I38"/>
  <c r="H40"/>
  <c r="I41"/>
  <c r="H42"/>
  <c r="I45"/>
  <c r="H46"/>
  <c r="I47"/>
  <c r="H48"/>
  <c r="I49"/>
  <c r="H50"/>
  <c r="I51"/>
  <c r="H57"/>
  <c r="I64"/>
  <c r="H65"/>
  <c r="I66"/>
  <c r="H67"/>
  <c r="I68"/>
  <c r="H69"/>
  <c r="I70"/>
  <c r="H82"/>
  <c r="I83"/>
  <c r="I18" i="35"/>
  <c r="H18"/>
  <c r="I16"/>
  <c r="I19"/>
  <c r="I21"/>
  <c r="H22"/>
  <c r="I23"/>
  <c r="H24"/>
  <c r="I25"/>
  <c r="H26"/>
  <c r="I27"/>
  <c r="H30"/>
  <c r="I31"/>
  <c r="H32"/>
  <c r="H33"/>
  <c r="I38"/>
  <c r="I41"/>
  <c r="I45"/>
  <c r="H46"/>
  <c r="I47"/>
  <c r="H48"/>
  <c r="I49"/>
  <c r="H50"/>
  <c r="I51"/>
  <c r="H57"/>
  <c r="I64"/>
  <c r="H65"/>
  <c r="I66"/>
  <c r="H67"/>
  <c r="I68"/>
  <c r="H69"/>
  <c r="I70"/>
  <c r="H82"/>
  <c r="I83"/>
  <c r="H18" i="34"/>
  <c r="I18"/>
  <c r="H16"/>
  <c r="I17"/>
  <c r="I89" s="1"/>
  <c r="H19"/>
  <c r="I20"/>
  <c r="H21"/>
  <c r="I22"/>
  <c r="H23"/>
  <c r="I24"/>
  <c r="H25"/>
  <c r="I26"/>
  <c r="H27"/>
  <c r="I30"/>
  <c r="H31"/>
  <c r="I32"/>
  <c r="I33"/>
  <c r="H38"/>
  <c r="I40"/>
  <c r="H41"/>
  <c r="I42"/>
  <c r="H45"/>
  <c r="I46"/>
  <c r="H47"/>
  <c r="I48"/>
  <c r="H49"/>
  <c r="I50"/>
  <c r="H51"/>
  <c r="I57"/>
  <c r="H64"/>
  <c r="I65"/>
  <c r="I67"/>
  <c r="H68"/>
  <c r="I69"/>
  <c r="H70"/>
  <c r="I82"/>
  <c r="H83"/>
  <c r="H18" i="33"/>
  <c r="I18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I42"/>
  <c r="H45"/>
  <c r="I46"/>
  <c r="H47"/>
  <c r="I48"/>
  <c r="H49"/>
  <c r="I50"/>
  <c r="H51"/>
  <c r="I57"/>
  <c r="H64"/>
  <c r="I65"/>
  <c r="H66"/>
  <c r="I67"/>
  <c r="H68"/>
  <c r="I69"/>
  <c r="H70"/>
  <c r="I82"/>
  <c r="H83"/>
  <c r="H57" i="32"/>
  <c r="H40"/>
  <c r="H42"/>
  <c r="H50"/>
  <c r="H18"/>
  <c r="I18"/>
  <c r="H16"/>
  <c r="I17"/>
  <c r="I95" s="1"/>
  <c r="I27"/>
  <c r="H18" i="31"/>
  <c r="I18"/>
  <c r="I84" s="1"/>
  <c r="H16"/>
  <c r="H26"/>
  <c r="I27"/>
  <c r="I17" i="30"/>
  <c r="I18"/>
  <c r="I27"/>
  <c r="H18" i="29"/>
  <c r="I18"/>
  <c r="H16"/>
  <c r="I27"/>
  <c r="I27" i="28"/>
  <c r="I26"/>
  <c r="H18"/>
  <c r="I18"/>
  <c r="H16"/>
  <c r="H38" i="32"/>
  <c r="H41"/>
  <c r="H49"/>
  <c r="H51"/>
  <c r="H70"/>
  <c r="H82"/>
  <c r="I38" i="31"/>
  <c r="I40"/>
  <c r="H41"/>
  <c r="H49"/>
  <c r="I50"/>
  <c r="H51"/>
  <c r="I57"/>
  <c r="I83"/>
  <c r="I50" i="30"/>
  <c r="I51"/>
  <c r="H83"/>
  <c r="I38"/>
  <c r="I40"/>
  <c r="H41"/>
  <c r="H49"/>
  <c r="H57"/>
  <c r="I70"/>
  <c r="I82"/>
  <c r="H38" i="29"/>
  <c r="H40"/>
  <c r="I41"/>
  <c r="H42"/>
  <c r="I49"/>
  <c r="I57"/>
  <c r="H70"/>
  <c r="H82"/>
  <c r="H41" i="28"/>
  <c r="H49"/>
  <c r="H83"/>
  <c r="I83"/>
  <c r="I82"/>
  <c r="I70"/>
  <c r="I57"/>
  <c r="I38"/>
  <c r="I40"/>
  <c r="I42"/>
  <c r="I94" l="1"/>
  <c r="I84" i="36"/>
  <c r="I93" s="1"/>
  <c r="I84" i="37"/>
  <c r="I90"/>
  <c r="I89" i="35"/>
  <c r="I90" i="33"/>
  <c r="I95" i="29"/>
  <c r="I90" i="31"/>
  <c r="I84" i="30"/>
  <c r="I90" s="1"/>
</calcChain>
</file>

<file path=xl/sharedStrings.xml><?xml version="1.0" encoding="utf-8"?>
<sst xmlns="http://schemas.openxmlformats.org/spreadsheetml/2006/main" count="2632" uniqueCount="240">
  <si>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</si>
  <si>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</si>
  <si>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</si>
  <si>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</si>
  <si>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</si>
  <si>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</si>
  <si>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</si>
  <si>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</si>
  <si>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</si>
  <si>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</si>
  <si>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</si>
  <si>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</si>
  <si>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</si>
  <si>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</si>
  <si>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</si>
  <si>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</si>
  <si>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</si>
  <si>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</si>
  <si>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</si>
  <si>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</si>
  <si>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</si>
  <si>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</si>
  <si>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</si>
  <si>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</si>
  <si>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</si>
  <si>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</si>
  <si>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</si>
  <si>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</si>
  <si>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</si>
  <si>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</si>
  <si>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</si>
  <si>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</si>
  <si>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</si>
  <si>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</si>
  <si>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</si>
  <si>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</si>
  <si>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</si>
  <si>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</si>
  <si>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</si>
  <si>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</si>
  <si>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</si>
  <si>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</si>
  <si>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</si>
  <si>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</si>
  <si>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</si>
  <si>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</si>
  <si>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</si>
  <si>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</si>
  <si>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</si>
  <si>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</si>
  <si>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</si>
  <si>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</si>
  <si>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</si>
  <si>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</si>
  <si>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</si>
  <si>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</si>
  <si>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</si>
  <si>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</si>
  <si>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</si>
  <si>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</si>
  <si>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</si>
  <si>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</si>
  <si>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</si>
  <si>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</si>
  <si>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</si>
  <si>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</si>
  <si>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</si>
  <si>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</si>
  <si>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</si>
  <si>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</si>
  <si>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</si>
  <si>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</si>
  <si>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</si>
  <si>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</si>
  <si>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</si>
  <si>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</si>
  <si>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</si>
  <si>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</si>
  <si>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</si>
  <si>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</si>
  <si>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</si>
  <si>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</si>
  <si>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</si>
  <si>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</si>
  <si>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</si>
  <si>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</si>
  <si>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</si>
  <si>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</si>
  <si>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</si>
  <si>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</si>
  <si>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</si>
  <si>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</si>
  <si>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</si>
  <si>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3м</t>
  </si>
  <si>
    <t>1 шт</t>
  </si>
  <si>
    <t xml:space="preserve">приемки оказанных услуг и выполненных работ по содержанию и текущему ремонту
общего имущества в многоквартирном доме №1 по ул.Космонавтов пгт.Ярега
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</si>
  <si>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</si>
  <si>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</si>
  <si>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</si>
  <si>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</si>
  <si>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</si>
  <si>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</si>
  <si>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</si>
  <si>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</si>
  <si>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</si>
  <si>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</si>
  <si>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</si>
  <si>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</si>
  <si>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</si>
  <si>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</si>
  <si>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</si>
  <si>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</si>
  <si>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</si>
  <si>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</si>
  <si>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руб/м2 в мес</t>
  </si>
  <si>
    <t>Техническое обслуживание наружных газопроводов</t>
  </si>
  <si>
    <t>ТО внутридомового газ.оборудования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</si>
  <si>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</si>
  <si>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</si>
  <si>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</si>
  <si>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</si>
  <si>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Прочистка каналов</t>
  </si>
  <si>
    <t>1000м2</t>
  </si>
  <si>
    <t>Вывоз смета,травы,ветвей и т.п.- м/ч</t>
  </si>
  <si>
    <t>Сдвигание снега в дни снегопада (проезд)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</si>
  <si>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</si>
  <si>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</si>
  <si>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</si>
  <si>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</si>
  <si>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</si>
  <si>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</si>
  <si>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</si>
  <si>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</si>
  <si>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</si>
  <si>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</si>
  <si>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</si>
  <si>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Аварийно-диспетчерское обслуживание</t>
  </si>
  <si>
    <t>1 сгон</t>
  </si>
  <si>
    <t>Устройство хомута диаметром до 50 мм</t>
  </si>
  <si>
    <t>IV. Содержание общего имущества</t>
  </si>
  <si>
    <t>АКТ №1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</si>
  <si>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</si>
  <si>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</si>
  <si>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</si>
  <si>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</si>
  <si>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</si>
  <si>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</si>
  <si>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</si>
  <si>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IV. Прочие услуги</t>
  </si>
  <si>
    <t>АКТ №9</t>
  </si>
  <si>
    <t>АКТ №10</t>
  </si>
  <si>
    <t>Летняя уборка</t>
  </si>
  <si>
    <t>52 раза в сезон</t>
  </si>
  <si>
    <t>78 раз за сезон</t>
  </si>
  <si>
    <t>Дезинфекция подвала</t>
  </si>
  <si>
    <t>1 м3</t>
  </si>
  <si>
    <t>за период с 01.01.2017 г. по 31.01.2017 г.</t>
  </si>
  <si>
    <t>Обязательные работы по содержанию общего имущества собственников помещений в многоквартирном доме</t>
  </si>
  <si>
    <r>
      <t xml:space="preserve">    Собственники   помещений   в многоквартирном доме, расположенном по адресу:  пгт.Ярега, ул.Космонавтов, д.1,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09.09.2016г.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</si>
  <si>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Уборка газонов, грунта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</si>
  <si>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</si>
  <si>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</si>
  <si>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24 раз за сезон</t>
  </si>
  <si>
    <t xml:space="preserve">Подметание снега с вход.площадок, конт. площадок </t>
  </si>
  <si>
    <t>18 раз за сезон</t>
  </si>
  <si>
    <t>III. Плановые осмотры и мелкий ремонт</t>
  </si>
  <si>
    <t>5 раз в год</t>
  </si>
  <si>
    <t>V. Прочие услуги</t>
  </si>
  <si>
    <t>Прогрев XВC</t>
  </si>
  <si>
    <t>Утепление трубопроводов минеральной ватой</t>
  </si>
  <si>
    <t>Смена арматуры - вентилей и клапанов обратных муфтовых диаметром до 32 мм</t>
  </si>
  <si>
    <t>Смена сгонов у трубопроводов диаметром до 32 мм</t>
  </si>
  <si>
    <t>Итого затраты за месяц</t>
  </si>
  <si>
    <t>за период с 01.02.2017 г. по 28.02.2017 г.</t>
  </si>
  <si>
    <t>Смена полиэтиленовых канализационных труб 110×2000 мм</t>
  </si>
  <si>
    <t xml:space="preserve">Переход чугун-пластик Ду 110 </t>
  </si>
  <si>
    <t>Патрубок компенсацинный ПП Ду 110</t>
  </si>
  <si>
    <t>Манжета 110</t>
  </si>
  <si>
    <t>Прочистка засоров канализации</t>
  </si>
  <si>
    <t>Ремонт поверхности кирпичных стен при глубине заделки в 1 кирпич площадью в одном месте до 1 м2</t>
  </si>
  <si>
    <t>за период с 01.03.2017 г. по 31.03.2017 г.</t>
  </si>
  <si>
    <t>Смена трубопроводов на полипропиленовые трубы PN25 диаметром 25мм</t>
  </si>
  <si>
    <t>за период с 01.04.2017 г. по 30.04.2017 г.</t>
  </si>
  <si>
    <t>за период с 01.05.2017 г. по 31.05.2017 г.</t>
  </si>
  <si>
    <t>Осмотр элекгросетей, арматуры и электрооборудования на чердаках и подвалах</t>
  </si>
  <si>
    <t xml:space="preserve">Ремонт цементной стяжки </t>
  </si>
  <si>
    <t>100 мест</t>
  </si>
  <si>
    <t>Устройство (смена) оснований под покрытие пола из фанеры плошадью, м2 до 20</t>
  </si>
  <si>
    <t>Внеплановая проверка вентканалов</t>
  </si>
  <si>
    <t>Ремонт отдельных мест покрытия из асбоцементных листов обыкновенного профиля</t>
  </si>
  <si>
    <t>10 м2</t>
  </si>
  <si>
    <t>Смена обделок из листовой стали, примыканий к каменным стенам</t>
  </si>
  <si>
    <t>2. Всего за период с 01.05.2017 г. по 31.05.2017 г. выполнено работ (оказано услуг) на общую сумму: 197060,63 руб.</t>
  </si>
  <si>
    <t>(сто девяносто семь тысяч шестьдесят рублей 63 копейки)</t>
  </si>
  <si>
    <t>за период с 01.06.2017 г. по 30.06.2017 г.</t>
  </si>
  <si>
    <t>за период с 01.07.2017 г. по 31.07.2017 г.</t>
  </si>
  <si>
    <t>2. Всего за период с 01.07.2017 г. по 31.07.2017 г. выполнено работ (оказано услуг) на общую сумму: 47566,88 руб.</t>
  </si>
  <si>
    <t>(сорок семь тысяч пятьсот шестьдесят шесть рублей 88 копейки)</t>
  </si>
  <si>
    <t>за период с 01.08.2017 г. по 31.08.2017 г.</t>
  </si>
  <si>
    <t>за период с 01.09.2017 г. по 30.09.2017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</si>
  <si>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</si>
  <si>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</si>
  <si>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за период с 01.10.2017 г. по 31.10.2017 г.</t>
  </si>
  <si>
    <t>II. Уборка земельного участка</t>
  </si>
  <si>
    <t>Прочистка канализации</t>
  </si>
  <si>
    <t>Смена трубопроводов на полипропиленовые трубы PN25 диаметром 20мм</t>
  </si>
  <si>
    <t>2. Всего за период с 01.10.2017 г. по 31.10.2017 г. выполнено работ (оказано услуг) на общую сумму: 57450,67 руб.</t>
  </si>
  <si>
    <t>(пятьдесят семь тысяч четыреста пятьдесят рублей 67 копеек)</t>
  </si>
  <si>
    <t>АКТ №11</t>
  </si>
  <si>
    <t>за период с 01.11.2017 г. по 30.11.2017 г.</t>
  </si>
  <si>
    <t>Разборка короба для работ ВДИС</t>
  </si>
  <si>
    <t>Восстановление короба после работ ВДИС</t>
  </si>
  <si>
    <t>Внеплановая проверка дымоходов</t>
  </si>
  <si>
    <t>Устройство дощатого люка у под.№1</t>
  </si>
  <si>
    <t>за период с 01.12.2017 г. по 31.12.2017 г.</t>
  </si>
  <si>
    <t>Внеплановый осмотр электросетей, армазуры и электрооборудования на лестничных клетках</t>
  </si>
  <si>
    <t>Внеплановый осмотр вводных электрических щитков</t>
  </si>
  <si>
    <t>100шт</t>
  </si>
  <si>
    <t>АКТ №12</t>
  </si>
  <si>
    <t>2. Всего за период с 01.09.2017 г. по 30.09.2017 г. выполнено работ (оказано услуг) на общую сумму: 91582,53 руб.</t>
  </si>
  <si>
    <t>(девяносто одна тысяча пятьсот восемьдесят два рубля 51 копейка)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</si>
  <si>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</t>
    </r>
  </si>
  <si>
    <t>2. Всего за период с 01.01.2017 г. по 31.01.2017 г. выполнено работ (оказано услуг) на общую сумму: 91477,65 руб.</t>
  </si>
  <si>
    <t>(девяносто одна тысяча четыреста семьдесят семь рублей 65 копеек)</t>
  </si>
  <si>
    <t>2. Всего за период с 01.02.2017 г. по 28.02.2017 г. выполнено работ (оказано услуг) на общую сумму: 55891,87 руб.</t>
  </si>
  <si>
    <t>(пятьдесят пять тысяч восемьсот девяносто один рубль 87 копеек)</t>
  </si>
  <si>
    <t>2. Всего за период с 01.03.2017 г. по 31.03.2017 г. выполнено работ (оказано услуг) на общую сумму: 76677,64 руб.</t>
  </si>
  <si>
    <t>(семьдесят шесть тысяч шестьсот семьдесят семь рублей 64 копейки)</t>
  </si>
  <si>
    <t>2. Всего за период с 01.04.2017 г. по 30.04.2017 г. выполнено работ (оказано услуг) на общую сумму: 64676,59 руб.</t>
  </si>
  <si>
    <t>(шестьдесят четыре тысячи шестьсот семьдесят шесть рублей 59 копеек)</t>
  </si>
  <si>
    <t>Сверхнормативы по ОДП за 1 полугодие</t>
  </si>
  <si>
    <t>2. Всего за период с 01.06.2017 г. по 30.06.2017 г. выполнено работ (оказано услуг) на общую сумму: 63451,04 руб.</t>
  </si>
  <si>
    <t>(шестьдесят три тысячи четыреста пятьдесят один рубль 04 копейки)</t>
  </si>
  <si>
    <t>2. Всего за период с 01.08.2017 г. по 31.08.2017 г. выполнено работ (оказано услуг) на общую сумму: 60853,50 руб.</t>
  </si>
  <si>
    <t>(шестьдесят тысяч восемьсот пятьдесят три рубля 50 копеек)</t>
  </si>
  <si>
    <t>2. Всего за период с 01.11.2017 г. по 30.11.2017 г. выполнено работ (оказано услуг) на общую сумму: 64601,79 руб.</t>
  </si>
  <si>
    <t>(шестьдесят четыре тысячи шестьсот один рубль 79 копеек)</t>
  </si>
  <si>
    <t>Сверхнормативы по ОДП за 2 полугодие</t>
  </si>
  <si>
    <t>2. Всего за период с 01.12.2017 г. по 31.12.2017 г. выполнено работ (оказано услуг) на общую сумму: 62103,23 руб.</t>
  </si>
  <si>
    <t>(шестьдесят две тысячи сто три рубля 23 копейки)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</si>
</sst>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9" fillId="0" borderId="0" xfId="0" applyFont="1"/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7" fillId="0" borderId="0" xfId="0" applyFont="1"/>
    <xf numFmtId="0" fontId="2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8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horizontal="left" vertical="center"/>
    </xf>
    <xf numFmtId="4" fontId="11" fillId="0" borderId="22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/>
    </xf>
    <xf numFmtId="165" fontId="11" fillId="0" borderId="5" xfId="0" applyNumberFormat="1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140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156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42766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1">SUM(E22/100)</f>
        <v>3.57</v>
      </c>
      <c r="G22" s="80">
        <v>335.05</v>
      </c>
      <c r="H22" s="81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1"/>
        <v>0.38640000000000002</v>
      </c>
      <c r="G23" s="80">
        <v>55.1</v>
      </c>
      <c r="H23" s="81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1"/>
        <v>0.15</v>
      </c>
      <c r="G24" s="80">
        <v>484.94</v>
      </c>
      <c r="H24" s="81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1"/>
        <v>6.3799999999999996E-2</v>
      </c>
      <c r="G25" s="80">
        <v>684.05</v>
      </c>
      <c r="H25" s="81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82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hidden="1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hidden="1" customHeight="1">
      <c r="A30" s="69">
        <v>6</v>
      </c>
      <c r="B30" s="37" t="s">
        <v>159</v>
      </c>
      <c r="C30" s="46" t="s">
        <v>122</v>
      </c>
      <c r="D30" s="37" t="s">
        <v>152</v>
      </c>
      <c r="E30" s="107"/>
      <c r="F30" s="118"/>
      <c r="G30" s="36">
        <v>193.97</v>
      </c>
      <c r="H30" s="119"/>
      <c r="I30" s="101">
        <v>109.44</v>
      </c>
      <c r="J30" s="27"/>
      <c r="K30" s="10"/>
      <c r="L30" s="10"/>
      <c r="M30" s="10"/>
    </row>
    <row r="31" spans="1:13" ht="31.5" hidden="1" customHeight="1">
      <c r="A31" s="69">
        <v>7</v>
      </c>
      <c r="B31" s="37" t="s">
        <v>160</v>
      </c>
      <c r="C31" s="46" t="s">
        <v>122</v>
      </c>
      <c r="D31" s="37" t="s">
        <v>153</v>
      </c>
      <c r="E31" s="107"/>
      <c r="F31" s="118"/>
      <c r="G31" s="36">
        <v>321.82</v>
      </c>
      <c r="H31" s="119"/>
      <c r="I31" s="101">
        <v>272.36</v>
      </c>
      <c r="J31" s="27"/>
      <c r="K31" s="10"/>
      <c r="L31" s="10"/>
      <c r="M31" s="10"/>
    </row>
    <row r="32" spans="1:13" ht="15.75" hidden="1" customHeight="1">
      <c r="A32" s="69"/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ref="H32" si="2">SUM(F32*G32/1000)</f>
        <v>0.24466402799999998</v>
      </c>
      <c r="I32" s="17">
        <v>0</v>
      </c>
      <c r="J32" s="27"/>
      <c r="K32" s="10"/>
      <c r="L32" s="10"/>
      <c r="M32" s="10"/>
    </row>
    <row r="33" spans="1:13" ht="15.75" hidden="1" customHeight="1">
      <c r="A33" s="69">
        <v>8</v>
      </c>
      <c r="B33" s="37" t="s">
        <v>161</v>
      </c>
      <c r="C33" s="46" t="s">
        <v>30</v>
      </c>
      <c r="D33" s="37" t="s">
        <v>62</v>
      </c>
      <c r="E33" s="107"/>
      <c r="F33" s="118"/>
      <c r="G33" s="36">
        <v>70.540000000000006</v>
      </c>
      <c r="H33" s="119"/>
      <c r="I33" s="101">
        <v>303.70999999999998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ref="H34:H35" si="3">SUM(F34*G34/1000)</f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3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4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/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v>0</v>
      </c>
      <c r="J39" s="27"/>
      <c r="K39" s="10"/>
      <c r="L39" s="10"/>
      <c r="M39" s="10"/>
    </row>
    <row r="40" spans="1:13" ht="15.75" customHeight="1">
      <c r="A40" s="38">
        <v>8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4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9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4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10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4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customHeight="1">
      <c r="A43" s="38">
        <v>10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4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16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5">SUM(F45*G45/1000)</f>
        <v>2.721961968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19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5"/>
        <v>4.2862477871999998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20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5"/>
        <v>3.0571051328000003</v>
      </c>
      <c r="I47" s="17">
        <v>0</v>
      </c>
      <c r="J47" s="27"/>
      <c r="K47" s="10"/>
      <c r="L47" s="10"/>
      <c r="M47" s="10"/>
    </row>
    <row r="48" spans="1:13" ht="15.75" hidden="1" customHeight="1">
      <c r="A48" s="47">
        <v>17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5"/>
        <v>0.15555924799999998</v>
      </c>
      <c r="I48" s="17">
        <v>0</v>
      </c>
      <c r="J48" s="27"/>
      <c r="K48" s="10"/>
      <c r="L48" s="10"/>
      <c r="M48" s="10"/>
    </row>
    <row r="49" spans="1:14" ht="15.75" customHeight="1">
      <c r="A49" s="47">
        <v>11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5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22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5"/>
        <v>7.6997959399999996</v>
      </c>
      <c r="I50" s="17">
        <v>0</v>
      </c>
      <c r="J50" s="27"/>
      <c r="K50" s="10"/>
      <c r="L50" s="10"/>
      <c r="M50" s="10"/>
    </row>
    <row r="51" spans="1:14" ht="31.5" hidden="1" customHeight="1">
      <c r="A51" s="47">
        <v>23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5"/>
        <v>1.2321280000000001</v>
      </c>
      <c r="I51" s="17">
        <v>0</v>
      </c>
      <c r="J51" s="27"/>
      <c r="K51" s="10"/>
    </row>
    <row r="52" spans="1:14" ht="15.75" hidden="1" customHeight="1">
      <c r="A52" s="47">
        <v>24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5"/>
        <v>0.1406626</v>
      </c>
      <c r="I52" s="17">
        <v>0</v>
      </c>
      <c r="J52" s="77"/>
    </row>
    <row r="53" spans="1:14" ht="15.75" customHeight="1">
      <c r="A53" s="47">
        <v>12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5"/>
        <v>33.715199999999996</v>
      </c>
      <c r="I53" s="17">
        <f>E53*G53</f>
        <v>11238.4</v>
      </c>
      <c r="J53" s="77"/>
    </row>
    <row r="54" spans="1:14" ht="15.75" customHeight="1">
      <c r="A54" s="47">
        <v>13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5"/>
        <v>31.384319999999999</v>
      </c>
      <c r="I54" s="17">
        <f>E54*G54</f>
        <v>10461.44</v>
      </c>
      <c r="J54" s="77"/>
    </row>
    <row r="55" spans="1:14" ht="15.75" customHeight="1">
      <c r="A55" s="146" t="s">
        <v>139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customHeight="1">
      <c r="A57" s="47">
        <v>14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customHeight="1">
      <c r="A58" s="47">
        <v>15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</f>
        <v>1501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6">SUM(F62*G62/1000)</f>
        <v>0.27673999999999999</v>
      </c>
      <c r="I62" s="17">
        <v>0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6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/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6"/>
        <v>26.536274799999997</v>
      </c>
      <c r="I64" s="17">
        <v>0</v>
      </c>
      <c r="J64" s="77"/>
      <c r="L64" s="24"/>
      <c r="M64" s="25"/>
      <c r="N64" s="26"/>
    </row>
    <row r="65" spans="1:14" ht="15.75" hidden="1" customHeight="1">
      <c r="A65" s="68"/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6"/>
        <v>2.0663896399999997</v>
      </c>
      <c r="I65" s="17">
        <v>0</v>
      </c>
      <c r="J65" s="77"/>
      <c r="L65" s="24"/>
      <c r="M65" s="25"/>
      <c r="N65" s="26"/>
    </row>
    <row r="66" spans="1:14" ht="15.75" hidden="1" customHeight="1">
      <c r="A66" s="68"/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6"/>
        <v>56.793660000000003</v>
      </c>
      <c r="I66" s="17">
        <v>0</v>
      </c>
      <c r="J66" s="77"/>
      <c r="L66" s="24"/>
      <c r="M66" s="25"/>
      <c r="N66" s="26"/>
    </row>
    <row r="67" spans="1:14" ht="15.75" hidden="1" customHeight="1">
      <c r="A67" s="68"/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6"/>
        <v>0.44603000000000004</v>
      </c>
      <c r="I67" s="17">
        <v>0</v>
      </c>
      <c r="J67" s="77"/>
      <c r="L67" s="24"/>
      <c r="M67" s="25"/>
      <c r="N67" s="26"/>
    </row>
    <row r="68" spans="1:14" ht="15.75" hidden="1" customHeight="1">
      <c r="A68" s="68"/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6"/>
        <v>0.41613800000000001</v>
      </c>
      <c r="I68" s="17">
        <v>0</v>
      </c>
      <c r="J68" s="77"/>
      <c r="L68" s="24"/>
      <c r="M68" s="25"/>
      <c r="N68" s="26"/>
    </row>
    <row r="69" spans="1:14" ht="15.75" hidden="1" customHeight="1">
      <c r="A69" s="68"/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6"/>
        <v>0.12414</v>
      </c>
      <c r="I69" s="17">
        <v>0</v>
      </c>
      <c r="J69" s="77"/>
      <c r="L69" s="24"/>
      <c r="M69" s="25"/>
      <c r="N69" s="26"/>
    </row>
    <row r="70" spans="1:14" ht="15.75" customHeight="1">
      <c r="A70" s="69">
        <v>16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6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36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v>0</v>
      </c>
      <c r="J72" s="77"/>
      <c r="L72" s="24"/>
      <c r="M72" s="25"/>
      <c r="N72" s="26"/>
    </row>
    <row r="73" spans="1:14" ht="15.75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7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7"/>
        <v>0.73499999999999999</v>
      </c>
      <c r="I75" s="17">
        <v>0</v>
      </c>
      <c r="J75" s="77"/>
      <c r="L75" s="24"/>
      <c r="M75" s="25"/>
      <c r="N75" s="26"/>
    </row>
    <row r="76" spans="1:14" ht="15.75" customHeight="1">
      <c r="A76" s="69">
        <v>17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7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8">SUM(F80*G80/1000)</f>
        <v>3.4336799999999998</v>
      </c>
      <c r="I80" s="17">
        <v>0</v>
      </c>
      <c r="J80" s="77"/>
      <c r="L80" s="24"/>
      <c r="M80" s="25"/>
      <c r="N80" s="26"/>
    </row>
    <row r="81" spans="1:14" ht="15.75" customHeight="1">
      <c r="A81" s="152" t="s">
        <v>167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14" ht="15.75" customHeight="1">
      <c r="A82" s="69">
        <v>18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14" ht="31.5" customHeight="1">
      <c r="A83" s="31">
        <v>19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14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SUM(I16+I17+I18+I26+I27+I37+I38+I40+I41+I43+I49+I53+I54+I57+I58+I70+I76+I82+I83)</f>
        <v>73354.991310833342</v>
      </c>
      <c r="J84" s="77"/>
      <c r="L84" s="24"/>
      <c r="M84" s="25"/>
      <c r="N84" s="26"/>
    </row>
    <row r="85" spans="1:14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14" ht="15.75" customHeight="1">
      <c r="A86" s="69">
        <v>20</v>
      </c>
      <c r="B86" s="100" t="s">
        <v>168</v>
      </c>
      <c r="C86" s="99" t="s">
        <v>93</v>
      </c>
      <c r="D86" s="19"/>
      <c r="E86" s="23"/>
      <c r="F86" s="17">
        <f>18/3</f>
        <v>6</v>
      </c>
      <c r="G86" s="17">
        <v>1120.8900000000001</v>
      </c>
      <c r="H86" s="82">
        <f t="shared" ref="H86:H91" si="9">G86*F86/1000</f>
        <v>6.7253400000000001</v>
      </c>
      <c r="I86" s="102">
        <f>G86*((3+3+3+3+3+3)/3)</f>
        <v>6725.34</v>
      </c>
      <c r="J86" s="77"/>
      <c r="L86" s="24"/>
      <c r="M86" s="25"/>
      <c r="N86" s="26"/>
    </row>
    <row r="87" spans="1:14" ht="15.75" customHeight="1">
      <c r="A87" s="69">
        <v>21</v>
      </c>
      <c r="B87" s="64" t="s">
        <v>138</v>
      </c>
      <c r="C87" s="97" t="s">
        <v>81</v>
      </c>
      <c r="D87" s="19"/>
      <c r="E87" s="23"/>
      <c r="F87" s="17">
        <v>1</v>
      </c>
      <c r="G87" s="17">
        <v>195.85</v>
      </c>
      <c r="H87" s="82">
        <f t="shared" si="9"/>
        <v>0.19585</v>
      </c>
      <c r="I87" s="102">
        <f>G87</f>
        <v>195.85</v>
      </c>
      <c r="J87" s="77"/>
      <c r="L87" s="24"/>
      <c r="M87" s="25"/>
      <c r="N87" s="26"/>
    </row>
    <row r="88" spans="1:14" ht="15.75" customHeight="1">
      <c r="A88" s="69">
        <v>22</v>
      </c>
      <c r="B88" s="64" t="s">
        <v>169</v>
      </c>
      <c r="C88" s="97" t="s">
        <v>155</v>
      </c>
      <c r="D88" s="19"/>
      <c r="E88" s="23"/>
      <c r="F88" s="17">
        <v>3</v>
      </c>
      <c r="G88" s="17">
        <v>3300.56</v>
      </c>
      <c r="H88" s="82">
        <f t="shared" si="9"/>
        <v>9.9016800000000007</v>
      </c>
      <c r="I88" s="102">
        <f>G88*(2+1)</f>
        <v>9901.68</v>
      </c>
      <c r="J88" s="77"/>
      <c r="L88" s="24"/>
      <c r="M88" s="25"/>
      <c r="N88" s="26"/>
    </row>
    <row r="89" spans="1:14" ht="31.5" customHeight="1">
      <c r="A89" s="69">
        <v>23</v>
      </c>
      <c r="B89" s="64" t="s">
        <v>170</v>
      </c>
      <c r="C89" s="97" t="s">
        <v>94</v>
      </c>
      <c r="D89" s="19"/>
      <c r="E89" s="23"/>
      <c r="F89" s="17">
        <v>1</v>
      </c>
      <c r="G89" s="17">
        <v>803.54</v>
      </c>
      <c r="H89" s="82">
        <f t="shared" si="9"/>
        <v>0.80353999999999992</v>
      </c>
      <c r="I89" s="102">
        <f>G89</f>
        <v>803.54</v>
      </c>
      <c r="J89" s="77"/>
      <c r="L89" s="24"/>
      <c r="M89" s="25"/>
      <c r="N89" s="26"/>
    </row>
    <row r="90" spans="1:14" ht="15.75" customHeight="1">
      <c r="A90" s="69">
        <v>24</v>
      </c>
      <c r="B90" s="64" t="s">
        <v>171</v>
      </c>
      <c r="C90" s="97" t="s">
        <v>137</v>
      </c>
      <c r="D90" s="19"/>
      <c r="E90" s="23"/>
      <c r="F90" s="17">
        <v>1</v>
      </c>
      <c r="G90" s="17">
        <v>306.37</v>
      </c>
      <c r="H90" s="82">
        <f t="shared" si="9"/>
        <v>0.30637000000000003</v>
      </c>
      <c r="I90" s="102">
        <f>G90</f>
        <v>306.37</v>
      </c>
      <c r="J90" s="77"/>
      <c r="L90" s="24"/>
      <c r="M90" s="25"/>
      <c r="N90" s="26"/>
    </row>
    <row r="91" spans="1:14" ht="15.75" customHeight="1">
      <c r="A91" s="71">
        <v>25</v>
      </c>
      <c r="B91" s="64" t="s">
        <v>79</v>
      </c>
      <c r="C91" s="97" t="s">
        <v>109</v>
      </c>
      <c r="D91" s="19"/>
      <c r="E91" s="23"/>
      <c r="F91" s="17">
        <v>5</v>
      </c>
      <c r="G91" s="17">
        <v>189.88</v>
      </c>
      <c r="H91" s="17">
        <f t="shared" si="9"/>
        <v>0.94940000000000002</v>
      </c>
      <c r="I91" s="102">
        <f>G91</f>
        <v>189.88</v>
      </c>
      <c r="J91" s="77"/>
      <c r="L91" s="24"/>
      <c r="M91" s="25"/>
      <c r="N91" s="26"/>
    </row>
    <row r="92" spans="1:14" ht="15.75" customHeight="1">
      <c r="A92" s="31"/>
      <c r="B92" s="52" t="s">
        <v>51</v>
      </c>
      <c r="C92" s="48"/>
      <c r="D92" s="62"/>
      <c r="E92" s="48">
        <v>1</v>
      </c>
      <c r="F92" s="48"/>
      <c r="G92" s="48"/>
      <c r="H92" s="48"/>
      <c r="I92" s="35">
        <f>SUM(I86:I91)</f>
        <v>18122.660000000003</v>
      </c>
      <c r="J92" s="77"/>
      <c r="L92" s="24"/>
      <c r="M92" s="25"/>
      <c r="N92" s="26"/>
    </row>
    <row r="93" spans="1:14" ht="15.75" customHeight="1">
      <c r="A93" s="31"/>
      <c r="B93" s="57" t="s">
        <v>75</v>
      </c>
      <c r="C93" s="20"/>
      <c r="D93" s="20"/>
      <c r="E93" s="49"/>
      <c r="F93" s="49"/>
      <c r="G93" s="50"/>
      <c r="H93" s="50"/>
      <c r="I93" s="22">
        <v>0</v>
      </c>
      <c r="J93" s="77"/>
      <c r="L93" s="24"/>
      <c r="M93" s="25"/>
      <c r="N93" s="26"/>
    </row>
    <row r="94" spans="1:14" ht="15.75" customHeight="1">
      <c r="A94" s="63"/>
      <c r="B94" s="53" t="s">
        <v>172</v>
      </c>
      <c r="C94" s="39"/>
      <c r="D94" s="39"/>
      <c r="E94" s="39"/>
      <c r="F94" s="39"/>
      <c r="G94" s="39"/>
      <c r="H94" s="39"/>
      <c r="I94" s="51">
        <f>I84+I92</f>
        <v>91477.651310833346</v>
      </c>
      <c r="J94" s="77"/>
      <c r="L94" s="24"/>
    </row>
    <row r="95" spans="1:14" ht="15.75">
      <c r="A95" s="135" t="s">
        <v>222</v>
      </c>
      <c r="B95" s="135"/>
      <c r="C95" s="135"/>
      <c r="D95" s="135"/>
      <c r="E95" s="135"/>
      <c r="F95" s="135"/>
      <c r="G95" s="135"/>
      <c r="H95" s="135"/>
      <c r="I95" s="135"/>
    </row>
    <row r="96" spans="1:14" ht="15.75">
      <c r="A96" s="12"/>
      <c r="B96" s="145" t="s">
        <v>223</v>
      </c>
      <c r="C96" s="145"/>
      <c r="D96" s="145"/>
      <c r="E96" s="145"/>
      <c r="F96" s="145"/>
      <c r="G96" s="145"/>
      <c r="H96" s="104"/>
      <c r="I96" s="4"/>
    </row>
    <row r="97" spans="1:22" ht="15.75">
      <c r="A97" s="72"/>
      <c r="B97" s="138" t="s">
        <v>6</v>
      </c>
      <c r="C97" s="138"/>
      <c r="D97" s="138"/>
      <c r="E97" s="138"/>
      <c r="F97" s="138"/>
      <c r="G97" s="138"/>
      <c r="H97" s="76"/>
      <c r="I97" s="59"/>
    </row>
    <row r="98" spans="1:22" ht="15.75" customHeight="1">
      <c r="A98" s="60"/>
      <c r="B98" s="60"/>
      <c r="C98" s="60"/>
      <c r="D98" s="60"/>
      <c r="E98" s="60"/>
      <c r="F98" s="60"/>
      <c r="G98" s="60"/>
      <c r="H98" s="60"/>
      <c r="I98" s="60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139" t="s">
        <v>7</v>
      </c>
      <c r="B99" s="139"/>
      <c r="C99" s="139"/>
      <c r="D99" s="139"/>
      <c r="E99" s="139"/>
      <c r="F99" s="139"/>
      <c r="G99" s="139"/>
      <c r="H99" s="139"/>
      <c r="I99" s="139"/>
      <c r="J99" s="29"/>
      <c r="K99" s="29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>
      <c r="A100" s="139" t="s">
        <v>8</v>
      </c>
      <c r="B100" s="139"/>
      <c r="C100" s="139"/>
      <c r="D100" s="139"/>
      <c r="E100" s="139"/>
      <c r="F100" s="139"/>
      <c r="G100" s="139"/>
      <c r="H100" s="139"/>
      <c r="I100" s="139"/>
      <c r="J100" s="4"/>
      <c r="K100" s="4"/>
      <c r="L100" s="4"/>
      <c r="M100" s="4"/>
      <c r="N100" s="4"/>
      <c r="O100" s="4"/>
      <c r="P100" s="4"/>
      <c r="Q100" s="4"/>
      <c r="S100" s="4"/>
      <c r="T100" s="4"/>
      <c r="U100" s="4"/>
    </row>
    <row r="101" spans="1:22" ht="15.75">
      <c r="A101" s="135" t="s">
        <v>9</v>
      </c>
      <c r="B101" s="135"/>
      <c r="C101" s="135"/>
      <c r="D101" s="135"/>
      <c r="E101" s="135"/>
      <c r="F101" s="135"/>
      <c r="G101" s="135"/>
      <c r="H101" s="135"/>
      <c r="I101" s="135"/>
      <c r="J101" s="6"/>
      <c r="K101" s="6"/>
      <c r="L101" s="6"/>
      <c r="M101" s="6"/>
      <c r="N101" s="6"/>
      <c r="O101" s="6"/>
      <c r="P101" s="6"/>
      <c r="Q101" s="6"/>
      <c r="R101" s="137"/>
      <c r="S101" s="137"/>
      <c r="T101" s="137"/>
      <c r="U101" s="137"/>
    </row>
    <row r="102" spans="1:22" ht="15.75">
      <c r="A102" s="13"/>
      <c r="B102" s="58"/>
      <c r="C102" s="58"/>
      <c r="D102" s="58"/>
      <c r="E102" s="58"/>
      <c r="F102" s="58"/>
      <c r="G102" s="58"/>
      <c r="H102" s="58"/>
      <c r="I102" s="58"/>
    </row>
    <row r="103" spans="1:22" ht="15.75">
      <c r="A103" s="141" t="s">
        <v>10</v>
      </c>
      <c r="B103" s="141"/>
      <c r="C103" s="141"/>
      <c r="D103" s="141"/>
      <c r="E103" s="141"/>
      <c r="F103" s="141"/>
      <c r="G103" s="141"/>
      <c r="H103" s="141"/>
      <c r="I103" s="141"/>
    </row>
    <row r="104" spans="1:22" ht="15.75" customHeight="1">
      <c r="A104" s="5"/>
    </row>
    <row r="105" spans="1:22" ht="15.75">
      <c r="A105" s="135" t="s">
        <v>11</v>
      </c>
      <c r="B105" s="135"/>
      <c r="C105" s="140" t="s">
        <v>92</v>
      </c>
      <c r="D105" s="140"/>
      <c r="E105" s="140"/>
      <c r="F105" s="74"/>
      <c r="I105" s="109"/>
    </row>
    <row r="106" spans="1:22">
      <c r="A106" s="110"/>
      <c r="C106" s="134" t="s">
        <v>12</v>
      </c>
      <c r="D106" s="134"/>
      <c r="E106" s="134"/>
      <c r="F106" s="28"/>
      <c r="I106" s="108" t="s">
        <v>13</v>
      </c>
    </row>
    <row r="107" spans="1:22" ht="15.75">
      <c r="A107" s="29"/>
      <c r="C107" s="14"/>
      <c r="D107" s="14"/>
      <c r="G107" s="14"/>
      <c r="H107" s="14"/>
    </row>
    <row r="108" spans="1:22" ht="15.75" customHeight="1">
      <c r="A108" s="135" t="s">
        <v>14</v>
      </c>
      <c r="B108" s="135"/>
      <c r="C108" s="136"/>
      <c r="D108" s="136"/>
      <c r="E108" s="136"/>
      <c r="F108" s="75"/>
      <c r="I108" s="109"/>
    </row>
    <row r="109" spans="1:22">
      <c r="A109" s="110"/>
      <c r="C109" s="137" t="s">
        <v>12</v>
      </c>
      <c r="D109" s="137"/>
      <c r="E109" s="137"/>
      <c r="F109" s="110"/>
      <c r="I109" s="108" t="s">
        <v>13</v>
      </c>
    </row>
    <row r="110" spans="1:22" ht="15.75">
      <c r="A110" s="5" t="s">
        <v>15</v>
      </c>
    </row>
    <row r="111" spans="1:22">
      <c r="A111" s="132" t="s">
        <v>16</v>
      </c>
      <c r="B111" s="132"/>
      <c r="C111" s="132"/>
      <c r="D111" s="132"/>
      <c r="E111" s="132"/>
      <c r="F111" s="132"/>
      <c r="G111" s="132"/>
      <c r="H111" s="132"/>
      <c r="I111" s="132"/>
    </row>
    <row r="112" spans="1:22" ht="45" customHeight="1">
      <c r="A112" s="133" t="s">
        <v>17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18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30" customHeight="1">
      <c r="A114" s="133" t="s">
        <v>22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15" customHeight="1">
      <c r="A115" s="133" t="s">
        <v>21</v>
      </c>
      <c r="B115" s="133"/>
      <c r="C115" s="133"/>
      <c r="D115" s="133"/>
      <c r="E115" s="133"/>
      <c r="F115" s="133"/>
      <c r="G115" s="133"/>
      <c r="H115" s="133"/>
      <c r="I115" s="133"/>
    </row>
    <row r="117" spans="1:9">
      <c r="A117" s="15"/>
      <c r="B117" s="15"/>
      <c r="C117" s="15"/>
      <c r="D117" s="15"/>
      <c r="E117" s="15"/>
      <c r="F117" s="15"/>
      <c r="G117" s="15"/>
      <c r="H117" s="15"/>
    </row>
  </sheetData>
  <autoFilter ref="I15:I96"/>
  <mergeCells count="31">
    <mergeCell ref="A15:I15"/>
    <mergeCell ref="A14:I14"/>
    <mergeCell ref="A3:I3"/>
    <mergeCell ref="A4:I4"/>
    <mergeCell ref="A5:I5"/>
    <mergeCell ref="A8:I8"/>
    <mergeCell ref="A10:I10"/>
    <mergeCell ref="R101:U101"/>
    <mergeCell ref="A103:I103"/>
    <mergeCell ref="A28:I28"/>
    <mergeCell ref="A95:I95"/>
    <mergeCell ref="B96:G96"/>
    <mergeCell ref="A55:I55"/>
    <mergeCell ref="A85:I85"/>
    <mergeCell ref="A81:I81"/>
    <mergeCell ref="A44:I44"/>
    <mergeCell ref="C106:E106"/>
    <mergeCell ref="A108:B108"/>
    <mergeCell ref="C108:E108"/>
    <mergeCell ref="C109:E109"/>
    <mergeCell ref="B97:G97"/>
    <mergeCell ref="A99:I99"/>
    <mergeCell ref="A100:I100"/>
    <mergeCell ref="A101:I101"/>
    <mergeCell ref="A105:B105"/>
    <mergeCell ref="C105:E105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150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202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43039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f>F19/2*G19</f>
        <v>423.48</v>
      </c>
      <c r="J19" s="10"/>
      <c r="K19" s="10"/>
      <c r="L19" s="10"/>
      <c r="M19" s="10"/>
    </row>
    <row r="20" spans="1:13" ht="15.75" hidden="1" customHeight="1">
      <c r="A20" s="31">
        <v>5</v>
      </c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f t="shared" ref="I20:I21" si="1">F20/2*G20</f>
        <v>28.467600000000001</v>
      </c>
      <c r="J20" s="10"/>
      <c r="K20" s="10"/>
      <c r="L20" s="10"/>
      <c r="M20" s="10"/>
    </row>
    <row r="21" spans="1:13" ht="15.75" hidden="1" customHeight="1">
      <c r="A21" s="31">
        <v>6</v>
      </c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f t="shared" si="1"/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2">SUM(E22/100)</f>
        <v>3.57</v>
      </c>
      <c r="G22" s="80">
        <v>335.05</v>
      </c>
      <c r="H22" s="81">
        <f t="shared" si="0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2"/>
        <v>0.38640000000000002</v>
      </c>
      <c r="G23" s="80">
        <v>55.1</v>
      </c>
      <c r="H23" s="81">
        <f t="shared" si="0"/>
        <v>2.1290640000000003E-2</v>
      </c>
      <c r="I23" s="17">
        <f t="shared" ref="I23:I25" si="3">F23*G23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2"/>
        <v>0.15</v>
      </c>
      <c r="G24" s="80">
        <v>484.94</v>
      </c>
      <c r="H24" s="81">
        <f t="shared" si="0"/>
        <v>7.2741E-2</v>
      </c>
      <c r="I24" s="17">
        <f t="shared" si="3"/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2"/>
        <v>6.3799999999999996E-2</v>
      </c>
      <c r="G25" s="80">
        <v>684.05</v>
      </c>
      <c r="H25" s="81">
        <f t="shared" si="0"/>
        <v>4.3642389999999989E-2</v>
      </c>
      <c r="I25" s="17">
        <f t="shared" si="3"/>
        <v>43.642389999999992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203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customHeight="1">
      <c r="A30" s="69">
        <v>6</v>
      </c>
      <c r="B30" s="70" t="s">
        <v>159</v>
      </c>
      <c r="C30" s="78" t="s">
        <v>122</v>
      </c>
      <c r="D30" s="70" t="s">
        <v>152</v>
      </c>
      <c r="E30" s="80">
        <v>65.099999999999994</v>
      </c>
      <c r="F30" s="80">
        <f>SUM(E30*52/1000)</f>
        <v>3.3851999999999998</v>
      </c>
      <c r="G30" s="80">
        <v>193.97</v>
      </c>
      <c r="H30" s="81">
        <f t="shared" ref="H30:H35" si="4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customHeight="1">
      <c r="A31" s="69">
        <v>7</v>
      </c>
      <c r="B31" s="70" t="s">
        <v>160</v>
      </c>
      <c r="C31" s="78" t="s">
        <v>122</v>
      </c>
      <c r="D31" s="70" t="s">
        <v>153</v>
      </c>
      <c r="E31" s="80">
        <v>65.099999999999994</v>
      </c>
      <c r="F31" s="80">
        <f>SUM(E31*78/1000)</f>
        <v>5.077799999999999</v>
      </c>
      <c r="G31" s="80">
        <v>321.82</v>
      </c>
      <c r="H31" s="81">
        <f t="shared" si="4"/>
        <v>1.6341375959999995</v>
      </c>
      <c r="I31" s="17">
        <f t="shared" ref="I31:I33" si="5">F31/6*G31</f>
        <v>272.35626599999995</v>
      </c>
      <c r="J31" s="27"/>
      <c r="K31" s="10"/>
      <c r="L31" s="10"/>
      <c r="M31" s="10"/>
    </row>
    <row r="32" spans="1:13" ht="15.75" hidden="1" customHeight="1">
      <c r="A32" s="69">
        <v>15</v>
      </c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si="4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customHeight="1">
      <c r="A33" s="69">
        <v>8</v>
      </c>
      <c r="B33" s="70" t="s">
        <v>161</v>
      </c>
      <c r="C33" s="78" t="s">
        <v>30</v>
      </c>
      <c r="D33" s="70" t="s">
        <v>62</v>
      </c>
      <c r="E33" s="88">
        <f>1/6</f>
        <v>0.16666666666666666</v>
      </c>
      <c r="F33" s="80">
        <f>155/6</f>
        <v>25.833333333333332</v>
      </c>
      <c r="G33" s="80">
        <v>70.540000000000006</v>
      </c>
      <c r="H33" s="81">
        <f t="shared" si="4"/>
        <v>1.8222833333333333</v>
      </c>
      <c r="I33" s="17">
        <f t="shared" si="5"/>
        <v>303.7138888888889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si="4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4"/>
        <v>1.4139600000000001</v>
      </c>
      <c r="I35" s="17">
        <v>0</v>
      </c>
      <c r="J35" s="27"/>
      <c r="K35" s="10"/>
      <c r="L35" s="10"/>
      <c r="M35" s="10"/>
    </row>
    <row r="36" spans="1:13" ht="15.75" hidden="1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hidden="1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6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hidden="1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hidden="1" customHeight="1">
      <c r="A40" s="38">
        <v>9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6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hidden="1" customHeight="1">
      <c r="A41" s="38">
        <v>10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6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11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6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hidden="1" customHeight="1">
      <c r="A43" s="38">
        <v>12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6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hidden="1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9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7">SUM(F45*G45/1000)</f>
        <v>2.721961968</v>
      </c>
      <c r="I45" s="17">
        <f t="shared" ref="I45:I47" si="8">F45/2*G45</f>
        <v>1360.980984</v>
      </c>
      <c r="J45" s="27"/>
      <c r="K45" s="10"/>
      <c r="L45" s="10"/>
      <c r="M45" s="10"/>
    </row>
    <row r="46" spans="1:13" ht="15.75" hidden="1" customHeight="1">
      <c r="A46" s="47">
        <v>10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7"/>
        <v>4.2862477871999998</v>
      </c>
      <c r="I46" s="17">
        <f t="shared" si="8"/>
        <v>2143.1238936</v>
      </c>
      <c r="J46" s="27"/>
      <c r="K46" s="10"/>
      <c r="L46" s="10"/>
      <c r="M46" s="10"/>
    </row>
    <row r="47" spans="1:13" ht="15.75" hidden="1" customHeight="1">
      <c r="A47" s="47">
        <v>11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7"/>
        <v>3.0571051328000003</v>
      </c>
      <c r="I47" s="17">
        <f t="shared" si="8"/>
        <v>1528.5525664000002</v>
      </c>
      <c r="J47" s="27"/>
      <c r="K47" s="10"/>
      <c r="L47" s="10"/>
      <c r="M47" s="10"/>
    </row>
    <row r="48" spans="1:13" ht="15.75" hidden="1" customHeight="1">
      <c r="A48" s="47">
        <v>12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7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hidden="1" customHeight="1">
      <c r="A49" s="47">
        <v>13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7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14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7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15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7"/>
        <v>1.2321280000000001</v>
      </c>
      <c r="I51" s="17">
        <f t="shared" ref="I51:I52" si="9">F51/2*G51</f>
        <v>616.06400000000008</v>
      </c>
      <c r="J51" s="27"/>
      <c r="K51" s="10"/>
    </row>
    <row r="52" spans="1:14" ht="15.75" hidden="1" customHeight="1">
      <c r="A52" s="47">
        <v>16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7"/>
        <v>0.1406626</v>
      </c>
      <c r="I52" s="17">
        <f t="shared" si="9"/>
        <v>70.331299999999999</v>
      </c>
      <c r="J52" s="77"/>
    </row>
    <row r="53" spans="1:14" ht="15.75" hidden="1" customHeight="1">
      <c r="A53" s="47">
        <v>17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7"/>
        <v>33.715199999999996</v>
      </c>
      <c r="I53" s="17">
        <f>E53*G53</f>
        <v>11238.4</v>
      </c>
      <c r="J53" s="77"/>
    </row>
    <row r="54" spans="1:14" ht="15.75" hidden="1" customHeight="1">
      <c r="A54" s="47">
        <v>18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7"/>
        <v>31.384319999999999</v>
      </c>
      <c r="I54" s="17">
        <f>E54*G54</f>
        <v>10461.44</v>
      </c>
      <c r="J54" s="77"/>
    </row>
    <row r="55" spans="1:14" ht="15.75" customHeight="1">
      <c r="A55" s="146" t="s">
        <v>87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hidden="1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hidden="1" customHeight="1">
      <c r="A57" s="47">
        <v>13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hidden="1" customHeight="1">
      <c r="A58" s="47">
        <v>9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G58*3</f>
        <v>4503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10">SUM(F62*G62/1000)</f>
        <v>0.27673999999999999</v>
      </c>
      <c r="I62" s="17">
        <f>G62*7</f>
        <v>1937.18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10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>
        <v>25</v>
      </c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10"/>
        <v>26.536274799999997</v>
      </c>
      <c r="I64" s="17">
        <f>F64*G64</f>
        <v>26536.274799999999</v>
      </c>
      <c r="J64" s="77"/>
      <c r="L64" s="24"/>
      <c r="M64" s="25"/>
      <c r="N64" s="26"/>
    </row>
    <row r="65" spans="1:14" ht="15.75" hidden="1" customHeight="1">
      <c r="A65" s="68">
        <v>26</v>
      </c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10"/>
        <v>2.0663896399999997</v>
      </c>
      <c r="I65" s="17">
        <f t="shared" ref="I65:I68" si="11">F65*G65</f>
        <v>2066.3896399999999</v>
      </c>
      <c r="J65" s="77"/>
      <c r="L65" s="24"/>
      <c r="M65" s="25"/>
      <c r="N65" s="26"/>
    </row>
    <row r="66" spans="1:14" ht="15.75" hidden="1" customHeight="1">
      <c r="A66" s="68">
        <v>27</v>
      </c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10"/>
        <v>56.793660000000003</v>
      </c>
      <c r="I66" s="17">
        <f t="shared" si="11"/>
        <v>56793.66</v>
      </c>
      <c r="J66" s="77"/>
      <c r="L66" s="24"/>
      <c r="M66" s="25"/>
      <c r="N66" s="26"/>
    </row>
    <row r="67" spans="1:14" ht="15.75" hidden="1" customHeight="1">
      <c r="A67" s="68">
        <v>28</v>
      </c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10"/>
        <v>0.44603000000000004</v>
      </c>
      <c r="I67" s="17">
        <f t="shared" si="11"/>
        <v>446.03000000000003</v>
      </c>
      <c r="J67" s="77"/>
      <c r="L67" s="24"/>
      <c r="M67" s="25"/>
      <c r="N67" s="26"/>
    </row>
    <row r="68" spans="1:14" ht="15.75" hidden="1" customHeight="1">
      <c r="A68" s="68">
        <v>29</v>
      </c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10"/>
        <v>0.41613800000000001</v>
      </c>
      <c r="I68" s="17">
        <f t="shared" si="11"/>
        <v>416.13800000000003</v>
      </c>
      <c r="J68" s="77"/>
      <c r="L68" s="24"/>
      <c r="M68" s="25"/>
      <c r="N68" s="26"/>
    </row>
    <row r="69" spans="1:14" ht="15.75" hidden="1" customHeight="1">
      <c r="A69" s="68">
        <v>19</v>
      </c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10"/>
        <v>0.12414</v>
      </c>
      <c r="I69" s="17">
        <f>G69*2</f>
        <v>124.14</v>
      </c>
      <c r="J69" s="77"/>
      <c r="L69" s="24"/>
      <c r="M69" s="25"/>
      <c r="N69" s="26"/>
    </row>
    <row r="70" spans="1:14" ht="15.75" customHeight="1">
      <c r="A70" s="69">
        <v>10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10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31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f>G72</f>
        <v>22720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12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12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12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13">SUM(F80*G80/1000)</f>
        <v>3.4336799999999998</v>
      </c>
      <c r="I80" s="17">
        <v>0</v>
      </c>
      <c r="J80" s="77"/>
      <c r="L80" s="24"/>
      <c r="M80" s="25"/>
      <c r="N80" s="26"/>
    </row>
    <row r="81" spans="1:22" ht="15.75" customHeight="1">
      <c r="A81" s="152" t="s">
        <v>148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22" ht="15.75" customHeight="1">
      <c r="A82" s="69">
        <v>11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22" ht="31.5" customHeight="1">
      <c r="A83" s="31">
        <v>12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22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SUM(I16+I17+I18+I26+I27+I30+I31+I33+I62+I70+I82+I83)</f>
        <v>44109.175845555554</v>
      </c>
      <c r="J84" s="77"/>
      <c r="L84" s="24"/>
      <c r="M84" s="25"/>
      <c r="N84" s="26"/>
    </row>
    <row r="85" spans="1:22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22" ht="15.75" customHeight="1">
      <c r="A86" s="69">
        <v>13</v>
      </c>
      <c r="B86" s="100" t="s">
        <v>204</v>
      </c>
      <c r="C86" s="99" t="s">
        <v>93</v>
      </c>
      <c r="D86" s="43"/>
      <c r="E86" s="22"/>
      <c r="F86" s="41">
        <f>98/3</f>
        <v>32.666666666666664</v>
      </c>
      <c r="G86" s="41">
        <v>1120.8900000000001</v>
      </c>
      <c r="H86" s="124">
        <f t="shared" ref="H86:H87" si="14">G86*F86/1000</f>
        <v>36.615739999999995</v>
      </c>
      <c r="I86" s="102">
        <f>G86*((10+3+10)/3)</f>
        <v>8593.4900000000016</v>
      </c>
      <c r="J86" s="77"/>
      <c r="L86" s="24"/>
      <c r="M86" s="25"/>
      <c r="N86" s="26"/>
    </row>
    <row r="87" spans="1:22" ht="31.5" customHeight="1">
      <c r="A87" s="69">
        <v>14</v>
      </c>
      <c r="B87" s="64" t="s">
        <v>205</v>
      </c>
      <c r="C87" s="97" t="s">
        <v>78</v>
      </c>
      <c r="D87" s="43"/>
      <c r="E87" s="22"/>
      <c r="F87" s="41">
        <v>4</v>
      </c>
      <c r="G87" s="41">
        <v>1187</v>
      </c>
      <c r="H87" s="124">
        <f t="shared" si="14"/>
        <v>4.7480000000000002</v>
      </c>
      <c r="I87" s="102">
        <f>G87*4</f>
        <v>4748</v>
      </c>
      <c r="J87" s="77"/>
      <c r="L87" s="24"/>
      <c r="M87" s="25"/>
      <c r="N87" s="26"/>
    </row>
    <row r="88" spans="1:22" ht="15.75" customHeight="1">
      <c r="A88" s="31"/>
      <c r="B88" s="52" t="s">
        <v>51</v>
      </c>
      <c r="C88" s="48"/>
      <c r="D88" s="62"/>
      <c r="E88" s="48">
        <v>1</v>
      </c>
      <c r="F88" s="48"/>
      <c r="G88" s="48"/>
      <c r="H88" s="48"/>
      <c r="I88" s="35">
        <f>SUM(I86:I87)</f>
        <v>13341.490000000002</v>
      </c>
      <c r="J88" s="77"/>
      <c r="L88" s="24"/>
      <c r="M88" s="25"/>
      <c r="N88" s="26"/>
    </row>
    <row r="89" spans="1:22" ht="15.75" customHeight="1">
      <c r="A89" s="31"/>
      <c r="B89" s="57" t="s">
        <v>75</v>
      </c>
      <c r="C89" s="20"/>
      <c r="D89" s="20"/>
      <c r="E89" s="49"/>
      <c r="F89" s="49"/>
      <c r="G89" s="50"/>
      <c r="H89" s="50"/>
      <c r="I89" s="22">
        <v>0</v>
      </c>
      <c r="J89" s="77"/>
      <c r="L89" s="24"/>
      <c r="M89" s="25"/>
      <c r="N89" s="26"/>
    </row>
    <row r="90" spans="1:22" ht="15.75" customHeight="1">
      <c r="A90" s="63"/>
      <c r="B90" s="53" t="s">
        <v>172</v>
      </c>
      <c r="C90" s="39"/>
      <c r="D90" s="39"/>
      <c r="E90" s="39"/>
      <c r="F90" s="39"/>
      <c r="G90" s="39"/>
      <c r="H90" s="39"/>
      <c r="I90" s="51">
        <f>I84+I88</f>
        <v>57450.665845555559</v>
      </c>
      <c r="J90" s="77"/>
      <c r="L90" s="24"/>
    </row>
    <row r="91" spans="1:22" ht="15.75">
      <c r="A91" s="135" t="s">
        <v>206</v>
      </c>
      <c r="B91" s="135"/>
      <c r="C91" s="135"/>
      <c r="D91" s="135"/>
      <c r="E91" s="135"/>
      <c r="F91" s="135"/>
      <c r="G91" s="135"/>
      <c r="H91" s="135"/>
      <c r="I91" s="135"/>
    </row>
    <row r="92" spans="1:22" ht="15.75">
      <c r="A92" s="12"/>
      <c r="B92" s="145" t="s">
        <v>207</v>
      </c>
      <c r="C92" s="145"/>
      <c r="D92" s="145"/>
      <c r="E92" s="145"/>
      <c r="F92" s="145"/>
      <c r="G92" s="145"/>
      <c r="H92" s="104"/>
      <c r="I92" s="4"/>
    </row>
    <row r="93" spans="1:22" ht="15.75">
      <c r="A93" s="72"/>
      <c r="B93" s="138" t="s">
        <v>6</v>
      </c>
      <c r="C93" s="138"/>
      <c r="D93" s="138"/>
      <c r="E93" s="138"/>
      <c r="F93" s="138"/>
      <c r="G93" s="138"/>
      <c r="H93" s="76"/>
      <c r="I93" s="59"/>
    </row>
    <row r="94" spans="1:22" ht="15.75" customHeight="1">
      <c r="A94" s="60"/>
      <c r="B94" s="60"/>
      <c r="C94" s="60"/>
      <c r="D94" s="60"/>
      <c r="E94" s="60"/>
      <c r="F94" s="60"/>
      <c r="G94" s="60"/>
      <c r="H94" s="60"/>
      <c r="I94" s="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39" t="s">
        <v>7</v>
      </c>
      <c r="B95" s="139"/>
      <c r="C95" s="139"/>
      <c r="D95" s="139"/>
      <c r="E95" s="139"/>
      <c r="F95" s="139"/>
      <c r="G95" s="139"/>
      <c r="H95" s="139"/>
      <c r="I95" s="139"/>
      <c r="J95" s="29"/>
      <c r="K95" s="29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39" t="s">
        <v>8</v>
      </c>
      <c r="B96" s="139"/>
      <c r="C96" s="139"/>
      <c r="D96" s="139"/>
      <c r="E96" s="139"/>
      <c r="F96" s="139"/>
      <c r="G96" s="139"/>
      <c r="H96" s="139"/>
      <c r="I96" s="139"/>
      <c r="J96" s="4"/>
      <c r="K96" s="4"/>
      <c r="L96" s="4"/>
      <c r="M96" s="4"/>
      <c r="N96" s="4"/>
      <c r="O96" s="4"/>
      <c r="P96" s="4"/>
      <c r="Q96" s="4"/>
      <c r="S96" s="4"/>
      <c r="T96" s="4"/>
      <c r="U96" s="4"/>
    </row>
    <row r="97" spans="1:21" ht="15.75">
      <c r="A97" s="135" t="s">
        <v>9</v>
      </c>
      <c r="B97" s="135"/>
      <c r="C97" s="135"/>
      <c r="D97" s="135"/>
      <c r="E97" s="135"/>
      <c r="F97" s="135"/>
      <c r="G97" s="135"/>
      <c r="H97" s="135"/>
      <c r="I97" s="135"/>
      <c r="J97" s="6"/>
      <c r="K97" s="6"/>
      <c r="L97" s="6"/>
      <c r="M97" s="6"/>
      <c r="N97" s="6"/>
      <c r="O97" s="6"/>
      <c r="P97" s="6"/>
      <c r="Q97" s="6"/>
      <c r="R97" s="137"/>
      <c r="S97" s="137"/>
      <c r="T97" s="137"/>
      <c r="U97" s="137"/>
    </row>
    <row r="98" spans="1:21" ht="15.75">
      <c r="A98" s="13"/>
      <c r="B98" s="58"/>
      <c r="C98" s="58"/>
      <c r="D98" s="58"/>
      <c r="E98" s="58"/>
      <c r="F98" s="58"/>
      <c r="G98" s="58"/>
      <c r="H98" s="58"/>
      <c r="I98" s="58"/>
    </row>
    <row r="99" spans="1:21" ht="15.75">
      <c r="A99" s="141" t="s">
        <v>10</v>
      </c>
      <c r="B99" s="141"/>
      <c r="C99" s="141"/>
      <c r="D99" s="141"/>
      <c r="E99" s="141"/>
      <c r="F99" s="141"/>
      <c r="G99" s="141"/>
      <c r="H99" s="141"/>
      <c r="I99" s="141"/>
    </row>
    <row r="100" spans="1:21" ht="15.75" customHeight="1">
      <c r="A100" s="5"/>
    </row>
    <row r="101" spans="1:21" ht="15.75">
      <c r="A101" s="135" t="s">
        <v>11</v>
      </c>
      <c r="B101" s="135"/>
      <c r="C101" s="140" t="s">
        <v>92</v>
      </c>
      <c r="D101" s="140"/>
      <c r="E101" s="140"/>
      <c r="F101" s="74"/>
      <c r="I101" s="109"/>
    </row>
    <row r="102" spans="1:21">
      <c r="A102" s="110"/>
      <c r="C102" s="134" t="s">
        <v>12</v>
      </c>
      <c r="D102" s="134"/>
      <c r="E102" s="134"/>
      <c r="F102" s="28"/>
      <c r="I102" s="108" t="s">
        <v>13</v>
      </c>
    </row>
    <row r="103" spans="1:21" ht="15.75">
      <c r="A103" s="29"/>
      <c r="C103" s="14"/>
      <c r="D103" s="14"/>
      <c r="G103" s="14"/>
      <c r="H103" s="14"/>
    </row>
    <row r="104" spans="1:21" ht="15.75" customHeight="1">
      <c r="A104" s="135" t="s">
        <v>14</v>
      </c>
      <c r="B104" s="135"/>
      <c r="C104" s="136"/>
      <c r="D104" s="136"/>
      <c r="E104" s="136"/>
      <c r="F104" s="75"/>
      <c r="I104" s="109"/>
    </row>
    <row r="105" spans="1:21">
      <c r="A105" s="110"/>
      <c r="C105" s="137" t="s">
        <v>12</v>
      </c>
      <c r="D105" s="137"/>
      <c r="E105" s="137"/>
      <c r="F105" s="110"/>
      <c r="I105" s="108" t="s">
        <v>13</v>
      </c>
    </row>
    <row r="106" spans="1:21" ht="15.75">
      <c r="A106" s="5" t="s">
        <v>15</v>
      </c>
    </row>
    <row r="107" spans="1:21">
      <c r="A107" s="132" t="s">
        <v>16</v>
      </c>
      <c r="B107" s="132"/>
      <c r="C107" s="132"/>
      <c r="D107" s="132"/>
      <c r="E107" s="132"/>
      <c r="F107" s="132"/>
      <c r="G107" s="132"/>
      <c r="H107" s="132"/>
      <c r="I107" s="132"/>
    </row>
    <row r="108" spans="1:21" ht="45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21" ht="30" customHeight="1">
      <c r="A109" s="133" t="s">
        <v>18</v>
      </c>
      <c r="B109" s="133"/>
      <c r="C109" s="133"/>
      <c r="D109" s="133"/>
      <c r="E109" s="133"/>
      <c r="F109" s="133"/>
      <c r="G109" s="133"/>
      <c r="H109" s="133"/>
      <c r="I109" s="133"/>
    </row>
    <row r="110" spans="1:21" ht="30" customHeight="1">
      <c r="A110" s="133" t="s">
        <v>22</v>
      </c>
      <c r="B110" s="133"/>
      <c r="C110" s="133"/>
      <c r="D110" s="133"/>
      <c r="E110" s="133"/>
      <c r="F110" s="133"/>
      <c r="G110" s="133"/>
      <c r="H110" s="133"/>
      <c r="I110" s="133"/>
    </row>
    <row r="111" spans="1:21" ht="15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3" spans="1:8">
      <c r="A113" s="15"/>
      <c r="B113" s="15"/>
      <c r="C113" s="15"/>
      <c r="D113" s="15"/>
      <c r="E113" s="15"/>
      <c r="F113" s="15"/>
      <c r="G113" s="15"/>
      <c r="H113" s="15"/>
    </row>
  </sheetData>
  <autoFilter ref="I15:I92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1:I91"/>
    <mergeCell ref="B92:G92"/>
    <mergeCell ref="B93:G93"/>
    <mergeCell ref="A95:I95"/>
    <mergeCell ref="A96:I96"/>
    <mergeCell ref="A111:I111"/>
    <mergeCell ref="R97:U97"/>
    <mergeCell ref="A99:I99"/>
    <mergeCell ref="A101:B101"/>
    <mergeCell ref="C101:E101"/>
    <mergeCell ref="C102:E102"/>
    <mergeCell ref="A104:B104"/>
    <mergeCell ref="C104:E104"/>
    <mergeCell ref="A97:I97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208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209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16"/>
      <c r="C6" s="116"/>
      <c r="D6" s="116"/>
      <c r="E6" s="116"/>
      <c r="F6" s="116"/>
      <c r="G6" s="116"/>
      <c r="H6" s="116"/>
      <c r="I6" s="34">
        <v>43069</v>
      </c>
    </row>
    <row r="7" spans="1:15" ht="15.75">
      <c r="B7" s="112"/>
      <c r="C7" s="112"/>
      <c r="D7" s="112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f>F19/2*G19</f>
        <v>423.48</v>
      </c>
      <c r="J19" s="10"/>
      <c r="K19" s="10"/>
      <c r="L19" s="10"/>
      <c r="M19" s="10"/>
    </row>
    <row r="20" spans="1:13" ht="15.75" hidden="1" customHeight="1">
      <c r="A20" s="31">
        <v>5</v>
      </c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f t="shared" ref="I20:I21" si="1">F20/2*G20</f>
        <v>28.467600000000001</v>
      </c>
      <c r="J20" s="10"/>
      <c r="K20" s="10"/>
      <c r="L20" s="10"/>
      <c r="M20" s="10"/>
    </row>
    <row r="21" spans="1:13" ht="15.75" hidden="1" customHeight="1">
      <c r="A21" s="31">
        <v>6</v>
      </c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f t="shared" si="1"/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2">SUM(E22/100)</f>
        <v>3.57</v>
      </c>
      <c r="G22" s="80">
        <v>335.05</v>
      </c>
      <c r="H22" s="81">
        <f t="shared" si="0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2"/>
        <v>0.38640000000000002</v>
      </c>
      <c r="G23" s="80">
        <v>55.1</v>
      </c>
      <c r="H23" s="81">
        <f t="shared" si="0"/>
        <v>2.1290640000000003E-2</v>
      </c>
      <c r="I23" s="17">
        <f t="shared" ref="I23:I25" si="3">F23*G23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2"/>
        <v>0.15</v>
      </c>
      <c r="G24" s="80">
        <v>484.94</v>
      </c>
      <c r="H24" s="81">
        <f t="shared" si="0"/>
        <v>7.2741E-2</v>
      </c>
      <c r="I24" s="17">
        <f t="shared" si="3"/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2"/>
        <v>6.3799999999999996E-2</v>
      </c>
      <c r="G25" s="80">
        <v>684.05</v>
      </c>
      <c r="H25" s="81">
        <f t="shared" si="0"/>
        <v>4.3642389999999989E-2</v>
      </c>
      <c r="I25" s="17">
        <f t="shared" si="3"/>
        <v>43.642389999999992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203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hidden="1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hidden="1" customHeight="1">
      <c r="A30" s="69">
        <v>6</v>
      </c>
      <c r="B30" s="70" t="s">
        <v>159</v>
      </c>
      <c r="C30" s="78" t="s">
        <v>122</v>
      </c>
      <c r="D30" s="70" t="s">
        <v>152</v>
      </c>
      <c r="E30" s="80">
        <v>65.099999999999994</v>
      </c>
      <c r="F30" s="80">
        <f>SUM(E30*52/1000)</f>
        <v>3.3851999999999998</v>
      </c>
      <c r="G30" s="80">
        <v>193.97</v>
      </c>
      <c r="H30" s="81">
        <f t="shared" ref="H30:H35" si="4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hidden="1" customHeight="1">
      <c r="A31" s="69">
        <v>7</v>
      </c>
      <c r="B31" s="70" t="s">
        <v>160</v>
      </c>
      <c r="C31" s="78" t="s">
        <v>122</v>
      </c>
      <c r="D31" s="70" t="s">
        <v>153</v>
      </c>
      <c r="E31" s="80">
        <v>65.099999999999994</v>
      </c>
      <c r="F31" s="80">
        <f>SUM(E31*78/1000)</f>
        <v>5.077799999999999</v>
      </c>
      <c r="G31" s="80">
        <v>321.82</v>
      </c>
      <c r="H31" s="81">
        <f t="shared" si="4"/>
        <v>1.6341375959999995</v>
      </c>
      <c r="I31" s="17">
        <f t="shared" ref="I31:I33" si="5">F31/6*G31</f>
        <v>272.35626599999995</v>
      </c>
      <c r="J31" s="27"/>
      <c r="K31" s="10"/>
      <c r="L31" s="10"/>
      <c r="M31" s="10"/>
    </row>
    <row r="32" spans="1:13" ht="15.75" hidden="1" customHeight="1">
      <c r="A32" s="69">
        <v>15</v>
      </c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si="4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hidden="1" customHeight="1">
      <c r="A33" s="69">
        <v>8</v>
      </c>
      <c r="B33" s="70" t="s">
        <v>161</v>
      </c>
      <c r="C33" s="78" t="s">
        <v>30</v>
      </c>
      <c r="D33" s="70" t="s">
        <v>62</v>
      </c>
      <c r="E33" s="88">
        <f>1/6</f>
        <v>0.16666666666666666</v>
      </c>
      <c r="F33" s="80">
        <f>155/6</f>
        <v>25.833333333333332</v>
      </c>
      <c r="G33" s="80">
        <v>70.540000000000006</v>
      </c>
      <c r="H33" s="81">
        <f t="shared" si="4"/>
        <v>1.8222833333333333</v>
      </c>
      <c r="I33" s="17">
        <f t="shared" si="5"/>
        <v>303.7138888888889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si="4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4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6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customHeight="1">
      <c r="A40" s="38">
        <v>8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6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9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6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10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6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customHeight="1">
      <c r="A43" s="38">
        <v>10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6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hidden="1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9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7">SUM(F45*G45/1000)</f>
        <v>2.721961968</v>
      </c>
      <c r="I45" s="17">
        <f t="shared" ref="I45:I47" si="8">F45/2*G45</f>
        <v>1360.980984</v>
      </c>
      <c r="J45" s="27"/>
      <c r="K45" s="10"/>
      <c r="L45" s="10"/>
      <c r="M45" s="10"/>
    </row>
    <row r="46" spans="1:13" ht="15.75" hidden="1" customHeight="1">
      <c r="A46" s="47">
        <v>10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7"/>
        <v>4.2862477871999998</v>
      </c>
      <c r="I46" s="17">
        <f t="shared" si="8"/>
        <v>2143.1238936</v>
      </c>
      <c r="J46" s="27"/>
      <c r="K46" s="10"/>
      <c r="L46" s="10"/>
      <c r="M46" s="10"/>
    </row>
    <row r="47" spans="1:13" ht="15.75" hidden="1" customHeight="1">
      <c r="A47" s="47">
        <v>11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7"/>
        <v>3.0571051328000003</v>
      </c>
      <c r="I47" s="17">
        <f t="shared" si="8"/>
        <v>1528.5525664000002</v>
      </c>
      <c r="J47" s="27"/>
      <c r="K47" s="10"/>
      <c r="L47" s="10"/>
      <c r="M47" s="10"/>
    </row>
    <row r="48" spans="1:13" ht="15.75" hidden="1" customHeight="1">
      <c r="A48" s="47">
        <v>12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7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hidden="1" customHeight="1">
      <c r="A49" s="47">
        <v>13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7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14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7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15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7"/>
        <v>1.2321280000000001</v>
      </c>
      <c r="I51" s="17">
        <f t="shared" ref="I51:I52" si="9">F51/2*G51</f>
        <v>616.06400000000008</v>
      </c>
      <c r="J51" s="27"/>
      <c r="K51" s="10"/>
    </row>
    <row r="52" spans="1:14" ht="15.75" hidden="1" customHeight="1">
      <c r="A52" s="47">
        <v>16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7"/>
        <v>0.1406626</v>
      </c>
      <c r="I52" s="17">
        <f t="shared" si="9"/>
        <v>70.331299999999999</v>
      </c>
      <c r="J52" s="77"/>
    </row>
    <row r="53" spans="1:14" ht="15.75" hidden="1" customHeight="1">
      <c r="A53" s="47">
        <v>17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7"/>
        <v>33.715199999999996</v>
      </c>
      <c r="I53" s="17">
        <f>E53*G53</f>
        <v>11238.4</v>
      </c>
      <c r="J53" s="77"/>
    </row>
    <row r="54" spans="1:14" ht="15.75" hidden="1" customHeight="1">
      <c r="A54" s="47">
        <v>18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7"/>
        <v>31.384319999999999</v>
      </c>
      <c r="I54" s="17">
        <f>E54*G54</f>
        <v>10461.44</v>
      </c>
      <c r="J54" s="77"/>
    </row>
    <row r="55" spans="1:14" ht="15.75" customHeight="1">
      <c r="A55" s="146" t="s">
        <v>87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customHeight="1">
      <c r="A56" s="117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customHeight="1">
      <c r="A57" s="47">
        <v>11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hidden="1" customHeight="1">
      <c r="A58" s="47">
        <v>9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G58*3</f>
        <v>4503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customHeight="1">
      <c r="A62" s="47">
        <v>12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10">SUM(F62*G62/1000)</f>
        <v>0.27673999999999999</v>
      </c>
      <c r="I62" s="17">
        <f>G62*2</f>
        <v>553.48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10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>
        <v>25</v>
      </c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10"/>
        <v>26.536274799999997</v>
      </c>
      <c r="I64" s="17">
        <f>F64*G64</f>
        <v>26536.274799999999</v>
      </c>
      <c r="J64" s="77"/>
      <c r="L64" s="24"/>
      <c r="M64" s="25"/>
      <c r="N64" s="26"/>
    </row>
    <row r="65" spans="1:14" ht="15.75" hidden="1" customHeight="1">
      <c r="A65" s="68">
        <v>26</v>
      </c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10"/>
        <v>2.0663896399999997</v>
      </c>
      <c r="I65" s="17">
        <f t="shared" ref="I65:I68" si="11">F65*G65</f>
        <v>2066.3896399999999</v>
      </c>
      <c r="J65" s="77"/>
      <c r="L65" s="24"/>
      <c r="M65" s="25"/>
      <c r="N65" s="26"/>
    </row>
    <row r="66" spans="1:14" ht="15.75" hidden="1" customHeight="1">
      <c r="A66" s="68">
        <v>27</v>
      </c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10"/>
        <v>56.793660000000003</v>
      </c>
      <c r="I66" s="17">
        <f t="shared" si="11"/>
        <v>56793.66</v>
      </c>
      <c r="J66" s="77"/>
      <c r="L66" s="24"/>
      <c r="M66" s="25"/>
      <c r="N66" s="26"/>
    </row>
    <row r="67" spans="1:14" ht="15.75" hidden="1" customHeight="1">
      <c r="A67" s="68">
        <v>28</v>
      </c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10"/>
        <v>0.44603000000000004</v>
      </c>
      <c r="I67" s="17">
        <f t="shared" si="11"/>
        <v>446.03000000000003</v>
      </c>
      <c r="J67" s="77"/>
      <c r="L67" s="24"/>
      <c r="M67" s="25"/>
      <c r="N67" s="26"/>
    </row>
    <row r="68" spans="1:14" ht="15.75" hidden="1" customHeight="1">
      <c r="A68" s="68">
        <v>29</v>
      </c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10"/>
        <v>0.41613800000000001</v>
      </c>
      <c r="I68" s="17">
        <f t="shared" si="11"/>
        <v>416.13800000000003</v>
      </c>
      <c r="J68" s="77"/>
      <c r="L68" s="24"/>
      <c r="M68" s="25"/>
      <c r="N68" s="26"/>
    </row>
    <row r="69" spans="1:14" ht="15.75" hidden="1" customHeight="1">
      <c r="A69" s="68">
        <v>19</v>
      </c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10"/>
        <v>0.12414</v>
      </c>
      <c r="I69" s="17">
        <f>G69*2</f>
        <v>124.14</v>
      </c>
      <c r="J69" s="77"/>
      <c r="L69" s="24"/>
      <c r="M69" s="25"/>
      <c r="N69" s="26"/>
    </row>
    <row r="70" spans="1:14" ht="15.75" customHeight="1">
      <c r="A70" s="69">
        <v>13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10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31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f>G72</f>
        <v>22720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12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12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12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13">SUM(F80*G80/1000)</f>
        <v>3.4336799999999998</v>
      </c>
      <c r="I80" s="17">
        <v>0</v>
      </c>
      <c r="J80" s="77"/>
      <c r="L80" s="24"/>
      <c r="M80" s="25"/>
      <c r="N80" s="26"/>
    </row>
    <row r="81" spans="1:14" ht="15.75" customHeight="1">
      <c r="A81" s="152" t="s">
        <v>148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14" ht="15.75" customHeight="1">
      <c r="A82" s="69">
        <v>14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14" ht="31.5" customHeight="1">
      <c r="A83" s="31">
        <v>15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14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SUM(I16+I17+I18+I26+I27+I37+I38+I40+I41+I43+I57+I62+I70+I82+I83)</f>
        <v>46219.888950833338</v>
      </c>
      <c r="J84" s="77"/>
      <c r="L84" s="24"/>
      <c r="M84" s="25"/>
      <c r="N84" s="26"/>
    </row>
    <row r="85" spans="1:14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14" ht="15.75" customHeight="1">
      <c r="A86" s="31">
        <v>16</v>
      </c>
      <c r="B86" s="19" t="s">
        <v>188</v>
      </c>
      <c r="C86" s="21" t="s">
        <v>109</v>
      </c>
      <c r="D86" s="43"/>
      <c r="E86" s="22"/>
      <c r="F86" s="41">
        <v>2</v>
      </c>
      <c r="G86" s="41">
        <v>86.15</v>
      </c>
      <c r="H86" s="124">
        <f t="shared" ref="H86:H87" si="14">G86*F86/1000</f>
        <v>0.17230000000000001</v>
      </c>
      <c r="I86" s="102">
        <f>G86</f>
        <v>86.15</v>
      </c>
      <c r="J86" s="77"/>
      <c r="L86" s="24"/>
      <c r="M86" s="25"/>
      <c r="N86" s="26"/>
    </row>
    <row r="87" spans="1:14" ht="15.75" customHeight="1">
      <c r="A87" s="31">
        <v>17</v>
      </c>
      <c r="B87" s="64" t="s">
        <v>204</v>
      </c>
      <c r="C87" s="97" t="s">
        <v>93</v>
      </c>
      <c r="D87" s="43"/>
      <c r="E87" s="22"/>
      <c r="F87" s="41">
        <f>98/3</f>
        <v>32.666666666666664</v>
      </c>
      <c r="G87" s="41">
        <v>1120.8900000000001</v>
      </c>
      <c r="H87" s="124">
        <f t="shared" si="14"/>
        <v>36.615739999999995</v>
      </c>
      <c r="I87" s="102">
        <f>G87*((7+10+10+3+10)/3)</f>
        <v>14945.200000000003</v>
      </c>
      <c r="J87" s="77"/>
      <c r="L87" s="24"/>
      <c r="M87" s="25"/>
      <c r="N87" s="26"/>
    </row>
    <row r="88" spans="1:14" ht="15.75" customHeight="1">
      <c r="A88" s="31">
        <v>18</v>
      </c>
      <c r="B88" s="127" t="s">
        <v>210</v>
      </c>
      <c r="C88" s="47" t="s">
        <v>190</v>
      </c>
      <c r="D88" s="128"/>
      <c r="E88" s="41"/>
      <c r="F88" s="41">
        <f>0.5/10</f>
        <v>0.05</v>
      </c>
      <c r="G88" s="41">
        <v>381.08</v>
      </c>
      <c r="H88" s="124">
        <f>G88*F88/1000</f>
        <v>1.9053999999999998E-2</v>
      </c>
      <c r="I88" s="102">
        <f>G88*0.05</f>
        <v>19.053999999999998</v>
      </c>
      <c r="J88" s="77"/>
      <c r="L88" s="24"/>
      <c r="M88" s="25"/>
      <c r="N88" s="26"/>
    </row>
    <row r="89" spans="1:14" ht="15.75" customHeight="1">
      <c r="A89" s="31">
        <v>19</v>
      </c>
      <c r="B89" s="129" t="s">
        <v>211</v>
      </c>
      <c r="C89" s="130" t="s">
        <v>52</v>
      </c>
      <c r="D89" s="128"/>
      <c r="E89" s="41"/>
      <c r="F89" s="41">
        <f>0.5/100</f>
        <v>5.0000000000000001E-3</v>
      </c>
      <c r="G89" s="41">
        <v>51118.77</v>
      </c>
      <c r="H89" s="124">
        <f>G89*F89/1000</f>
        <v>0.25559385000000001</v>
      </c>
      <c r="I89" s="102">
        <f>G89*0.005</f>
        <v>255.59385</v>
      </c>
      <c r="J89" s="77"/>
      <c r="L89" s="24"/>
      <c r="M89" s="25"/>
      <c r="N89" s="26"/>
    </row>
    <row r="90" spans="1:14" ht="15.75" customHeight="1">
      <c r="A90" s="31">
        <v>20</v>
      </c>
      <c r="B90" s="70" t="s">
        <v>212</v>
      </c>
      <c r="C90" s="78" t="s">
        <v>109</v>
      </c>
      <c r="D90" s="43"/>
      <c r="E90" s="22"/>
      <c r="F90" s="41">
        <v>1</v>
      </c>
      <c r="G90" s="41">
        <v>185.08</v>
      </c>
      <c r="H90" s="124">
        <f t="shared" ref="H90:H91" si="15">G90*F90/1000</f>
        <v>0.18508000000000002</v>
      </c>
      <c r="I90" s="102">
        <f>G90</f>
        <v>185.08</v>
      </c>
      <c r="J90" s="77"/>
      <c r="L90" s="24"/>
      <c r="M90" s="25"/>
      <c r="N90" s="26"/>
    </row>
    <row r="91" spans="1:14" ht="15.75" customHeight="1">
      <c r="A91" s="31">
        <v>21</v>
      </c>
      <c r="B91" s="131" t="s">
        <v>213</v>
      </c>
      <c r="C91" s="130" t="s">
        <v>52</v>
      </c>
      <c r="D91" s="43"/>
      <c r="E91" s="22"/>
      <c r="F91" s="41">
        <f>4/100</f>
        <v>0.04</v>
      </c>
      <c r="G91" s="41">
        <v>72270.649999999994</v>
      </c>
      <c r="H91" s="124">
        <f t="shared" si="15"/>
        <v>2.8908260000000001</v>
      </c>
      <c r="I91" s="102">
        <f>G91*0.04</f>
        <v>2890.826</v>
      </c>
      <c r="J91" s="77"/>
      <c r="L91" s="24"/>
      <c r="M91" s="25"/>
      <c r="N91" s="26"/>
    </row>
    <row r="92" spans="1:14" ht="15.75" customHeight="1">
      <c r="A92" s="31"/>
      <c r="B92" s="52" t="s">
        <v>51</v>
      </c>
      <c r="C92" s="48"/>
      <c r="D92" s="62"/>
      <c r="E92" s="48">
        <v>1</v>
      </c>
      <c r="F92" s="48"/>
      <c r="G92" s="48"/>
      <c r="H92" s="48"/>
      <c r="I92" s="35">
        <f>SUM(I86:I91)</f>
        <v>18381.903850000002</v>
      </c>
      <c r="J92" s="77"/>
      <c r="L92" s="24"/>
      <c r="M92" s="25"/>
      <c r="N92" s="26"/>
    </row>
    <row r="93" spans="1:14" ht="15.75" customHeight="1">
      <c r="A93" s="31"/>
      <c r="B93" s="57" t="s">
        <v>75</v>
      </c>
      <c r="C93" s="20"/>
      <c r="D93" s="20"/>
      <c r="E93" s="49"/>
      <c r="F93" s="49"/>
      <c r="G93" s="50"/>
      <c r="H93" s="50"/>
      <c r="I93" s="22">
        <v>0</v>
      </c>
      <c r="J93" s="77"/>
      <c r="L93" s="24"/>
      <c r="M93" s="25"/>
      <c r="N93" s="26"/>
    </row>
    <row r="94" spans="1:14" ht="15.75" customHeight="1">
      <c r="A94" s="63"/>
      <c r="B94" s="53" t="s">
        <v>172</v>
      </c>
      <c r="C94" s="39"/>
      <c r="D94" s="39"/>
      <c r="E94" s="39"/>
      <c r="F94" s="39"/>
      <c r="G94" s="39"/>
      <c r="H94" s="39"/>
      <c r="I94" s="51">
        <f>I84+I92</f>
        <v>64601.79280083334</v>
      </c>
      <c r="J94" s="77"/>
      <c r="L94" s="24"/>
    </row>
    <row r="95" spans="1:14" ht="15.75">
      <c r="A95" s="135" t="s">
        <v>235</v>
      </c>
      <c r="B95" s="135"/>
      <c r="C95" s="135"/>
      <c r="D95" s="135"/>
      <c r="E95" s="135"/>
      <c r="F95" s="135"/>
      <c r="G95" s="135"/>
      <c r="H95" s="135"/>
      <c r="I95" s="135"/>
    </row>
    <row r="96" spans="1:14" ht="15.75">
      <c r="A96" s="12"/>
      <c r="B96" s="145" t="s">
        <v>236</v>
      </c>
      <c r="C96" s="145"/>
      <c r="D96" s="145"/>
      <c r="E96" s="145"/>
      <c r="F96" s="145"/>
      <c r="G96" s="145"/>
      <c r="H96" s="115"/>
      <c r="I96" s="4"/>
    </row>
    <row r="97" spans="1:22" ht="15.75">
      <c r="A97" s="72"/>
      <c r="B97" s="138" t="s">
        <v>6</v>
      </c>
      <c r="C97" s="138"/>
      <c r="D97" s="138"/>
      <c r="E97" s="138"/>
      <c r="F97" s="138"/>
      <c r="G97" s="138"/>
      <c r="H97" s="76"/>
      <c r="I97" s="59"/>
    </row>
    <row r="98" spans="1:22" ht="15.75" customHeight="1">
      <c r="A98" s="60"/>
      <c r="B98" s="60"/>
      <c r="C98" s="60"/>
      <c r="D98" s="60"/>
      <c r="E98" s="60"/>
      <c r="F98" s="60"/>
      <c r="G98" s="60"/>
      <c r="H98" s="60"/>
      <c r="I98" s="60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139" t="s">
        <v>7</v>
      </c>
      <c r="B99" s="139"/>
      <c r="C99" s="139"/>
      <c r="D99" s="139"/>
      <c r="E99" s="139"/>
      <c r="F99" s="139"/>
      <c r="G99" s="139"/>
      <c r="H99" s="139"/>
      <c r="I99" s="139"/>
      <c r="J99" s="29"/>
      <c r="K99" s="29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>
      <c r="A100" s="139" t="s">
        <v>8</v>
      </c>
      <c r="B100" s="139"/>
      <c r="C100" s="139"/>
      <c r="D100" s="139"/>
      <c r="E100" s="139"/>
      <c r="F100" s="139"/>
      <c r="G100" s="139"/>
      <c r="H100" s="139"/>
      <c r="I100" s="139"/>
      <c r="J100" s="4"/>
      <c r="K100" s="4"/>
      <c r="L100" s="4"/>
      <c r="M100" s="4"/>
      <c r="N100" s="4"/>
      <c r="O100" s="4"/>
      <c r="P100" s="4"/>
      <c r="Q100" s="4"/>
      <c r="S100" s="4"/>
      <c r="T100" s="4"/>
      <c r="U100" s="4"/>
    </row>
    <row r="101" spans="1:22" ht="15.75">
      <c r="A101" s="135" t="s">
        <v>9</v>
      </c>
      <c r="B101" s="135"/>
      <c r="C101" s="135"/>
      <c r="D101" s="135"/>
      <c r="E101" s="135"/>
      <c r="F101" s="135"/>
      <c r="G101" s="135"/>
      <c r="H101" s="135"/>
      <c r="I101" s="135"/>
      <c r="J101" s="6"/>
      <c r="K101" s="6"/>
      <c r="L101" s="6"/>
      <c r="M101" s="6"/>
      <c r="N101" s="6"/>
      <c r="O101" s="6"/>
      <c r="P101" s="6"/>
      <c r="Q101" s="6"/>
      <c r="R101" s="137"/>
      <c r="S101" s="137"/>
      <c r="T101" s="137"/>
      <c r="U101" s="137"/>
    </row>
    <row r="102" spans="1:22" ht="15.75">
      <c r="A102" s="13"/>
      <c r="B102" s="58"/>
      <c r="C102" s="58"/>
      <c r="D102" s="58"/>
      <c r="E102" s="58"/>
      <c r="F102" s="58"/>
      <c r="G102" s="58"/>
      <c r="H102" s="58"/>
      <c r="I102" s="58"/>
    </row>
    <row r="103" spans="1:22" ht="15.75">
      <c r="A103" s="141" t="s">
        <v>10</v>
      </c>
      <c r="B103" s="141"/>
      <c r="C103" s="141"/>
      <c r="D103" s="141"/>
      <c r="E103" s="141"/>
      <c r="F103" s="141"/>
      <c r="G103" s="141"/>
      <c r="H103" s="141"/>
      <c r="I103" s="141"/>
    </row>
    <row r="104" spans="1:22" ht="15.75" customHeight="1">
      <c r="A104" s="5"/>
    </row>
    <row r="105" spans="1:22" ht="15.75">
      <c r="A105" s="135" t="s">
        <v>11</v>
      </c>
      <c r="B105" s="135"/>
      <c r="C105" s="140" t="s">
        <v>92</v>
      </c>
      <c r="D105" s="140"/>
      <c r="E105" s="140"/>
      <c r="F105" s="74"/>
      <c r="I105" s="113"/>
    </row>
    <row r="106" spans="1:22">
      <c r="A106" s="114"/>
      <c r="C106" s="134" t="s">
        <v>12</v>
      </c>
      <c r="D106" s="134"/>
      <c r="E106" s="134"/>
      <c r="F106" s="28"/>
      <c r="I106" s="111" t="s">
        <v>13</v>
      </c>
    </row>
    <row r="107" spans="1:22" ht="15.75">
      <c r="A107" s="29"/>
      <c r="C107" s="14"/>
      <c r="D107" s="14"/>
      <c r="G107" s="14"/>
      <c r="H107" s="14"/>
    </row>
    <row r="108" spans="1:22" ht="15.75" customHeight="1">
      <c r="A108" s="135" t="s">
        <v>14</v>
      </c>
      <c r="B108" s="135"/>
      <c r="C108" s="136"/>
      <c r="D108" s="136"/>
      <c r="E108" s="136"/>
      <c r="F108" s="75"/>
      <c r="I108" s="113"/>
    </row>
    <row r="109" spans="1:22">
      <c r="A109" s="114"/>
      <c r="C109" s="137" t="s">
        <v>12</v>
      </c>
      <c r="D109" s="137"/>
      <c r="E109" s="137"/>
      <c r="F109" s="114"/>
      <c r="I109" s="111" t="s">
        <v>13</v>
      </c>
    </row>
    <row r="110" spans="1:22" ht="15.75">
      <c r="A110" s="5" t="s">
        <v>15</v>
      </c>
    </row>
    <row r="111" spans="1:22">
      <c r="A111" s="132" t="s">
        <v>16</v>
      </c>
      <c r="B111" s="132"/>
      <c r="C111" s="132"/>
      <c r="D111" s="132"/>
      <c r="E111" s="132"/>
      <c r="F111" s="132"/>
      <c r="G111" s="132"/>
      <c r="H111" s="132"/>
      <c r="I111" s="132"/>
    </row>
    <row r="112" spans="1:22" ht="45" customHeight="1">
      <c r="A112" s="133" t="s">
        <v>17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18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30" customHeight="1">
      <c r="A114" s="133" t="s">
        <v>22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15" customHeight="1">
      <c r="A115" s="133" t="s">
        <v>21</v>
      </c>
      <c r="B115" s="133"/>
      <c r="C115" s="133"/>
      <c r="D115" s="133"/>
      <c r="E115" s="133"/>
      <c r="F115" s="133"/>
      <c r="G115" s="133"/>
      <c r="H115" s="133"/>
      <c r="I115" s="133"/>
    </row>
    <row r="117" spans="1:9">
      <c r="A117" s="15"/>
      <c r="B117" s="15"/>
      <c r="C117" s="15"/>
      <c r="D117" s="15"/>
      <c r="E117" s="15"/>
      <c r="F117" s="15"/>
      <c r="G117" s="15"/>
      <c r="H117" s="15"/>
    </row>
  </sheetData>
  <autoFilter ref="I15:I96"/>
  <mergeCells count="31">
    <mergeCell ref="A115:I115"/>
    <mergeCell ref="R101:U101"/>
    <mergeCell ref="A103:I103"/>
    <mergeCell ref="A105:B105"/>
    <mergeCell ref="C105:E105"/>
    <mergeCell ref="C106:E106"/>
    <mergeCell ref="A108:B108"/>
    <mergeCell ref="C108:E108"/>
    <mergeCell ref="A101:I101"/>
    <mergeCell ref="C109:E109"/>
    <mergeCell ref="A111:I111"/>
    <mergeCell ref="A112:I112"/>
    <mergeCell ref="A113:I113"/>
    <mergeCell ref="A114:I114"/>
    <mergeCell ref="A95:I95"/>
    <mergeCell ref="B96:G96"/>
    <mergeCell ref="B97:G97"/>
    <mergeCell ref="A99:I99"/>
    <mergeCell ref="A100:I100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4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218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214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16"/>
      <c r="C6" s="116"/>
      <c r="D6" s="116"/>
      <c r="E6" s="116"/>
      <c r="F6" s="116"/>
      <c r="G6" s="116"/>
      <c r="H6" s="116"/>
      <c r="I6" s="34">
        <v>43100</v>
      </c>
    </row>
    <row r="7" spans="1:15" ht="15.75">
      <c r="B7" s="112"/>
      <c r="C7" s="112"/>
      <c r="D7" s="112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f>F19/2*G19</f>
        <v>423.48</v>
      </c>
      <c r="J19" s="10"/>
      <c r="K19" s="10"/>
      <c r="L19" s="10"/>
      <c r="M19" s="10"/>
    </row>
    <row r="20" spans="1:13" ht="15.75" hidden="1" customHeight="1">
      <c r="A20" s="31">
        <v>5</v>
      </c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f t="shared" ref="I20:I21" si="1">F20/2*G20</f>
        <v>28.467600000000001</v>
      </c>
      <c r="J20" s="10"/>
      <c r="K20" s="10"/>
      <c r="L20" s="10"/>
      <c r="M20" s="10"/>
    </row>
    <row r="21" spans="1:13" ht="15.75" hidden="1" customHeight="1">
      <c r="A21" s="31">
        <v>6</v>
      </c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f t="shared" si="1"/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2">SUM(E22/100)</f>
        <v>3.57</v>
      </c>
      <c r="G22" s="80">
        <v>335.05</v>
      </c>
      <c r="H22" s="81">
        <f t="shared" si="0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2"/>
        <v>0.38640000000000002</v>
      </c>
      <c r="G23" s="80">
        <v>55.1</v>
      </c>
      <c r="H23" s="81">
        <f t="shared" si="0"/>
        <v>2.1290640000000003E-2</v>
      </c>
      <c r="I23" s="17">
        <f t="shared" ref="I23:I25" si="3">F23*G23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2"/>
        <v>0.15</v>
      </c>
      <c r="G24" s="80">
        <v>484.94</v>
      </c>
      <c r="H24" s="81">
        <f t="shared" si="0"/>
        <v>7.2741E-2</v>
      </c>
      <c r="I24" s="17">
        <f t="shared" si="3"/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2"/>
        <v>6.3799999999999996E-2</v>
      </c>
      <c r="G25" s="80">
        <v>684.05</v>
      </c>
      <c r="H25" s="81">
        <f t="shared" si="0"/>
        <v>4.3642389999999989E-2</v>
      </c>
      <c r="I25" s="17">
        <f t="shared" si="3"/>
        <v>43.642389999999992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203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hidden="1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hidden="1" customHeight="1">
      <c r="A30" s="69">
        <v>6</v>
      </c>
      <c r="B30" s="70" t="s">
        <v>159</v>
      </c>
      <c r="C30" s="78" t="s">
        <v>122</v>
      </c>
      <c r="D30" s="70" t="s">
        <v>152</v>
      </c>
      <c r="E30" s="80">
        <v>65.099999999999994</v>
      </c>
      <c r="F30" s="80">
        <f>SUM(E30*52/1000)</f>
        <v>3.3851999999999998</v>
      </c>
      <c r="G30" s="80">
        <v>193.97</v>
      </c>
      <c r="H30" s="81">
        <f t="shared" ref="H30:H35" si="4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hidden="1" customHeight="1">
      <c r="A31" s="69">
        <v>7</v>
      </c>
      <c r="B31" s="70" t="s">
        <v>160</v>
      </c>
      <c r="C31" s="78" t="s">
        <v>122</v>
      </c>
      <c r="D31" s="70" t="s">
        <v>153</v>
      </c>
      <c r="E31" s="80">
        <v>65.099999999999994</v>
      </c>
      <c r="F31" s="80">
        <f>SUM(E31*78/1000)</f>
        <v>5.077799999999999</v>
      </c>
      <c r="G31" s="80">
        <v>321.82</v>
      </c>
      <c r="H31" s="81">
        <f t="shared" si="4"/>
        <v>1.6341375959999995</v>
      </c>
      <c r="I31" s="17">
        <f t="shared" ref="I31:I33" si="5">F31/6*G31</f>
        <v>272.35626599999995</v>
      </c>
      <c r="J31" s="27"/>
      <c r="K31" s="10"/>
      <c r="L31" s="10"/>
      <c r="M31" s="10"/>
    </row>
    <row r="32" spans="1:13" ht="15.75" hidden="1" customHeight="1">
      <c r="A32" s="69">
        <v>15</v>
      </c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si="4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hidden="1" customHeight="1">
      <c r="A33" s="69">
        <v>8</v>
      </c>
      <c r="B33" s="70" t="s">
        <v>161</v>
      </c>
      <c r="C33" s="78" t="s">
        <v>30</v>
      </c>
      <c r="D33" s="70" t="s">
        <v>62</v>
      </c>
      <c r="E33" s="88">
        <f>1/6</f>
        <v>0.16666666666666666</v>
      </c>
      <c r="F33" s="80">
        <f>155/6</f>
        <v>25.833333333333332</v>
      </c>
      <c r="G33" s="80">
        <v>70.540000000000006</v>
      </c>
      <c r="H33" s="81">
        <f t="shared" si="4"/>
        <v>1.8222833333333333</v>
      </c>
      <c r="I33" s="17">
        <f t="shared" si="5"/>
        <v>303.7138888888889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si="4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4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6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customHeight="1">
      <c r="A40" s="38">
        <v>8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6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9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6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10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6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customHeight="1">
      <c r="A43" s="38">
        <v>10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6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9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7">SUM(F45*G45/1000)</f>
        <v>2.721961968</v>
      </c>
      <c r="I45" s="17">
        <f t="shared" ref="I45:I47" si="8">F45/2*G45</f>
        <v>1360.980984</v>
      </c>
      <c r="J45" s="27"/>
      <c r="K45" s="10"/>
      <c r="L45" s="10"/>
      <c r="M45" s="10"/>
    </row>
    <row r="46" spans="1:13" ht="15.75" hidden="1" customHeight="1">
      <c r="A46" s="47">
        <v>10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7"/>
        <v>4.2862477871999998</v>
      </c>
      <c r="I46" s="17">
        <f t="shared" si="8"/>
        <v>2143.1238936</v>
      </c>
      <c r="J46" s="27"/>
      <c r="K46" s="10"/>
      <c r="L46" s="10"/>
      <c r="M46" s="10"/>
    </row>
    <row r="47" spans="1:13" ht="15.75" hidden="1" customHeight="1">
      <c r="A47" s="47">
        <v>11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7"/>
        <v>3.0571051328000003</v>
      </c>
      <c r="I47" s="17">
        <f t="shared" si="8"/>
        <v>1528.5525664000002</v>
      </c>
      <c r="J47" s="27"/>
      <c r="K47" s="10"/>
      <c r="L47" s="10"/>
      <c r="M47" s="10"/>
    </row>
    <row r="48" spans="1:13" ht="15.75" hidden="1" customHeight="1">
      <c r="A48" s="47">
        <v>12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7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customHeight="1">
      <c r="A49" s="47">
        <v>11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7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14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7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15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7"/>
        <v>1.2321280000000001</v>
      </c>
      <c r="I51" s="17">
        <f t="shared" ref="I51:I52" si="9">F51/2*G51</f>
        <v>616.06400000000008</v>
      </c>
      <c r="J51" s="27"/>
      <c r="K51" s="10"/>
    </row>
    <row r="52" spans="1:14" ht="15.75" hidden="1" customHeight="1">
      <c r="A52" s="47">
        <v>16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7"/>
        <v>0.1406626</v>
      </c>
      <c r="I52" s="17">
        <f t="shared" si="9"/>
        <v>70.331299999999999</v>
      </c>
      <c r="J52" s="77"/>
    </row>
    <row r="53" spans="1:14" ht="15.75" hidden="1" customHeight="1">
      <c r="A53" s="47">
        <v>17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7"/>
        <v>33.715199999999996</v>
      </c>
      <c r="I53" s="17">
        <f>E53*G53</f>
        <v>11238.4</v>
      </c>
      <c r="J53" s="77"/>
    </row>
    <row r="54" spans="1:14" ht="15.75" hidden="1" customHeight="1">
      <c r="A54" s="47">
        <v>18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7"/>
        <v>31.384319999999999</v>
      </c>
      <c r="I54" s="17">
        <f>E54*G54</f>
        <v>10461.44</v>
      </c>
      <c r="J54" s="77"/>
    </row>
    <row r="55" spans="1:14" ht="15.75" customHeight="1">
      <c r="A55" s="146" t="s">
        <v>87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customHeight="1">
      <c r="A56" s="117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customHeight="1">
      <c r="A57" s="47">
        <v>12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hidden="1" customHeight="1">
      <c r="A58" s="47">
        <v>9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G58*3</f>
        <v>4503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13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10">SUM(F62*G62/1000)</f>
        <v>0.27673999999999999</v>
      </c>
      <c r="I62" s="17">
        <f>G62*2</f>
        <v>553.48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10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>
        <v>25</v>
      </c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10"/>
        <v>26.536274799999997</v>
      </c>
      <c r="I64" s="17">
        <f>F64*G64</f>
        <v>26536.274799999999</v>
      </c>
      <c r="J64" s="77"/>
      <c r="L64" s="24"/>
      <c r="M64" s="25"/>
      <c r="N64" s="26"/>
    </row>
    <row r="65" spans="1:14" ht="15.75" hidden="1" customHeight="1">
      <c r="A65" s="68">
        <v>26</v>
      </c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10"/>
        <v>2.0663896399999997</v>
      </c>
      <c r="I65" s="17">
        <f t="shared" ref="I65:I68" si="11">F65*G65</f>
        <v>2066.3896399999999</v>
      </c>
      <c r="J65" s="77"/>
      <c r="L65" s="24"/>
      <c r="M65" s="25"/>
      <c r="N65" s="26"/>
    </row>
    <row r="66" spans="1:14" ht="15.75" hidden="1" customHeight="1">
      <c r="A66" s="68">
        <v>27</v>
      </c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10"/>
        <v>56.793660000000003</v>
      </c>
      <c r="I66" s="17">
        <f t="shared" si="11"/>
        <v>56793.66</v>
      </c>
      <c r="J66" s="77"/>
      <c r="L66" s="24"/>
      <c r="M66" s="25"/>
      <c r="N66" s="26"/>
    </row>
    <row r="67" spans="1:14" ht="15.75" hidden="1" customHeight="1">
      <c r="A67" s="68">
        <v>28</v>
      </c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10"/>
        <v>0.44603000000000004</v>
      </c>
      <c r="I67" s="17">
        <f t="shared" si="11"/>
        <v>446.03000000000003</v>
      </c>
      <c r="J67" s="77"/>
      <c r="L67" s="24"/>
      <c r="M67" s="25"/>
      <c r="N67" s="26"/>
    </row>
    <row r="68" spans="1:14" ht="15.75" hidden="1" customHeight="1">
      <c r="A68" s="68">
        <v>29</v>
      </c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10"/>
        <v>0.41613800000000001</v>
      </c>
      <c r="I68" s="17">
        <f t="shared" si="11"/>
        <v>416.13800000000003</v>
      </c>
      <c r="J68" s="77"/>
      <c r="L68" s="24"/>
      <c r="M68" s="25"/>
      <c r="N68" s="26"/>
    </row>
    <row r="69" spans="1:14" ht="15.75" hidden="1" customHeight="1">
      <c r="A69" s="68">
        <v>19</v>
      </c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10"/>
        <v>0.12414</v>
      </c>
      <c r="I69" s="17">
        <f>G69*2</f>
        <v>124.14</v>
      </c>
      <c r="J69" s="77"/>
      <c r="L69" s="24"/>
      <c r="M69" s="25"/>
      <c r="N69" s="26"/>
    </row>
    <row r="70" spans="1:14" ht="15.75" customHeight="1">
      <c r="A70" s="69">
        <v>13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10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31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f>G72</f>
        <v>22720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12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12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12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13">SUM(F80*G80/1000)</f>
        <v>3.4336799999999998</v>
      </c>
      <c r="I80" s="17">
        <v>0</v>
      </c>
      <c r="J80" s="77"/>
      <c r="L80" s="24"/>
      <c r="M80" s="25"/>
      <c r="N80" s="26"/>
    </row>
    <row r="81" spans="1:22" ht="15.75" customHeight="1">
      <c r="A81" s="152" t="s">
        <v>148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22" ht="15.75" customHeight="1">
      <c r="A82" s="69">
        <v>14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22" ht="31.5" customHeight="1">
      <c r="A83" s="31">
        <v>15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22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SUM(I16+I17+I18+I26+I27+I37+I38+I40+I41+I43+I49+I57+I70+I82+I83)</f>
        <v>50029.317310833343</v>
      </c>
      <c r="J84" s="77"/>
      <c r="L84" s="24"/>
      <c r="M84" s="25"/>
      <c r="N84" s="26"/>
    </row>
    <row r="85" spans="1:22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22" ht="31.5" customHeight="1">
      <c r="A86" s="31">
        <v>16</v>
      </c>
      <c r="B86" s="64" t="s">
        <v>215</v>
      </c>
      <c r="C86" s="97" t="s">
        <v>37</v>
      </c>
      <c r="D86" s="43"/>
      <c r="E86" s="22"/>
      <c r="F86" s="41">
        <v>0.02</v>
      </c>
      <c r="G86" s="41">
        <v>3581.13</v>
      </c>
      <c r="H86" s="124">
        <f>G86*F86/1000</f>
        <v>7.1622600000000008E-2</v>
      </c>
      <c r="I86" s="102">
        <f>G86*0.02</f>
        <v>71.622600000000006</v>
      </c>
      <c r="J86" s="77"/>
      <c r="L86" s="24"/>
      <c r="M86" s="25"/>
      <c r="N86" s="26"/>
    </row>
    <row r="87" spans="1:22" ht="15.75" customHeight="1">
      <c r="A87" s="31">
        <v>17</v>
      </c>
      <c r="B87" s="64" t="s">
        <v>216</v>
      </c>
      <c r="C87" s="97" t="s">
        <v>217</v>
      </c>
      <c r="D87" s="43"/>
      <c r="E87" s="22"/>
      <c r="F87" s="41">
        <f>1/100</f>
        <v>0.01</v>
      </c>
      <c r="G87" s="41">
        <v>7412.92</v>
      </c>
      <c r="H87" s="124">
        <f>G87*F87/1000</f>
        <v>7.4129199999999992E-2</v>
      </c>
      <c r="I87" s="102">
        <f>G87*0.01</f>
        <v>74.129199999999997</v>
      </c>
      <c r="J87" s="77"/>
      <c r="L87" s="24"/>
      <c r="M87" s="25"/>
      <c r="N87" s="26"/>
    </row>
    <row r="88" spans="1:22" ht="15.75" customHeight="1">
      <c r="A88" s="31">
        <v>18</v>
      </c>
      <c r="B88" s="64" t="s">
        <v>237</v>
      </c>
      <c r="C88" s="97" t="s">
        <v>32</v>
      </c>
      <c r="D88" s="43"/>
      <c r="E88" s="22"/>
      <c r="F88" s="41">
        <f>(26.91+34.72+97.16+68.69+75.75)-(5.672*6)</f>
        <v>269.19800000000004</v>
      </c>
      <c r="G88" s="41">
        <v>44.31</v>
      </c>
      <c r="H88" s="41">
        <f t="shared" ref="H88" si="14">G88*F88/1000</f>
        <v>11.928163380000003</v>
      </c>
      <c r="I88" s="102">
        <f>G88*F88</f>
        <v>11928.163380000002</v>
      </c>
      <c r="J88" s="77"/>
      <c r="L88" s="24"/>
      <c r="M88" s="25"/>
      <c r="N88" s="26"/>
    </row>
    <row r="89" spans="1:22" ht="15.75" customHeight="1">
      <c r="A89" s="31"/>
      <c r="B89" s="52" t="s">
        <v>51</v>
      </c>
      <c r="C89" s="48"/>
      <c r="D89" s="62"/>
      <c r="E89" s="48">
        <v>1</v>
      </c>
      <c r="F89" s="48"/>
      <c r="G89" s="48"/>
      <c r="H89" s="48"/>
      <c r="I89" s="35">
        <f>SUM(I86:I88)</f>
        <v>12073.915180000002</v>
      </c>
      <c r="J89" s="77"/>
      <c r="L89" s="24"/>
      <c r="M89" s="25"/>
      <c r="N89" s="26"/>
    </row>
    <row r="90" spans="1:22" ht="15.75" customHeight="1">
      <c r="A90" s="31"/>
      <c r="B90" s="57" t="s">
        <v>75</v>
      </c>
      <c r="C90" s="20"/>
      <c r="D90" s="20"/>
      <c r="E90" s="49"/>
      <c r="F90" s="49"/>
      <c r="G90" s="50"/>
      <c r="H90" s="50"/>
      <c r="I90" s="22">
        <v>0</v>
      </c>
      <c r="J90" s="77"/>
      <c r="L90" s="24"/>
      <c r="M90" s="25"/>
      <c r="N90" s="26"/>
    </row>
    <row r="91" spans="1:22" ht="15.75" customHeight="1">
      <c r="A91" s="63"/>
      <c r="B91" s="53" t="s">
        <v>172</v>
      </c>
      <c r="C91" s="39"/>
      <c r="D91" s="39"/>
      <c r="E91" s="39"/>
      <c r="F91" s="39"/>
      <c r="G91" s="39"/>
      <c r="H91" s="39"/>
      <c r="I91" s="51">
        <f>I84+I89</f>
        <v>62103.232490833347</v>
      </c>
      <c r="J91" s="77"/>
      <c r="L91" s="24"/>
    </row>
    <row r="92" spans="1:22" ht="15.75">
      <c r="A92" s="135" t="s">
        <v>238</v>
      </c>
      <c r="B92" s="135"/>
      <c r="C92" s="135"/>
      <c r="D92" s="135"/>
      <c r="E92" s="135"/>
      <c r="F92" s="135"/>
      <c r="G92" s="135"/>
      <c r="H92" s="135"/>
      <c r="I92" s="135"/>
    </row>
    <row r="93" spans="1:22" ht="15.75">
      <c r="A93" s="12"/>
      <c r="B93" s="145" t="s">
        <v>239</v>
      </c>
      <c r="C93" s="145"/>
      <c r="D93" s="145"/>
      <c r="E93" s="145"/>
      <c r="F93" s="145"/>
      <c r="G93" s="145"/>
      <c r="H93" s="115"/>
      <c r="I93" s="4"/>
    </row>
    <row r="94" spans="1:22" ht="15.75">
      <c r="A94" s="72"/>
      <c r="B94" s="138" t="s">
        <v>6</v>
      </c>
      <c r="C94" s="138"/>
      <c r="D94" s="138"/>
      <c r="E94" s="138"/>
      <c r="F94" s="138"/>
      <c r="G94" s="138"/>
      <c r="H94" s="76"/>
      <c r="I94" s="59"/>
    </row>
    <row r="95" spans="1:22" ht="15.75" customHeight="1">
      <c r="A95" s="60"/>
      <c r="B95" s="60"/>
      <c r="C95" s="60"/>
      <c r="D95" s="60"/>
      <c r="E95" s="60"/>
      <c r="F95" s="60"/>
      <c r="G95" s="60"/>
      <c r="H95" s="60"/>
      <c r="I95" s="60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11"/>
    </row>
    <row r="96" spans="1:22" ht="15.75" customHeight="1">
      <c r="A96" s="139" t="s">
        <v>7</v>
      </c>
      <c r="B96" s="139"/>
      <c r="C96" s="139"/>
      <c r="D96" s="139"/>
      <c r="E96" s="139"/>
      <c r="F96" s="139"/>
      <c r="G96" s="139"/>
      <c r="H96" s="139"/>
      <c r="I96" s="139"/>
      <c r="J96" s="29"/>
      <c r="K96" s="29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>
      <c r="A97" s="139" t="s">
        <v>8</v>
      </c>
      <c r="B97" s="139"/>
      <c r="C97" s="139"/>
      <c r="D97" s="139"/>
      <c r="E97" s="139"/>
      <c r="F97" s="139"/>
      <c r="G97" s="139"/>
      <c r="H97" s="139"/>
      <c r="I97" s="139"/>
      <c r="J97" s="4"/>
      <c r="K97" s="4"/>
      <c r="L97" s="4"/>
      <c r="M97" s="4"/>
      <c r="N97" s="4"/>
      <c r="O97" s="4"/>
      <c r="P97" s="4"/>
      <c r="Q97" s="4"/>
      <c r="S97" s="4"/>
      <c r="T97" s="4"/>
      <c r="U97" s="4"/>
    </row>
    <row r="98" spans="1:21" ht="15.75">
      <c r="A98" s="135" t="s">
        <v>9</v>
      </c>
      <c r="B98" s="135"/>
      <c r="C98" s="135"/>
      <c r="D98" s="135"/>
      <c r="E98" s="135"/>
      <c r="F98" s="135"/>
      <c r="G98" s="135"/>
      <c r="H98" s="135"/>
      <c r="I98" s="135"/>
      <c r="J98" s="6"/>
      <c r="K98" s="6"/>
      <c r="L98" s="6"/>
      <c r="M98" s="6"/>
      <c r="N98" s="6"/>
      <c r="O98" s="6"/>
      <c r="P98" s="6"/>
      <c r="Q98" s="6"/>
      <c r="R98" s="137"/>
      <c r="S98" s="137"/>
      <c r="T98" s="137"/>
      <c r="U98" s="137"/>
    </row>
    <row r="99" spans="1:21" ht="15.75">
      <c r="A99" s="13"/>
      <c r="B99" s="58"/>
      <c r="C99" s="58"/>
      <c r="D99" s="58"/>
      <c r="E99" s="58"/>
      <c r="F99" s="58"/>
      <c r="G99" s="58"/>
      <c r="H99" s="58"/>
      <c r="I99" s="58"/>
    </row>
    <row r="100" spans="1:21" ht="15.75">
      <c r="A100" s="141" t="s">
        <v>10</v>
      </c>
      <c r="B100" s="141"/>
      <c r="C100" s="141"/>
      <c r="D100" s="141"/>
      <c r="E100" s="141"/>
      <c r="F100" s="141"/>
      <c r="G100" s="141"/>
      <c r="H100" s="141"/>
      <c r="I100" s="141"/>
    </row>
    <row r="101" spans="1:21" ht="15.75" customHeight="1">
      <c r="A101" s="5"/>
    </row>
    <row r="102" spans="1:21" ht="15.75">
      <c r="A102" s="135" t="s">
        <v>11</v>
      </c>
      <c r="B102" s="135"/>
      <c r="C102" s="140" t="s">
        <v>92</v>
      </c>
      <c r="D102" s="140"/>
      <c r="E102" s="140"/>
      <c r="F102" s="74"/>
      <c r="I102" s="113"/>
    </row>
    <row r="103" spans="1:21">
      <c r="A103" s="114"/>
      <c r="C103" s="134" t="s">
        <v>12</v>
      </c>
      <c r="D103" s="134"/>
      <c r="E103" s="134"/>
      <c r="F103" s="28"/>
      <c r="I103" s="111" t="s">
        <v>13</v>
      </c>
    </row>
    <row r="104" spans="1:21" ht="15.75">
      <c r="A104" s="29"/>
      <c r="C104" s="14"/>
      <c r="D104" s="14"/>
      <c r="G104" s="14"/>
      <c r="H104" s="14"/>
    </row>
    <row r="105" spans="1:21" ht="15.75" customHeight="1">
      <c r="A105" s="135" t="s">
        <v>14</v>
      </c>
      <c r="B105" s="135"/>
      <c r="C105" s="136"/>
      <c r="D105" s="136"/>
      <c r="E105" s="136"/>
      <c r="F105" s="75"/>
      <c r="I105" s="113"/>
    </row>
    <row r="106" spans="1:21">
      <c r="A106" s="114"/>
      <c r="C106" s="137" t="s">
        <v>12</v>
      </c>
      <c r="D106" s="137"/>
      <c r="E106" s="137"/>
      <c r="F106" s="114"/>
      <c r="I106" s="111" t="s">
        <v>13</v>
      </c>
    </row>
    <row r="107" spans="1:21" ht="15.75">
      <c r="A107" s="5" t="s">
        <v>15</v>
      </c>
    </row>
    <row r="108" spans="1:21">
      <c r="A108" s="132" t="s">
        <v>16</v>
      </c>
      <c r="B108" s="132"/>
      <c r="C108" s="132"/>
      <c r="D108" s="132"/>
      <c r="E108" s="132"/>
      <c r="F108" s="132"/>
      <c r="G108" s="132"/>
      <c r="H108" s="132"/>
      <c r="I108" s="132"/>
    </row>
    <row r="109" spans="1:21" ht="45" customHeight="1">
      <c r="A109" s="133" t="s">
        <v>17</v>
      </c>
      <c r="B109" s="133"/>
      <c r="C109" s="133"/>
      <c r="D109" s="133"/>
      <c r="E109" s="133"/>
      <c r="F109" s="133"/>
      <c r="G109" s="133"/>
      <c r="H109" s="133"/>
      <c r="I109" s="133"/>
    </row>
    <row r="110" spans="1:21" ht="30" customHeight="1">
      <c r="A110" s="133" t="s">
        <v>18</v>
      </c>
      <c r="B110" s="133"/>
      <c r="C110" s="133"/>
      <c r="D110" s="133"/>
      <c r="E110" s="133"/>
      <c r="F110" s="133"/>
      <c r="G110" s="133"/>
      <c r="H110" s="133"/>
      <c r="I110" s="133"/>
    </row>
    <row r="111" spans="1:21" ht="30" customHeight="1">
      <c r="A111" s="133" t="s">
        <v>22</v>
      </c>
      <c r="B111" s="133"/>
      <c r="C111" s="133"/>
      <c r="D111" s="133"/>
      <c r="E111" s="133"/>
      <c r="F111" s="133"/>
      <c r="G111" s="133"/>
      <c r="H111" s="133"/>
      <c r="I111" s="133"/>
    </row>
    <row r="112" spans="1:21" ht="15" customHeight="1">
      <c r="A112" s="133" t="s">
        <v>21</v>
      </c>
      <c r="B112" s="133"/>
      <c r="C112" s="133"/>
      <c r="D112" s="133"/>
      <c r="E112" s="133"/>
      <c r="F112" s="133"/>
      <c r="G112" s="133"/>
      <c r="H112" s="133"/>
      <c r="I112" s="133"/>
    </row>
    <row r="114" spans="1:8">
      <c r="A114" s="15"/>
      <c r="B114" s="15"/>
      <c r="C114" s="15"/>
      <c r="D114" s="15"/>
      <c r="E114" s="15"/>
      <c r="F114" s="15"/>
      <c r="G114" s="15"/>
      <c r="H114" s="15"/>
    </row>
  </sheetData>
  <autoFilter ref="I15:I93"/>
  <mergeCells count="31">
    <mergeCell ref="A112:I112"/>
    <mergeCell ref="R98:U98"/>
    <mergeCell ref="A100:I100"/>
    <mergeCell ref="A102:B102"/>
    <mergeCell ref="C102:E102"/>
    <mergeCell ref="C103:E103"/>
    <mergeCell ref="A105:B105"/>
    <mergeCell ref="C105:E105"/>
    <mergeCell ref="A98:I98"/>
    <mergeCell ref="C106:E106"/>
    <mergeCell ref="A108:I108"/>
    <mergeCell ref="A109:I109"/>
    <mergeCell ref="A110:I110"/>
    <mergeCell ref="A111:I111"/>
    <mergeCell ref="A92:I92"/>
    <mergeCell ref="B93:G93"/>
    <mergeCell ref="B94:G94"/>
    <mergeCell ref="A96:I96"/>
    <mergeCell ref="A97:I97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141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173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42794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1">SUM(E22/100)</f>
        <v>3.57</v>
      </c>
      <c r="G22" s="80">
        <v>335.05</v>
      </c>
      <c r="H22" s="81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1"/>
        <v>0.38640000000000002</v>
      </c>
      <c r="G23" s="80">
        <v>55.1</v>
      </c>
      <c r="H23" s="81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1"/>
        <v>0.15</v>
      </c>
      <c r="G24" s="80">
        <v>484.94</v>
      </c>
      <c r="H24" s="81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1"/>
        <v>6.3799999999999996E-2</v>
      </c>
      <c r="G25" s="80">
        <v>684.05</v>
      </c>
      <c r="H25" s="81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82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hidden="1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hidden="1" customHeight="1">
      <c r="A30" s="69">
        <v>6</v>
      </c>
      <c r="B30" s="37" t="s">
        <v>159</v>
      </c>
      <c r="C30" s="46" t="s">
        <v>122</v>
      </c>
      <c r="D30" s="37" t="s">
        <v>152</v>
      </c>
      <c r="E30" s="107"/>
      <c r="F30" s="118"/>
      <c r="G30" s="36">
        <v>193.97</v>
      </c>
      <c r="H30" s="119"/>
      <c r="I30" s="101">
        <v>109.44</v>
      </c>
      <c r="J30" s="27"/>
      <c r="K30" s="10"/>
      <c r="L30" s="10"/>
      <c r="M30" s="10"/>
    </row>
    <row r="31" spans="1:13" ht="31.5" hidden="1" customHeight="1">
      <c r="A31" s="69">
        <v>7</v>
      </c>
      <c r="B31" s="37" t="s">
        <v>160</v>
      </c>
      <c r="C31" s="46" t="s">
        <v>122</v>
      </c>
      <c r="D31" s="37" t="s">
        <v>153</v>
      </c>
      <c r="E31" s="107"/>
      <c r="F31" s="118"/>
      <c r="G31" s="36">
        <v>321.82</v>
      </c>
      <c r="H31" s="119"/>
      <c r="I31" s="101">
        <v>272.36</v>
      </c>
      <c r="J31" s="27"/>
      <c r="K31" s="10"/>
      <c r="L31" s="10"/>
      <c r="M31" s="10"/>
    </row>
    <row r="32" spans="1:13" ht="15.75" hidden="1" customHeight="1">
      <c r="A32" s="69"/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ref="H32" si="2">SUM(F32*G32/1000)</f>
        <v>0.24466402799999998</v>
      </c>
      <c r="I32" s="17">
        <v>0</v>
      </c>
      <c r="J32" s="27"/>
      <c r="K32" s="10"/>
      <c r="L32" s="10"/>
      <c r="M32" s="10"/>
    </row>
    <row r="33" spans="1:13" ht="15.75" hidden="1" customHeight="1">
      <c r="A33" s="69">
        <v>8</v>
      </c>
      <c r="B33" s="37" t="s">
        <v>161</v>
      </c>
      <c r="C33" s="46" t="s">
        <v>30</v>
      </c>
      <c r="D33" s="37" t="s">
        <v>62</v>
      </c>
      <c r="E33" s="107"/>
      <c r="F33" s="118"/>
      <c r="G33" s="36">
        <v>70.540000000000006</v>
      </c>
      <c r="H33" s="119"/>
      <c r="I33" s="101">
        <v>303.70999999999998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ref="H34:H35" si="3">SUM(F34*G34/1000)</f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3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4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/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v>0</v>
      </c>
      <c r="J39" s="27"/>
      <c r="K39" s="10"/>
      <c r="L39" s="10"/>
      <c r="M39" s="10"/>
    </row>
    <row r="40" spans="1:13" ht="15.75" customHeight="1">
      <c r="A40" s="38">
        <v>8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4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9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4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10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4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customHeight="1">
      <c r="A43" s="38">
        <v>10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4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16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5">SUM(F45*G45/1000)</f>
        <v>2.721961968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19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5"/>
        <v>4.2862477871999998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20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5"/>
        <v>3.0571051328000003</v>
      </c>
      <c r="I47" s="17">
        <v>0</v>
      </c>
      <c r="J47" s="27"/>
      <c r="K47" s="10"/>
      <c r="L47" s="10"/>
      <c r="M47" s="10"/>
    </row>
    <row r="48" spans="1:13" ht="15.75" hidden="1" customHeight="1">
      <c r="A48" s="47">
        <v>17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5"/>
        <v>0.15555924799999998</v>
      </c>
      <c r="I48" s="17">
        <v>0</v>
      </c>
      <c r="J48" s="27"/>
      <c r="K48" s="10"/>
      <c r="L48" s="10"/>
      <c r="M48" s="10"/>
    </row>
    <row r="49" spans="1:14" ht="15.75" customHeight="1">
      <c r="A49" s="47">
        <v>11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5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22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5"/>
        <v>7.6997959399999996</v>
      </c>
      <c r="I50" s="17">
        <v>0</v>
      </c>
      <c r="J50" s="27"/>
      <c r="K50" s="10"/>
      <c r="L50" s="10"/>
      <c r="M50" s="10"/>
    </row>
    <row r="51" spans="1:14" ht="31.5" hidden="1" customHeight="1">
      <c r="A51" s="47">
        <v>23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5"/>
        <v>1.2321280000000001</v>
      </c>
      <c r="I51" s="17">
        <v>0</v>
      </c>
      <c r="J51" s="27"/>
      <c r="K51" s="10"/>
    </row>
    <row r="52" spans="1:14" ht="15.75" hidden="1" customHeight="1">
      <c r="A52" s="47">
        <v>24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5"/>
        <v>0.1406626</v>
      </c>
      <c r="I52" s="17">
        <v>0</v>
      </c>
      <c r="J52" s="77"/>
    </row>
    <row r="53" spans="1:14" ht="15.75" hidden="1" customHeight="1">
      <c r="A53" s="47">
        <v>13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5"/>
        <v>33.715199999999996</v>
      </c>
      <c r="I53" s="17">
        <f>E53*G53</f>
        <v>11238.4</v>
      </c>
      <c r="J53" s="77"/>
    </row>
    <row r="54" spans="1:14" ht="15.75" hidden="1" customHeight="1">
      <c r="A54" s="47">
        <v>14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5"/>
        <v>31.384319999999999</v>
      </c>
      <c r="I54" s="17">
        <f>E54*G54</f>
        <v>10461.44</v>
      </c>
      <c r="J54" s="77"/>
    </row>
    <row r="55" spans="1:14" ht="15.75" customHeight="1">
      <c r="A55" s="146" t="s">
        <v>139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customHeight="1">
      <c r="A57" s="47">
        <v>12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hidden="1" customHeight="1">
      <c r="A58" s="47">
        <v>16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</f>
        <v>1501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6">SUM(F62*G62/1000)</f>
        <v>0.27673999999999999</v>
      </c>
      <c r="I62" s="17">
        <v>0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6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/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6"/>
        <v>26.536274799999997</v>
      </c>
      <c r="I64" s="17">
        <v>0</v>
      </c>
      <c r="J64" s="77"/>
      <c r="L64" s="24"/>
      <c r="M64" s="25"/>
      <c r="N64" s="26"/>
    </row>
    <row r="65" spans="1:14" ht="15.75" hidden="1" customHeight="1">
      <c r="A65" s="68"/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6"/>
        <v>2.0663896399999997</v>
      </c>
      <c r="I65" s="17">
        <v>0</v>
      </c>
      <c r="J65" s="77"/>
      <c r="L65" s="24"/>
      <c r="M65" s="25"/>
      <c r="N65" s="26"/>
    </row>
    <row r="66" spans="1:14" ht="15.75" hidden="1" customHeight="1">
      <c r="A66" s="68"/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6"/>
        <v>56.793660000000003</v>
      </c>
      <c r="I66" s="17">
        <v>0</v>
      </c>
      <c r="J66" s="77"/>
      <c r="L66" s="24"/>
      <c r="M66" s="25"/>
      <c r="N66" s="26"/>
    </row>
    <row r="67" spans="1:14" ht="15.75" hidden="1" customHeight="1">
      <c r="A67" s="68"/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6"/>
        <v>0.44603000000000004</v>
      </c>
      <c r="I67" s="17">
        <v>0</v>
      </c>
      <c r="J67" s="77"/>
      <c r="L67" s="24"/>
      <c r="M67" s="25"/>
      <c r="N67" s="26"/>
    </row>
    <row r="68" spans="1:14" ht="15.75" hidden="1" customHeight="1">
      <c r="A68" s="68"/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6"/>
        <v>0.41613800000000001</v>
      </c>
      <c r="I68" s="17">
        <v>0</v>
      </c>
      <c r="J68" s="77"/>
      <c r="L68" s="24"/>
      <c r="M68" s="25"/>
      <c r="N68" s="26"/>
    </row>
    <row r="69" spans="1:14" ht="15.75" hidden="1" customHeight="1">
      <c r="A69" s="68"/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6"/>
        <v>0.12414</v>
      </c>
      <c r="I69" s="17">
        <v>0</v>
      </c>
      <c r="J69" s="77"/>
      <c r="L69" s="24"/>
      <c r="M69" s="25"/>
      <c r="N69" s="26"/>
    </row>
    <row r="70" spans="1:14" ht="15.75" customHeight="1">
      <c r="A70" s="69">
        <v>13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6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36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v>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7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7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7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8">SUM(F80*G80/1000)</f>
        <v>3.4336799999999998</v>
      </c>
      <c r="I80" s="17">
        <v>0</v>
      </c>
      <c r="J80" s="77"/>
      <c r="L80" s="24"/>
      <c r="M80" s="25"/>
      <c r="N80" s="26"/>
    </row>
    <row r="81" spans="1:14" ht="15.75" customHeight="1">
      <c r="A81" s="152" t="s">
        <v>167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14" ht="15.75" customHeight="1">
      <c r="A82" s="69">
        <v>14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14" ht="31.5" customHeight="1">
      <c r="A83" s="31">
        <v>15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14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SUM(I16+I17+I18+I26+I27+I37+I38+I40+I41+I43+I49+I57+I70+I82+I83)</f>
        <v>50029.317310833343</v>
      </c>
      <c r="J84" s="77"/>
      <c r="L84" s="24"/>
      <c r="M84" s="25"/>
      <c r="N84" s="26"/>
    </row>
    <row r="85" spans="1:14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14" ht="15.75" customHeight="1">
      <c r="A86" s="69">
        <v>16</v>
      </c>
      <c r="B86" s="64" t="s">
        <v>79</v>
      </c>
      <c r="C86" s="97" t="s">
        <v>109</v>
      </c>
      <c r="D86" s="19"/>
      <c r="E86" s="23"/>
      <c r="F86" s="17">
        <v>5</v>
      </c>
      <c r="G86" s="17">
        <v>189.88</v>
      </c>
      <c r="H86" s="17">
        <f t="shared" ref="H86:H92" si="9">G86*F86/1000</f>
        <v>0.94940000000000002</v>
      </c>
      <c r="I86" s="102">
        <f>G86*3</f>
        <v>569.64</v>
      </c>
      <c r="J86" s="77"/>
      <c r="L86" s="24"/>
      <c r="M86" s="25"/>
      <c r="N86" s="26"/>
    </row>
    <row r="87" spans="1:14" ht="31.5" customHeight="1">
      <c r="A87" s="69">
        <v>17</v>
      </c>
      <c r="B87" s="64" t="s">
        <v>174</v>
      </c>
      <c r="C87" s="97" t="s">
        <v>94</v>
      </c>
      <c r="D87" s="57"/>
      <c r="E87" s="17"/>
      <c r="F87" s="17">
        <v>1</v>
      </c>
      <c r="G87" s="17">
        <v>1002.79</v>
      </c>
      <c r="H87" s="82">
        <f t="shared" si="9"/>
        <v>1.0027900000000001</v>
      </c>
      <c r="I87" s="102">
        <f>G87</f>
        <v>1002.79</v>
      </c>
      <c r="J87" s="77"/>
      <c r="L87" s="24"/>
      <c r="M87" s="25"/>
      <c r="N87" s="26"/>
    </row>
    <row r="88" spans="1:14" ht="15.75" customHeight="1">
      <c r="A88" s="69">
        <v>18</v>
      </c>
      <c r="B88" s="64" t="s">
        <v>175</v>
      </c>
      <c r="C88" s="97" t="s">
        <v>109</v>
      </c>
      <c r="D88" s="19"/>
      <c r="E88" s="23"/>
      <c r="F88" s="17">
        <v>1</v>
      </c>
      <c r="G88" s="17">
        <v>140</v>
      </c>
      <c r="H88" s="82">
        <f t="shared" si="9"/>
        <v>0.14000000000000001</v>
      </c>
      <c r="I88" s="102">
        <f t="shared" ref="I88:I91" si="10">G88</f>
        <v>140</v>
      </c>
      <c r="J88" s="77"/>
      <c r="L88" s="24"/>
      <c r="M88" s="25"/>
      <c r="N88" s="26"/>
    </row>
    <row r="89" spans="1:14" ht="15.75" customHeight="1">
      <c r="A89" s="69">
        <v>19</v>
      </c>
      <c r="B89" s="121" t="s">
        <v>176</v>
      </c>
      <c r="C89" s="97" t="s">
        <v>109</v>
      </c>
      <c r="D89" s="19"/>
      <c r="E89" s="23"/>
      <c r="F89" s="17">
        <v>1</v>
      </c>
      <c r="G89" s="122">
        <v>108</v>
      </c>
      <c r="H89" s="82">
        <f t="shared" si="9"/>
        <v>0.108</v>
      </c>
      <c r="I89" s="102">
        <f t="shared" si="10"/>
        <v>108</v>
      </c>
      <c r="J89" s="77"/>
      <c r="L89" s="24"/>
      <c r="M89" s="25"/>
      <c r="N89" s="26"/>
    </row>
    <row r="90" spans="1:14" ht="15.75" customHeight="1">
      <c r="A90" s="69">
        <v>20</v>
      </c>
      <c r="B90" s="64" t="s">
        <v>177</v>
      </c>
      <c r="C90" s="97" t="s">
        <v>109</v>
      </c>
      <c r="D90" s="19"/>
      <c r="E90" s="23"/>
      <c r="F90" s="17">
        <v>1</v>
      </c>
      <c r="G90" s="17">
        <v>27.36</v>
      </c>
      <c r="H90" s="82">
        <f t="shared" si="9"/>
        <v>2.7359999999999999E-2</v>
      </c>
      <c r="I90" s="102">
        <f t="shared" si="10"/>
        <v>27.36</v>
      </c>
      <c r="J90" s="77"/>
      <c r="L90" s="24"/>
      <c r="M90" s="25"/>
      <c r="N90" s="26"/>
    </row>
    <row r="91" spans="1:14" ht="15.75" customHeight="1">
      <c r="A91" s="69">
        <v>21</v>
      </c>
      <c r="B91" s="100" t="s">
        <v>178</v>
      </c>
      <c r="C91" s="99" t="s">
        <v>93</v>
      </c>
      <c r="D91" s="19"/>
      <c r="E91" s="23"/>
      <c r="F91" s="17">
        <f>(3+3+10+10+15+15+10+20+3+15+10+3+10)/3</f>
        <v>42.333333333333336</v>
      </c>
      <c r="G91" s="17">
        <v>1120.8900000000001</v>
      </c>
      <c r="H91" s="82">
        <f t="shared" si="9"/>
        <v>47.451010000000011</v>
      </c>
      <c r="I91" s="102">
        <f t="shared" si="10"/>
        <v>1120.8900000000001</v>
      </c>
      <c r="J91" s="77"/>
      <c r="L91" s="24"/>
      <c r="M91" s="25"/>
      <c r="N91" s="26"/>
    </row>
    <row r="92" spans="1:14" ht="31.5" customHeight="1">
      <c r="A92" s="69">
        <v>22</v>
      </c>
      <c r="B92" s="123" t="s">
        <v>179</v>
      </c>
      <c r="C92" s="31" t="s">
        <v>101</v>
      </c>
      <c r="D92" s="19"/>
      <c r="E92" s="23"/>
      <c r="F92" s="17">
        <f>0.7/10</f>
        <v>6.9999999999999993E-2</v>
      </c>
      <c r="G92" s="17">
        <v>41341.03</v>
      </c>
      <c r="H92" s="82">
        <f t="shared" si="9"/>
        <v>2.8938720999999994</v>
      </c>
      <c r="I92" s="102">
        <f>G92*(0.7/10)</f>
        <v>2893.8720999999996</v>
      </c>
      <c r="J92" s="77"/>
      <c r="L92" s="24"/>
      <c r="M92" s="25"/>
      <c r="N92" s="26"/>
    </row>
    <row r="93" spans="1:14" ht="15.75" customHeight="1">
      <c r="A93" s="31"/>
      <c r="B93" s="52" t="s">
        <v>51</v>
      </c>
      <c r="C93" s="48"/>
      <c r="D93" s="62"/>
      <c r="E93" s="48">
        <v>1</v>
      </c>
      <c r="F93" s="48"/>
      <c r="G93" s="48"/>
      <c r="H93" s="48"/>
      <c r="I93" s="35">
        <f>SUM(I86:I92)</f>
        <v>5862.552099999999</v>
      </c>
      <c r="J93" s="77"/>
      <c r="L93" s="24"/>
      <c r="M93" s="25"/>
      <c r="N93" s="26"/>
    </row>
    <row r="94" spans="1:14" ht="15.75" customHeight="1">
      <c r="A94" s="31"/>
      <c r="B94" s="57" t="s">
        <v>75</v>
      </c>
      <c r="C94" s="20"/>
      <c r="D94" s="20"/>
      <c r="E94" s="49"/>
      <c r="F94" s="49"/>
      <c r="G94" s="50"/>
      <c r="H94" s="50"/>
      <c r="I94" s="22">
        <v>0</v>
      </c>
      <c r="J94" s="77"/>
      <c r="L94" s="24"/>
      <c r="M94" s="25"/>
      <c r="N94" s="26"/>
    </row>
    <row r="95" spans="1:14" ht="15.75" customHeight="1">
      <c r="A95" s="63"/>
      <c r="B95" s="53" t="s">
        <v>172</v>
      </c>
      <c r="C95" s="39"/>
      <c r="D95" s="39"/>
      <c r="E95" s="39"/>
      <c r="F95" s="39"/>
      <c r="G95" s="39"/>
      <c r="H95" s="39"/>
      <c r="I95" s="51">
        <f>I84+I93</f>
        <v>55891.869410833344</v>
      </c>
      <c r="J95" s="77"/>
      <c r="L95" s="24"/>
    </row>
    <row r="96" spans="1:14" ht="15.75">
      <c r="A96" s="135" t="s">
        <v>224</v>
      </c>
      <c r="B96" s="135"/>
      <c r="C96" s="135"/>
      <c r="D96" s="135"/>
      <c r="E96" s="135"/>
      <c r="F96" s="135"/>
      <c r="G96" s="135"/>
      <c r="H96" s="135"/>
      <c r="I96" s="135"/>
    </row>
    <row r="97" spans="1:22" ht="15.75">
      <c r="A97" s="12"/>
      <c r="B97" s="145" t="s">
        <v>225</v>
      </c>
      <c r="C97" s="145"/>
      <c r="D97" s="145"/>
      <c r="E97" s="145"/>
      <c r="F97" s="145"/>
      <c r="G97" s="145"/>
      <c r="H97" s="104"/>
      <c r="I97" s="4"/>
    </row>
    <row r="98" spans="1:22" ht="15.75">
      <c r="A98" s="72"/>
      <c r="B98" s="138" t="s">
        <v>6</v>
      </c>
      <c r="C98" s="138"/>
      <c r="D98" s="138"/>
      <c r="E98" s="138"/>
      <c r="F98" s="138"/>
      <c r="G98" s="138"/>
      <c r="H98" s="76"/>
      <c r="I98" s="59"/>
    </row>
    <row r="99" spans="1:22" ht="15.75" customHeight="1">
      <c r="A99" s="60"/>
      <c r="B99" s="60"/>
      <c r="C99" s="60"/>
      <c r="D99" s="60"/>
      <c r="E99" s="60"/>
      <c r="F99" s="60"/>
      <c r="G99" s="60"/>
      <c r="H99" s="60"/>
      <c r="I99" s="6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39" t="s">
        <v>7</v>
      </c>
      <c r="B100" s="139"/>
      <c r="C100" s="139"/>
      <c r="D100" s="139"/>
      <c r="E100" s="139"/>
      <c r="F100" s="139"/>
      <c r="G100" s="139"/>
      <c r="H100" s="139"/>
      <c r="I100" s="139"/>
      <c r="J100" s="29"/>
      <c r="K100" s="29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>
      <c r="A101" s="139" t="s">
        <v>8</v>
      </c>
      <c r="B101" s="139"/>
      <c r="C101" s="139"/>
      <c r="D101" s="139"/>
      <c r="E101" s="139"/>
      <c r="F101" s="139"/>
      <c r="G101" s="139"/>
      <c r="H101" s="139"/>
      <c r="I101" s="139"/>
      <c r="J101" s="4"/>
      <c r="K101" s="4"/>
      <c r="L101" s="4"/>
      <c r="M101" s="4"/>
      <c r="N101" s="4"/>
      <c r="O101" s="4"/>
      <c r="P101" s="4"/>
      <c r="Q101" s="4"/>
      <c r="S101" s="4"/>
      <c r="T101" s="4"/>
      <c r="U101" s="4"/>
    </row>
    <row r="102" spans="1:22" ht="15.75">
      <c r="A102" s="135" t="s">
        <v>9</v>
      </c>
      <c r="B102" s="135"/>
      <c r="C102" s="135"/>
      <c r="D102" s="135"/>
      <c r="E102" s="135"/>
      <c r="F102" s="135"/>
      <c r="G102" s="135"/>
      <c r="H102" s="135"/>
      <c r="I102" s="135"/>
      <c r="J102" s="6"/>
      <c r="K102" s="6"/>
      <c r="L102" s="6"/>
      <c r="M102" s="6"/>
      <c r="N102" s="6"/>
      <c r="O102" s="6"/>
      <c r="P102" s="6"/>
      <c r="Q102" s="6"/>
      <c r="R102" s="137"/>
      <c r="S102" s="137"/>
      <c r="T102" s="137"/>
      <c r="U102" s="137"/>
    </row>
    <row r="103" spans="1:22" ht="15.75">
      <c r="A103" s="13"/>
      <c r="B103" s="58"/>
      <c r="C103" s="58"/>
      <c r="D103" s="58"/>
      <c r="E103" s="58"/>
      <c r="F103" s="58"/>
      <c r="G103" s="58"/>
      <c r="H103" s="58"/>
      <c r="I103" s="58"/>
    </row>
    <row r="104" spans="1:22" ht="15.75">
      <c r="A104" s="141" t="s">
        <v>10</v>
      </c>
      <c r="B104" s="141"/>
      <c r="C104" s="141"/>
      <c r="D104" s="141"/>
      <c r="E104" s="141"/>
      <c r="F104" s="141"/>
      <c r="G104" s="141"/>
      <c r="H104" s="141"/>
      <c r="I104" s="141"/>
    </row>
    <row r="105" spans="1:22" ht="15.75" customHeight="1">
      <c r="A105" s="5"/>
    </row>
    <row r="106" spans="1:22" ht="15.75">
      <c r="A106" s="135" t="s">
        <v>11</v>
      </c>
      <c r="B106" s="135"/>
      <c r="C106" s="140" t="s">
        <v>92</v>
      </c>
      <c r="D106" s="140"/>
      <c r="E106" s="140"/>
      <c r="F106" s="74"/>
      <c r="I106" s="109"/>
    </row>
    <row r="107" spans="1:22">
      <c r="A107" s="110"/>
      <c r="C107" s="134" t="s">
        <v>12</v>
      </c>
      <c r="D107" s="134"/>
      <c r="E107" s="134"/>
      <c r="F107" s="28"/>
      <c r="I107" s="108" t="s">
        <v>13</v>
      </c>
    </row>
    <row r="108" spans="1:22" ht="15.75">
      <c r="A108" s="29"/>
      <c r="C108" s="14"/>
      <c r="D108" s="14"/>
      <c r="G108" s="14"/>
      <c r="H108" s="14"/>
    </row>
    <row r="109" spans="1:22" ht="15.75" customHeight="1">
      <c r="A109" s="135" t="s">
        <v>14</v>
      </c>
      <c r="B109" s="135"/>
      <c r="C109" s="136"/>
      <c r="D109" s="136"/>
      <c r="E109" s="136"/>
      <c r="F109" s="75"/>
      <c r="I109" s="109"/>
    </row>
    <row r="110" spans="1:22">
      <c r="A110" s="110"/>
      <c r="C110" s="137" t="s">
        <v>12</v>
      </c>
      <c r="D110" s="137"/>
      <c r="E110" s="137"/>
      <c r="F110" s="110"/>
      <c r="I110" s="108" t="s">
        <v>13</v>
      </c>
    </row>
    <row r="111" spans="1:22" ht="15.75">
      <c r="A111" s="5" t="s">
        <v>15</v>
      </c>
    </row>
    <row r="112" spans="1:22">
      <c r="A112" s="132" t="s">
        <v>16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45" customHeight="1">
      <c r="A113" s="133" t="s">
        <v>17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30" customHeight="1">
      <c r="A114" s="133" t="s">
        <v>18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30" customHeight="1">
      <c r="A115" s="133" t="s">
        <v>22</v>
      </c>
      <c r="B115" s="133"/>
      <c r="C115" s="133"/>
      <c r="D115" s="133"/>
      <c r="E115" s="133"/>
      <c r="F115" s="133"/>
      <c r="G115" s="133"/>
      <c r="H115" s="133"/>
      <c r="I115" s="133"/>
    </row>
    <row r="116" spans="1:9" ht="15" customHeight="1">
      <c r="A116" s="133" t="s">
        <v>21</v>
      </c>
      <c r="B116" s="133"/>
      <c r="C116" s="133"/>
      <c r="D116" s="133"/>
      <c r="E116" s="133"/>
      <c r="F116" s="133"/>
      <c r="G116" s="133"/>
      <c r="H116" s="133"/>
      <c r="I116" s="133"/>
    </row>
    <row r="118" spans="1:9">
      <c r="A118" s="15"/>
      <c r="B118" s="15"/>
      <c r="C118" s="15"/>
      <c r="D118" s="15"/>
      <c r="E118" s="15"/>
      <c r="F118" s="15"/>
      <c r="G118" s="15"/>
      <c r="H118" s="15"/>
    </row>
  </sheetData>
  <autoFilter ref="I15:I97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6:I96"/>
    <mergeCell ref="B97:G97"/>
    <mergeCell ref="B98:G98"/>
    <mergeCell ref="A100:I100"/>
    <mergeCell ref="A101:I101"/>
    <mergeCell ref="A116:I116"/>
    <mergeCell ref="R102:U102"/>
    <mergeCell ref="A104:I104"/>
    <mergeCell ref="A106:B106"/>
    <mergeCell ref="C106:E106"/>
    <mergeCell ref="C107:E107"/>
    <mergeCell ref="A109:B109"/>
    <mergeCell ref="C109:E109"/>
    <mergeCell ref="A102:I102"/>
    <mergeCell ref="C110:E110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142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180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42825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1">SUM(E22/100)</f>
        <v>3.57</v>
      </c>
      <c r="G22" s="80">
        <v>335.05</v>
      </c>
      <c r="H22" s="81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1"/>
        <v>0.38640000000000002</v>
      </c>
      <c r="G23" s="80">
        <v>55.1</v>
      </c>
      <c r="H23" s="81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1"/>
        <v>0.15</v>
      </c>
      <c r="G24" s="80">
        <v>484.94</v>
      </c>
      <c r="H24" s="81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1"/>
        <v>6.3799999999999996E-2</v>
      </c>
      <c r="G25" s="80">
        <v>684.05</v>
      </c>
      <c r="H25" s="81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82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hidden="1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hidden="1" customHeight="1">
      <c r="A30" s="69">
        <v>6</v>
      </c>
      <c r="B30" s="37" t="s">
        <v>159</v>
      </c>
      <c r="C30" s="46" t="s">
        <v>122</v>
      </c>
      <c r="D30" s="37" t="s">
        <v>152</v>
      </c>
      <c r="E30" s="107"/>
      <c r="F30" s="118"/>
      <c r="G30" s="36">
        <v>193.97</v>
      </c>
      <c r="H30" s="119"/>
      <c r="I30" s="101">
        <v>109.44</v>
      </c>
      <c r="J30" s="27"/>
      <c r="K30" s="10"/>
      <c r="L30" s="10"/>
      <c r="M30" s="10"/>
    </row>
    <row r="31" spans="1:13" ht="31.5" hidden="1" customHeight="1">
      <c r="A31" s="69">
        <v>7</v>
      </c>
      <c r="B31" s="37" t="s">
        <v>160</v>
      </c>
      <c r="C31" s="46" t="s">
        <v>122</v>
      </c>
      <c r="D31" s="37" t="s">
        <v>153</v>
      </c>
      <c r="E31" s="107"/>
      <c r="F31" s="118"/>
      <c r="G31" s="36">
        <v>321.82</v>
      </c>
      <c r="H31" s="119"/>
      <c r="I31" s="101">
        <v>272.36</v>
      </c>
      <c r="J31" s="27"/>
      <c r="K31" s="10"/>
      <c r="L31" s="10"/>
      <c r="M31" s="10"/>
    </row>
    <row r="32" spans="1:13" ht="15.75" hidden="1" customHeight="1">
      <c r="A32" s="69"/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ref="H32" si="2">SUM(F32*G32/1000)</f>
        <v>0.24466402799999998</v>
      </c>
      <c r="I32" s="17">
        <v>0</v>
      </c>
      <c r="J32" s="27"/>
      <c r="K32" s="10"/>
      <c r="L32" s="10"/>
      <c r="M32" s="10"/>
    </row>
    <row r="33" spans="1:13" ht="15.75" hidden="1" customHeight="1">
      <c r="A33" s="69">
        <v>8</v>
      </c>
      <c r="B33" s="37" t="s">
        <v>161</v>
      </c>
      <c r="C33" s="46" t="s">
        <v>30</v>
      </c>
      <c r="D33" s="37" t="s">
        <v>62</v>
      </c>
      <c r="E33" s="107"/>
      <c r="F33" s="118"/>
      <c r="G33" s="36">
        <v>70.540000000000006</v>
      </c>
      <c r="H33" s="119"/>
      <c r="I33" s="101">
        <v>303.70999999999998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ref="H34:H35" si="3">SUM(F34*G34/1000)</f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3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4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/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v>0</v>
      </c>
      <c r="J39" s="27"/>
      <c r="K39" s="10"/>
      <c r="L39" s="10"/>
      <c r="M39" s="10"/>
    </row>
    <row r="40" spans="1:13" ht="15.75" customHeight="1">
      <c r="A40" s="38">
        <v>8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4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9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4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customHeight="1">
      <c r="A42" s="38">
        <v>10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4"/>
        <v>0.62509671</v>
      </c>
      <c r="I42" s="17">
        <f>F42/2*G42</f>
        <v>312.54835500000002</v>
      </c>
      <c r="J42" s="27"/>
      <c r="K42" s="10"/>
      <c r="L42" s="10"/>
      <c r="M42" s="10"/>
    </row>
    <row r="43" spans="1:13" ht="15.75" customHeight="1">
      <c r="A43" s="38">
        <v>11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4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16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5">SUM(F45*G45/1000)</f>
        <v>2.721961968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19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5"/>
        <v>4.2862477871999998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20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5"/>
        <v>3.0571051328000003</v>
      </c>
      <c r="I47" s="17">
        <v>0</v>
      </c>
      <c r="J47" s="27"/>
      <c r="K47" s="10"/>
      <c r="L47" s="10"/>
      <c r="M47" s="10"/>
    </row>
    <row r="48" spans="1:13" ht="15.75" hidden="1" customHeight="1">
      <c r="A48" s="47">
        <v>17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5"/>
        <v>0.15555924799999998</v>
      </c>
      <c r="I48" s="17">
        <v>0</v>
      </c>
      <c r="J48" s="27"/>
      <c r="K48" s="10"/>
      <c r="L48" s="10"/>
      <c r="M48" s="10"/>
    </row>
    <row r="49" spans="1:14" ht="15.75" hidden="1" customHeight="1">
      <c r="A49" s="47">
        <v>12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5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customHeight="1">
      <c r="A50" s="47">
        <v>12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5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customHeight="1">
      <c r="A51" s="47">
        <v>13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5"/>
        <v>1.2321280000000001</v>
      </c>
      <c r="I51" s="17">
        <f t="shared" ref="I51:I52" si="6">F51/2*G51</f>
        <v>616.06400000000008</v>
      </c>
      <c r="J51" s="27"/>
      <c r="K51" s="10"/>
    </row>
    <row r="52" spans="1:14" ht="15.75" customHeight="1">
      <c r="A52" s="47">
        <v>14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5"/>
        <v>0.1406626</v>
      </c>
      <c r="I52" s="17">
        <f t="shared" si="6"/>
        <v>70.331299999999999</v>
      </c>
      <c r="J52" s="77"/>
    </row>
    <row r="53" spans="1:14" ht="15.75" hidden="1" customHeight="1">
      <c r="A53" s="47">
        <v>13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5"/>
        <v>33.715199999999996</v>
      </c>
      <c r="I53" s="17">
        <f>E53*G53</f>
        <v>11238.4</v>
      </c>
      <c r="J53" s="77"/>
    </row>
    <row r="54" spans="1:14" ht="15.75" hidden="1" customHeight="1">
      <c r="A54" s="47">
        <v>14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5"/>
        <v>31.384319999999999</v>
      </c>
      <c r="I54" s="17">
        <f>E54*G54</f>
        <v>10461.44</v>
      </c>
      <c r="J54" s="77"/>
    </row>
    <row r="55" spans="1:14" ht="15.75" customHeight="1">
      <c r="A55" s="146" t="s">
        <v>139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customHeight="1">
      <c r="A57" s="47">
        <v>15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hidden="1" customHeight="1">
      <c r="A58" s="47">
        <v>16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</f>
        <v>1501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7">SUM(F62*G62/1000)</f>
        <v>0.27673999999999999</v>
      </c>
      <c r="I62" s="17">
        <v>0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7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/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7"/>
        <v>26.536274799999997</v>
      </c>
      <c r="I64" s="17">
        <v>0</v>
      </c>
      <c r="J64" s="77"/>
      <c r="L64" s="24"/>
      <c r="M64" s="25"/>
      <c r="N64" s="26"/>
    </row>
    <row r="65" spans="1:14" ht="15.75" hidden="1" customHeight="1">
      <c r="A65" s="68"/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7"/>
        <v>2.0663896399999997</v>
      </c>
      <c r="I65" s="17">
        <v>0</v>
      </c>
      <c r="J65" s="77"/>
      <c r="L65" s="24"/>
      <c r="M65" s="25"/>
      <c r="N65" s="26"/>
    </row>
    <row r="66" spans="1:14" ht="15.75" hidden="1" customHeight="1">
      <c r="A66" s="68"/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7"/>
        <v>56.793660000000003</v>
      </c>
      <c r="I66" s="17">
        <v>0</v>
      </c>
      <c r="J66" s="77"/>
      <c r="L66" s="24"/>
      <c r="M66" s="25"/>
      <c r="N66" s="26"/>
    </row>
    <row r="67" spans="1:14" ht="15.75" hidden="1" customHeight="1">
      <c r="A67" s="68"/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7"/>
        <v>0.44603000000000004</v>
      </c>
      <c r="I67" s="17">
        <v>0</v>
      </c>
      <c r="J67" s="77"/>
      <c r="L67" s="24"/>
      <c r="M67" s="25"/>
      <c r="N67" s="26"/>
    </row>
    <row r="68" spans="1:14" ht="15.75" hidden="1" customHeight="1">
      <c r="A68" s="68"/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7"/>
        <v>0.41613800000000001</v>
      </c>
      <c r="I68" s="17">
        <v>0</v>
      </c>
      <c r="J68" s="77"/>
      <c r="L68" s="24"/>
      <c r="M68" s="25"/>
      <c r="N68" s="26"/>
    </row>
    <row r="69" spans="1:14" ht="15.75" hidden="1" customHeight="1">
      <c r="A69" s="68"/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7"/>
        <v>0.12414</v>
      </c>
      <c r="I69" s="17">
        <v>0</v>
      </c>
      <c r="J69" s="77"/>
      <c r="L69" s="24"/>
      <c r="M69" s="25"/>
      <c r="N69" s="26"/>
    </row>
    <row r="70" spans="1:14" ht="15.75" customHeight="1">
      <c r="A70" s="69">
        <v>16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7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36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v>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8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8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8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9">SUM(F80*G80/1000)</f>
        <v>3.4336799999999998</v>
      </c>
      <c r="I80" s="17">
        <v>0</v>
      </c>
      <c r="J80" s="77"/>
      <c r="L80" s="24"/>
      <c r="M80" s="25"/>
      <c r="N80" s="26"/>
    </row>
    <row r="81" spans="1:22" ht="15.75" customHeight="1">
      <c r="A81" s="152" t="s">
        <v>167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22" ht="15.75" customHeight="1">
      <c r="A82" s="69">
        <v>17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22" ht="31.5" customHeight="1">
      <c r="A83" s="31">
        <v>18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22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SUM(I16+I17+I18+I26+I27+I37+I38+I40+I41+I42+I43+I50+I51+I52+I57+I70+I82+I83)</f>
        <v>50515.250575833343</v>
      </c>
      <c r="J84" s="77"/>
      <c r="L84" s="24"/>
      <c r="M84" s="25"/>
      <c r="N84" s="26"/>
    </row>
    <row r="85" spans="1:22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22" ht="15.75" customHeight="1">
      <c r="A86" s="69">
        <v>19</v>
      </c>
      <c r="B86" s="100" t="s">
        <v>178</v>
      </c>
      <c r="C86" s="99" t="s">
        <v>93</v>
      </c>
      <c r="D86" s="19"/>
      <c r="E86" s="23"/>
      <c r="F86" s="17">
        <f>(3+3+10+10+15+15+10+20+3+15+10+3+10)/3</f>
        <v>42.333333333333336</v>
      </c>
      <c r="G86" s="17">
        <v>1120.8900000000001</v>
      </c>
      <c r="H86" s="82">
        <f t="shared" ref="H86" si="10">G86*F86/1000</f>
        <v>47.451010000000011</v>
      </c>
      <c r="I86" s="102">
        <f>G86*((3+10+10+15+15)/3)</f>
        <v>19802.390000000003</v>
      </c>
      <c r="J86" s="77"/>
      <c r="L86" s="24"/>
      <c r="M86" s="25"/>
      <c r="N86" s="26"/>
    </row>
    <row r="87" spans="1:22" ht="31.5" customHeight="1">
      <c r="A87" s="69">
        <v>20</v>
      </c>
      <c r="B87" s="64" t="s">
        <v>181</v>
      </c>
      <c r="C87" s="97" t="s">
        <v>78</v>
      </c>
      <c r="D87" s="43"/>
      <c r="E87" s="22"/>
      <c r="F87" s="41">
        <v>8</v>
      </c>
      <c r="G87" s="41">
        <v>1272</v>
      </c>
      <c r="H87" s="124">
        <f>G87*F87/1000</f>
        <v>10.176</v>
      </c>
      <c r="I87" s="102">
        <f>G87*(3+2)</f>
        <v>6360</v>
      </c>
      <c r="J87" s="77"/>
      <c r="L87" s="24"/>
      <c r="M87" s="25"/>
      <c r="N87" s="26"/>
    </row>
    <row r="88" spans="1:22" ht="15.75" customHeight="1">
      <c r="A88" s="31"/>
      <c r="B88" s="52" t="s">
        <v>51</v>
      </c>
      <c r="C88" s="48"/>
      <c r="D88" s="62"/>
      <c r="E88" s="48">
        <v>1</v>
      </c>
      <c r="F88" s="48"/>
      <c r="G88" s="48"/>
      <c r="H88" s="48"/>
      <c r="I88" s="35">
        <f>SUM(I86:I87)</f>
        <v>26162.390000000003</v>
      </c>
      <c r="J88" s="77"/>
      <c r="L88" s="24"/>
      <c r="M88" s="25"/>
      <c r="N88" s="26"/>
    </row>
    <row r="89" spans="1:22" ht="15.75" customHeight="1">
      <c r="A89" s="31"/>
      <c r="B89" s="57" t="s">
        <v>75</v>
      </c>
      <c r="C89" s="20"/>
      <c r="D89" s="20"/>
      <c r="E89" s="49"/>
      <c r="F89" s="49"/>
      <c r="G89" s="50"/>
      <c r="H89" s="50"/>
      <c r="I89" s="22">
        <v>0</v>
      </c>
      <c r="J89" s="77"/>
      <c r="L89" s="24"/>
      <c r="M89" s="25"/>
      <c r="N89" s="26"/>
    </row>
    <row r="90" spans="1:22" ht="15.75" customHeight="1">
      <c r="A90" s="63"/>
      <c r="B90" s="53" t="s">
        <v>172</v>
      </c>
      <c r="C90" s="39"/>
      <c r="D90" s="39"/>
      <c r="E90" s="39"/>
      <c r="F90" s="39"/>
      <c r="G90" s="39"/>
      <c r="H90" s="39"/>
      <c r="I90" s="51">
        <f>I84+I88</f>
        <v>76677.640575833342</v>
      </c>
      <c r="J90" s="77"/>
      <c r="L90" s="24"/>
    </row>
    <row r="91" spans="1:22" ht="15.75">
      <c r="A91" s="135" t="s">
        <v>226</v>
      </c>
      <c r="B91" s="135"/>
      <c r="C91" s="135"/>
      <c r="D91" s="135"/>
      <c r="E91" s="135"/>
      <c r="F91" s="135"/>
      <c r="G91" s="135"/>
      <c r="H91" s="135"/>
      <c r="I91" s="135"/>
    </row>
    <row r="92" spans="1:22" ht="15.75">
      <c r="A92" s="12"/>
      <c r="B92" s="145" t="s">
        <v>227</v>
      </c>
      <c r="C92" s="145"/>
      <c r="D92" s="145"/>
      <c r="E92" s="145"/>
      <c r="F92" s="145"/>
      <c r="G92" s="145"/>
      <c r="H92" s="104"/>
      <c r="I92" s="4"/>
    </row>
    <row r="93" spans="1:22" ht="15.75">
      <c r="A93" s="72"/>
      <c r="B93" s="138" t="s">
        <v>6</v>
      </c>
      <c r="C93" s="138"/>
      <c r="D93" s="138"/>
      <c r="E93" s="138"/>
      <c r="F93" s="138"/>
      <c r="G93" s="138"/>
      <c r="H93" s="76"/>
      <c r="I93" s="59"/>
    </row>
    <row r="94" spans="1:22" ht="15.75" customHeight="1">
      <c r="A94" s="60"/>
      <c r="B94" s="60"/>
      <c r="C94" s="60"/>
      <c r="D94" s="60"/>
      <c r="E94" s="60"/>
      <c r="F94" s="60"/>
      <c r="G94" s="60"/>
      <c r="H94" s="60"/>
      <c r="I94" s="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39" t="s">
        <v>7</v>
      </c>
      <c r="B95" s="139"/>
      <c r="C95" s="139"/>
      <c r="D95" s="139"/>
      <c r="E95" s="139"/>
      <c r="F95" s="139"/>
      <c r="G95" s="139"/>
      <c r="H95" s="139"/>
      <c r="I95" s="139"/>
      <c r="J95" s="29"/>
      <c r="K95" s="29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39" t="s">
        <v>8</v>
      </c>
      <c r="B96" s="139"/>
      <c r="C96" s="139"/>
      <c r="D96" s="139"/>
      <c r="E96" s="139"/>
      <c r="F96" s="139"/>
      <c r="G96" s="139"/>
      <c r="H96" s="139"/>
      <c r="I96" s="139"/>
      <c r="J96" s="4"/>
      <c r="K96" s="4"/>
      <c r="L96" s="4"/>
      <c r="M96" s="4"/>
      <c r="N96" s="4"/>
      <c r="O96" s="4"/>
      <c r="P96" s="4"/>
      <c r="Q96" s="4"/>
      <c r="S96" s="4"/>
      <c r="T96" s="4"/>
      <c r="U96" s="4"/>
    </row>
    <row r="97" spans="1:21" ht="15.75">
      <c r="A97" s="135" t="s">
        <v>9</v>
      </c>
      <c r="B97" s="135"/>
      <c r="C97" s="135"/>
      <c r="D97" s="135"/>
      <c r="E97" s="135"/>
      <c r="F97" s="135"/>
      <c r="G97" s="135"/>
      <c r="H97" s="135"/>
      <c r="I97" s="135"/>
      <c r="J97" s="6"/>
      <c r="K97" s="6"/>
      <c r="L97" s="6"/>
      <c r="M97" s="6"/>
      <c r="N97" s="6"/>
      <c r="O97" s="6"/>
      <c r="P97" s="6"/>
      <c r="Q97" s="6"/>
      <c r="R97" s="137"/>
      <c r="S97" s="137"/>
      <c r="T97" s="137"/>
      <c r="U97" s="137"/>
    </row>
    <row r="98" spans="1:21" ht="15.75">
      <c r="A98" s="13"/>
      <c r="B98" s="58"/>
      <c r="C98" s="58"/>
      <c r="D98" s="58"/>
      <c r="E98" s="58"/>
      <c r="F98" s="58"/>
      <c r="G98" s="58"/>
      <c r="H98" s="58"/>
      <c r="I98" s="58"/>
    </row>
    <row r="99" spans="1:21" ht="15.75">
      <c r="A99" s="141" t="s">
        <v>10</v>
      </c>
      <c r="B99" s="141"/>
      <c r="C99" s="141"/>
      <c r="D99" s="141"/>
      <c r="E99" s="141"/>
      <c r="F99" s="141"/>
      <c r="G99" s="141"/>
      <c r="H99" s="141"/>
      <c r="I99" s="141"/>
    </row>
    <row r="100" spans="1:21" ht="15.75" customHeight="1">
      <c r="A100" s="5"/>
    </row>
    <row r="101" spans="1:21" ht="15.75">
      <c r="A101" s="135" t="s">
        <v>11</v>
      </c>
      <c r="B101" s="135"/>
      <c r="C101" s="140" t="s">
        <v>92</v>
      </c>
      <c r="D101" s="140"/>
      <c r="E101" s="140"/>
      <c r="F101" s="74"/>
      <c r="I101" s="109"/>
    </row>
    <row r="102" spans="1:21">
      <c r="A102" s="110"/>
      <c r="C102" s="134" t="s">
        <v>12</v>
      </c>
      <c r="D102" s="134"/>
      <c r="E102" s="134"/>
      <c r="F102" s="28"/>
      <c r="I102" s="108" t="s">
        <v>13</v>
      </c>
    </row>
    <row r="103" spans="1:21" ht="15.75">
      <c r="A103" s="29"/>
      <c r="C103" s="14"/>
      <c r="D103" s="14"/>
      <c r="G103" s="14"/>
      <c r="H103" s="14"/>
    </row>
    <row r="104" spans="1:21" ht="15.75" customHeight="1">
      <c r="A104" s="135" t="s">
        <v>14</v>
      </c>
      <c r="B104" s="135"/>
      <c r="C104" s="136"/>
      <c r="D104" s="136"/>
      <c r="E104" s="136"/>
      <c r="F104" s="75"/>
      <c r="I104" s="109"/>
    </row>
    <row r="105" spans="1:21">
      <c r="A105" s="110"/>
      <c r="C105" s="137" t="s">
        <v>12</v>
      </c>
      <c r="D105" s="137"/>
      <c r="E105" s="137"/>
      <c r="F105" s="110"/>
      <c r="I105" s="108" t="s">
        <v>13</v>
      </c>
    </row>
    <row r="106" spans="1:21" ht="15.75">
      <c r="A106" s="5" t="s">
        <v>15</v>
      </c>
    </row>
    <row r="107" spans="1:21">
      <c r="A107" s="132" t="s">
        <v>16</v>
      </c>
      <c r="B107" s="132"/>
      <c r="C107" s="132"/>
      <c r="D107" s="132"/>
      <c r="E107" s="132"/>
      <c r="F107" s="132"/>
      <c r="G107" s="132"/>
      <c r="H107" s="132"/>
      <c r="I107" s="132"/>
    </row>
    <row r="108" spans="1:21" ht="45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21" ht="30" customHeight="1">
      <c r="A109" s="133" t="s">
        <v>18</v>
      </c>
      <c r="B109" s="133"/>
      <c r="C109" s="133"/>
      <c r="D109" s="133"/>
      <c r="E109" s="133"/>
      <c r="F109" s="133"/>
      <c r="G109" s="133"/>
      <c r="H109" s="133"/>
      <c r="I109" s="133"/>
    </row>
    <row r="110" spans="1:21" ht="30" customHeight="1">
      <c r="A110" s="133" t="s">
        <v>22</v>
      </c>
      <c r="B110" s="133"/>
      <c r="C110" s="133"/>
      <c r="D110" s="133"/>
      <c r="E110" s="133"/>
      <c r="F110" s="133"/>
      <c r="G110" s="133"/>
      <c r="H110" s="133"/>
      <c r="I110" s="133"/>
    </row>
    <row r="111" spans="1:21" ht="15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3" spans="1:8">
      <c r="A113" s="15"/>
      <c r="B113" s="15"/>
      <c r="C113" s="15"/>
      <c r="D113" s="15"/>
      <c r="E113" s="15"/>
      <c r="F113" s="15"/>
      <c r="G113" s="15"/>
      <c r="H113" s="15"/>
    </row>
  </sheetData>
  <autoFilter ref="I15:I92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1:I91"/>
    <mergeCell ref="B92:G92"/>
    <mergeCell ref="B93:G93"/>
    <mergeCell ref="A95:I95"/>
    <mergeCell ref="A96:I96"/>
    <mergeCell ref="A111:I111"/>
    <mergeCell ref="R97:U97"/>
    <mergeCell ref="A99:I99"/>
    <mergeCell ref="A101:B101"/>
    <mergeCell ref="C101:E101"/>
    <mergeCell ref="C102:E102"/>
    <mergeCell ref="A104:B104"/>
    <mergeCell ref="C104:E104"/>
    <mergeCell ref="A97:I97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143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182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42855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1">SUM(E22/100)</f>
        <v>3.57</v>
      </c>
      <c r="G22" s="80">
        <v>335.05</v>
      </c>
      <c r="H22" s="81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1"/>
        <v>0.38640000000000002</v>
      </c>
      <c r="G23" s="80">
        <v>55.1</v>
      </c>
      <c r="H23" s="81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1"/>
        <v>0.15</v>
      </c>
      <c r="G24" s="80">
        <v>484.94</v>
      </c>
      <c r="H24" s="81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1"/>
        <v>6.3799999999999996E-2</v>
      </c>
      <c r="G25" s="80">
        <v>684.05</v>
      </c>
      <c r="H25" s="81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82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hidden="1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hidden="1" customHeight="1">
      <c r="A30" s="69">
        <v>6</v>
      </c>
      <c r="B30" s="37" t="s">
        <v>159</v>
      </c>
      <c r="C30" s="46" t="s">
        <v>122</v>
      </c>
      <c r="D30" s="37" t="s">
        <v>152</v>
      </c>
      <c r="E30" s="107"/>
      <c r="F30" s="118"/>
      <c r="G30" s="36">
        <v>193.97</v>
      </c>
      <c r="H30" s="119"/>
      <c r="I30" s="101">
        <v>109.44</v>
      </c>
      <c r="J30" s="27"/>
      <c r="K30" s="10"/>
      <c r="L30" s="10"/>
      <c r="M30" s="10"/>
    </row>
    <row r="31" spans="1:13" ht="31.5" hidden="1" customHeight="1">
      <c r="A31" s="69">
        <v>7</v>
      </c>
      <c r="B31" s="37" t="s">
        <v>160</v>
      </c>
      <c r="C31" s="46" t="s">
        <v>122</v>
      </c>
      <c r="D31" s="37" t="s">
        <v>153</v>
      </c>
      <c r="E31" s="107"/>
      <c r="F31" s="118"/>
      <c r="G31" s="36">
        <v>321.82</v>
      </c>
      <c r="H31" s="119"/>
      <c r="I31" s="101">
        <v>272.36</v>
      </c>
      <c r="J31" s="27"/>
      <c r="K31" s="10"/>
      <c r="L31" s="10"/>
      <c r="M31" s="10"/>
    </row>
    <row r="32" spans="1:13" ht="15.75" hidden="1" customHeight="1">
      <c r="A32" s="69"/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ref="H32" si="2">SUM(F32*G32/1000)</f>
        <v>0.24466402799999998</v>
      </c>
      <c r="I32" s="17">
        <v>0</v>
      </c>
      <c r="J32" s="27"/>
      <c r="K32" s="10"/>
      <c r="L32" s="10"/>
      <c r="M32" s="10"/>
    </row>
    <row r="33" spans="1:13" ht="15.75" hidden="1" customHeight="1">
      <c r="A33" s="69">
        <v>8</v>
      </c>
      <c r="B33" s="37" t="s">
        <v>161</v>
      </c>
      <c r="C33" s="46" t="s">
        <v>30</v>
      </c>
      <c r="D33" s="37" t="s">
        <v>62</v>
      </c>
      <c r="E33" s="107"/>
      <c r="F33" s="118"/>
      <c r="G33" s="36">
        <v>70.540000000000006</v>
      </c>
      <c r="H33" s="119"/>
      <c r="I33" s="101">
        <v>303.70999999999998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ref="H34:H35" si="3">SUM(F34*G34/1000)</f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3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4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customHeight="1">
      <c r="A39" s="38">
        <v>8</v>
      </c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customHeight="1">
      <c r="A40" s="38">
        <v>9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4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10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4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customHeight="1">
      <c r="A42" s="38">
        <v>11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4"/>
        <v>0.62509671</v>
      </c>
      <c r="I42" s="17">
        <f>F42/2*G42</f>
        <v>312.54835500000002</v>
      </c>
      <c r="J42" s="27"/>
      <c r="K42" s="10"/>
      <c r="L42" s="10"/>
      <c r="M42" s="10"/>
    </row>
    <row r="43" spans="1:13" ht="15.75" customHeight="1">
      <c r="A43" s="38">
        <v>12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4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hidden="1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16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5">SUM(F45*G45/1000)</f>
        <v>2.721961968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19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5"/>
        <v>4.2862477871999998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20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5"/>
        <v>3.0571051328000003</v>
      </c>
      <c r="I47" s="17">
        <v>0</v>
      </c>
      <c r="J47" s="27"/>
      <c r="K47" s="10"/>
      <c r="L47" s="10"/>
      <c r="M47" s="10"/>
    </row>
    <row r="48" spans="1:13" ht="15.75" hidden="1" customHeight="1">
      <c r="A48" s="47">
        <v>17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5"/>
        <v>0.15555924799999998</v>
      </c>
      <c r="I48" s="17">
        <v>0</v>
      </c>
      <c r="J48" s="27"/>
      <c r="K48" s="10"/>
      <c r="L48" s="10"/>
      <c r="M48" s="10"/>
    </row>
    <row r="49" spans="1:14" ht="15.75" hidden="1" customHeight="1">
      <c r="A49" s="47">
        <v>12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5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12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5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13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5"/>
        <v>1.2321280000000001</v>
      </c>
      <c r="I51" s="17">
        <f t="shared" ref="I51:I52" si="6">F51/2*G51</f>
        <v>616.06400000000008</v>
      </c>
      <c r="J51" s="27"/>
      <c r="K51" s="10"/>
    </row>
    <row r="52" spans="1:14" ht="15.75" hidden="1" customHeight="1">
      <c r="A52" s="47">
        <v>14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5"/>
        <v>0.1406626</v>
      </c>
      <c r="I52" s="17">
        <f t="shared" si="6"/>
        <v>70.331299999999999</v>
      </c>
      <c r="J52" s="77"/>
    </row>
    <row r="53" spans="1:14" ht="15.75" hidden="1" customHeight="1">
      <c r="A53" s="47">
        <v>13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5"/>
        <v>33.715199999999996</v>
      </c>
      <c r="I53" s="17">
        <f>E53*G53</f>
        <v>11238.4</v>
      </c>
      <c r="J53" s="77"/>
    </row>
    <row r="54" spans="1:14" ht="15.75" hidden="1" customHeight="1">
      <c r="A54" s="47">
        <v>14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5"/>
        <v>31.384319999999999</v>
      </c>
      <c r="I54" s="17">
        <f>E54*G54</f>
        <v>10461.44</v>
      </c>
      <c r="J54" s="77"/>
    </row>
    <row r="55" spans="1:14" ht="15.75" customHeight="1">
      <c r="A55" s="146" t="s">
        <v>87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customHeight="1">
      <c r="A57" s="47">
        <v>13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hidden="1" customHeight="1">
      <c r="A58" s="47">
        <v>16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</f>
        <v>1501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7">SUM(F62*G62/1000)</f>
        <v>0.27673999999999999</v>
      </c>
      <c r="I62" s="17">
        <v>0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7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/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7"/>
        <v>26.536274799999997</v>
      </c>
      <c r="I64" s="17">
        <v>0</v>
      </c>
      <c r="J64" s="77"/>
      <c r="L64" s="24"/>
      <c r="M64" s="25"/>
      <c r="N64" s="26"/>
    </row>
    <row r="65" spans="1:14" ht="15.75" hidden="1" customHeight="1">
      <c r="A65" s="68"/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7"/>
        <v>2.0663896399999997</v>
      </c>
      <c r="I65" s="17">
        <v>0</v>
      </c>
      <c r="J65" s="77"/>
      <c r="L65" s="24"/>
      <c r="M65" s="25"/>
      <c r="N65" s="26"/>
    </row>
    <row r="66" spans="1:14" ht="15.75" hidden="1" customHeight="1">
      <c r="A66" s="68"/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7"/>
        <v>56.793660000000003</v>
      </c>
      <c r="I66" s="17">
        <v>0</v>
      </c>
      <c r="J66" s="77"/>
      <c r="L66" s="24"/>
      <c r="M66" s="25"/>
      <c r="N66" s="26"/>
    </row>
    <row r="67" spans="1:14" ht="15.75" hidden="1" customHeight="1">
      <c r="A67" s="68"/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7"/>
        <v>0.44603000000000004</v>
      </c>
      <c r="I67" s="17">
        <v>0</v>
      </c>
      <c r="J67" s="77"/>
      <c r="L67" s="24"/>
      <c r="M67" s="25"/>
      <c r="N67" s="26"/>
    </row>
    <row r="68" spans="1:14" ht="15.75" hidden="1" customHeight="1">
      <c r="A68" s="68"/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7"/>
        <v>0.41613800000000001</v>
      </c>
      <c r="I68" s="17">
        <v>0</v>
      </c>
      <c r="J68" s="77"/>
      <c r="L68" s="24"/>
      <c r="M68" s="25"/>
      <c r="N68" s="26"/>
    </row>
    <row r="69" spans="1:14" ht="15.75" hidden="1" customHeight="1">
      <c r="A69" s="68"/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7"/>
        <v>0.12414</v>
      </c>
      <c r="I69" s="17">
        <v>0</v>
      </c>
      <c r="J69" s="77"/>
      <c r="L69" s="24"/>
      <c r="M69" s="25"/>
      <c r="N69" s="26"/>
    </row>
    <row r="70" spans="1:14" ht="15.75" customHeight="1">
      <c r="A70" s="69">
        <v>14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7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36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v>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8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8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8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9">SUM(F80*G80/1000)</f>
        <v>3.4336799999999998</v>
      </c>
      <c r="I80" s="17">
        <v>0</v>
      </c>
      <c r="J80" s="77"/>
      <c r="L80" s="24"/>
      <c r="M80" s="25"/>
      <c r="N80" s="26"/>
    </row>
    <row r="81" spans="1:22" ht="15.75" customHeight="1">
      <c r="A81" s="152" t="s">
        <v>148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22" ht="15.75" customHeight="1">
      <c r="A82" s="69">
        <v>15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22" ht="31.5" customHeight="1">
      <c r="A83" s="31">
        <v>16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22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SUM(I16+I17+I18+I26+I27+I37+I38+I39+I40+I41+I42+I43+I57+I70+I82+I83)</f>
        <v>51876.797305833337</v>
      </c>
      <c r="J84" s="77"/>
      <c r="L84" s="24"/>
      <c r="M84" s="25"/>
      <c r="N84" s="26"/>
    </row>
    <row r="85" spans="1:22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22" ht="15.75" customHeight="1">
      <c r="A86" s="69">
        <v>17</v>
      </c>
      <c r="B86" s="100" t="s">
        <v>178</v>
      </c>
      <c r="C86" s="99" t="s">
        <v>93</v>
      </c>
      <c r="D86" s="19"/>
      <c r="E86" s="23"/>
      <c r="F86" s="17">
        <f>(3+3+10+10+15+15+10+20+3+15+10+3+10)/3</f>
        <v>42.333333333333336</v>
      </c>
      <c r="G86" s="17">
        <v>1120.8900000000001</v>
      </c>
      <c r="H86" s="82">
        <f t="shared" ref="H86:H87" si="10">G86*F86/1000</f>
        <v>47.451010000000011</v>
      </c>
      <c r="I86" s="102">
        <f>G86*((10+20+3)/3)</f>
        <v>12329.79</v>
      </c>
      <c r="J86" s="77"/>
      <c r="L86" s="24"/>
      <c r="M86" s="25"/>
      <c r="N86" s="26"/>
    </row>
    <row r="87" spans="1:22" ht="15.75" customHeight="1">
      <c r="A87" s="69">
        <v>18</v>
      </c>
      <c r="B87" s="123" t="s">
        <v>154</v>
      </c>
      <c r="C87" s="31" t="s">
        <v>109</v>
      </c>
      <c r="D87" s="57"/>
      <c r="E87" s="17"/>
      <c r="F87" s="17">
        <v>3</v>
      </c>
      <c r="G87" s="17">
        <v>470</v>
      </c>
      <c r="H87" s="124">
        <f t="shared" si="10"/>
        <v>1.41</v>
      </c>
      <c r="I87" s="102">
        <f>G87</f>
        <v>470</v>
      </c>
      <c r="J87" s="77"/>
      <c r="L87" s="24"/>
      <c r="M87" s="25"/>
      <c r="N87" s="26"/>
    </row>
    <row r="88" spans="1:22" ht="15.75" customHeight="1">
      <c r="A88" s="31"/>
      <c r="B88" s="52" t="s">
        <v>51</v>
      </c>
      <c r="C88" s="48"/>
      <c r="D88" s="62"/>
      <c r="E88" s="48">
        <v>1</v>
      </c>
      <c r="F88" s="48"/>
      <c r="G88" s="48"/>
      <c r="H88" s="48"/>
      <c r="I88" s="35">
        <f>SUM(I86:I87)</f>
        <v>12799.79</v>
      </c>
      <c r="J88" s="77"/>
      <c r="L88" s="24"/>
      <c r="M88" s="25"/>
      <c r="N88" s="26"/>
    </row>
    <row r="89" spans="1:22" ht="15.75" customHeight="1">
      <c r="A89" s="31"/>
      <c r="B89" s="57" t="s">
        <v>75</v>
      </c>
      <c r="C89" s="20"/>
      <c r="D89" s="20"/>
      <c r="E89" s="49"/>
      <c r="F89" s="49"/>
      <c r="G89" s="50"/>
      <c r="H89" s="50"/>
      <c r="I89" s="22">
        <v>0</v>
      </c>
      <c r="J89" s="77"/>
      <c r="L89" s="24"/>
      <c r="M89" s="25"/>
      <c r="N89" s="26"/>
    </row>
    <row r="90" spans="1:22" ht="15.75" customHeight="1">
      <c r="A90" s="63"/>
      <c r="B90" s="53" t="s">
        <v>172</v>
      </c>
      <c r="C90" s="39"/>
      <c r="D90" s="39"/>
      <c r="E90" s="39"/>
      <c r="F90" s="39"/>
      <c r="G90" s="39"/>
      <c r="H90" s="39"/>
      <c r="I90" s="51">
        <f>I84+I88</f>
        <v>64676.587305833338</v>
      </c>
      <c r="J90" s="77"/>
      <c r="L90" s="24"/>
    </row>
    <row r="91" spans="1:22" ht="15.75">
      <c r="A91" s="135" t="s">
        <v>228</v>
      </c>
      <c r="B91" s="135"/>
      <c r="C91" s="135"/>
      <c r="D91" s="135"/>
      <c r="E91" s="135"/>
      <c r="F91" s="135"/>
      <c r="G91" s="135"/>
      <c r="H91" s="135"/>
      <c r="I91" s="135"/>
    </row>
    <row r="92" spans="1:22" ht="15.75">
      <c r="A92" s="12"/>
      <c r="B92" s="145" t="s">
        <v>229</v>
      </c>
      <c r="C92" s="145"/>
      <c r="D92" s="145"/>
      <c r="E92" s="145"/>
      <c r="F92" s="145"/>
      <c r="G92" s="145"/>
      <c r="H92" s="104"/>
      <c r="I92" s="4"/>
    </row>
    <row r="93" spans="1:22" ht="15.75">
      <c r="A93" s="72"/>
      <c r="B93" s="138" t="s">
        <v>6</v>
      </c>
      <c r="C93" s="138"/>
      <c r="D93" s="138"/>
      <c r="E93" s="138"/>
      <c r="F93" s="138"/>
      <c r="G93" s="138"/>
      <c r="H93" s="76"/>
      <c r="I93" s="59"/>
    </row>
    <row r="94" spans="1:22" ht="15.75" customHeight="1">
      <c r="A94" s="60"/>
      <c r="B94" s="60"/>
      <c r="C94" s="60"/>
      <c r="D94" s="60"/>
      <c r="E94" s="60"/>
      <c r="F94" s="60"/>
      <c r="G94" s="60"/>
      <c r="H94" s="60"/>
      <c r="I94" s="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39" t="s">
        <v>7</v>
      </c>
      <c r="B95" s="139"/>
      <c r="C95" s="139"/>
      <c r="D95" s="139"/>
      <c r="E95" s="139"/>
      <c r="F95" s="139"/>
      <c r="G95" s="139"/>
      <c r="H95" s="139"/>
      <c r="I95" s="139"/>
      <c r="J95" s="29"/>
      <c r="K95" s="29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39" t="s">
        <v>8</v>
      </c>
      <c r="B96" s="139"/>
      <c r="C96" s="139"/>
      <c r="D96" s="139"/>
      <c r="E96" s="139"/>
      <c r="F96" s="139"/>
      <c r="G96" s="139"/>
      <c r="H96" s="139"/>
      <c r="I96" s="139"/>
      <c r="J96" s="4"/>
      <c r="K96" s="4"/>
      <c r="L96" s="4"/>
      <c r="M96" s="4"/>
      <c r="N96" s="4"/>
      <c r="O96" s="4"/>
      <c r="P96" s="4"/>
      <c r="Q96" s="4"/>
      <c r="S96" s="4"/>
      <c r="T96" s="4"/>
      <c r="U96" s="4"/>
    </row>
    <row r="97" spans="1:21" ht="15.75">
      <c r="A97" s="135" t="s">
        <v>9</v>
      </c>
      <c r="B97" s="135"/>
      <c r="C97" s="135"/>
      <c r="D97" s="135"/>
      <c r="E97" s="135"/>
      <c r="F97" s="135"/>
      <c r="G97" s="135"/>
      <c r="H97" s="135"/>
      <c r="I97" s="135"/>
      <c r="J97" s="6"/>
      <c r="K97" s="6"/>
      <c r="L97" s="6"/>
      <c r="M97" s="6"/>
      <c r="N97" s="6"/>
      <c r="O97" s="6"/>
      <c r="P97" s="6"/>
      <c r="Q97" s="6"/>
      <c r="R97" s="137"/>
      <c r="S97" s="137"/>
      <c r="T97" s="137"/>
      <c r="U97" s="137"/>
    </row>
    <row r="98" spans="1:21" ht="15.75">
      <c r="A98" s="13"/>
      <c r="B98" s="58"/>
      <c r="C98" s="58"/>
      <c r="D98" s="58"/>
      <c r="E98" s="58"/>
      <c r="F98" s="58"/>
      <c r="G98" s="58"/>
      <c r="H98" s="58"/>
      <c r="I98" s="58"/>
    </row>
    <row r="99" spans="1:21" ht="15.75">
      <c r="A99" s="141" t="s">
        <v>10</v>
      </c>
      <c r="B99" s="141"/>
      <c r="C99" s="141"/>
      <c r="D99" s="141"/>
      <c r="E99" s="141"/>
      <c r="F99" s="141"/>
      <c r="G99" s="141"/>
      <c r="H99" s="141"/>
      <c r="I99" s="141"/>
    </row>
    <row r="100" spans="1:21" ht="15.75" customHeight="1">
      <c r="A100" s="5"/>
    </row>
    <row r="101" spans="1:21" ht="15.75">
      <c r="A101" s="135" t="s">
        <v>11</v>
      </c>
      <c r="B101" s="135"/>
      <c r="C101" s="140" t="s">
        <v>92</v>
      </c>
      <c r="D101" s="140"/>
      <c r="E101" s="140"/>
      <c r="F101" s="74"/>
      <c r="I101" s="109"/>
    </row>
    <row r="102" spans="1:21">
      <c r="A102" s="110"/>
      <c r="C102" s="134" t="s">
        <v>12</v>
      </c>
      <c r="D102" s="134"/>
      <c r="E102" s="134"/>
      <c r="F102" s="28"/>
      <c r="I102" s="108" t="s">
        <v>13</v>
      </c>
    </row>
    <row r="103" spans="1:21" ht="15.75">
      <c r="A103" s="29"/>
      <c r="C103" s="14"/>
      <c r="D103" s="14"/>
      <c r="G103" s="14"/>
      <c r="H103" s="14"/>
    </row>
    <row r="104" spans="1:21" ht="15.75" customHeight="1">
      <c r="A104" s="135" t="s">
        <v>14</v>
      </c>
      <c r="B104" s="135"/>
      <c r="C104" s="136"/>
      <c r="D104" s="136"/>
      <c r="E104" s="136"/>
      <c r="F104" s="75"/>
      <c r="I104" s="109"/>
    </row>
    <row r="105" spans="1:21">
      <c r="A105" s="110"/>
      <c r="C105" s="137" t="s">
        <v>12</v>
      </c>
      <c r="D105" s="137"/>
      <c r="E105" s="137"/>
      <c r="F105" s="110"/>
      <c r="I105" s="108" t="s">
        <v>13</v>
      </c>
    </row>
    <row r="106" spans="1:21" ht="15.75">
      <c r="A106" s="5" t="s">
        <v>15</v>
      </c>
    </row>
    <row r="107" spans="1:21">
      <c r="A107" s="132" t="s">
        <v>16</v>
      </c>
      <c r="B107" s="132"/>
      <c r="C107" s="132"/>
      <c r="D107" s="132"/>
      <c r="E107" s="132"/>
      <c r="F107" s="132"/>
      <c r="G107" s="132"/>
      <c r="H107" s="132"/>
      <c r="I107" s="132"/>
    </row>
    <row r="108" spans="1:21" ht="45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21" ht="30" customHeight="1">
      <c r="A109" s="133" t="s">
        <v>18</v>
      </c>
      <c r="B109" s="133"/>
      <c r="C109" s="133"/>
      <c r="D109" s="133"/>
      <c r="E109" s="133"/>
      <c r="F109" s="133"/>
      <c r="G109" s="133"/>
      <c r="H109" s="133"/>
      <c r="I109" s="133"/>
    </row>
    <row r="110" spans="1:21" ht="30" customHeight="1">
      <c r="A110" s="133" t="s">
        <v>22</v>
      </c>
      <c r="B110" s="133"/>
      <c r="C110" s="133"/>
      <c r="D110" s="133"/>
      <c r="E110" s="133"/>
      <c r="F110" s="133"/>
      <c r="G110" s="133"/>
      <c r="H110" s="133"/>
      <c r="I110" s="133"/>
    </row>
    <row r="111" spans="1:21" ht="15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3" spans="1:8">
      <c r="A113" s="15"/>
      <c r="B113" s="15"/>
      <c r="C113" s="15"/>
      <c r="D113" s="15"/>
      <c r="E113" s="15"/>
      <c r="F113" s="15"/>
      <c r="G113" s="15"/>
      <c r="H113" s="15"/>
    </row>
  </sheetData>
  <autoFilter ref="I15:I92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1:I91"/>
    <mergeCell ref="B92:G92"/>
    <mergeCell ref="B93:G93"/>
    <mergeCell ref="A95:I95"/>
    <mergeCell ref="A96:I96"/>
    <mergeCell ref="A111:I111"/>
    <mergeCell ref="R97:U97"/>
    <mergeCell ref="A99:I99"/>
    <mergeCell ref="A101:B101"/>
    <mergeCell ref="C101:E101"/>
    <mergeCell ref="C102:E102"/>
    <mergeCell ref="A104:B104"/>
    <mergeCell ref="C104:E104"/>
    <mergeCell ref="A97:I97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144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183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42886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customHeight="1">
      <c r="A19" s="31">
        <v>4</v>
      </c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f>F19/2*G19</f>
        <v>423.48</v>
      </c>
      <c r="J19" s="10"/>
      <c r="K19" s="10"/>
      <c r="L19" s="10"/>
      <c r="M19" s="10"/>
    </row>
    <row r="20" spans="1:13" ht="15.75" customHeight="1">
      <c r="A20" s="31">
        <v>5</v>
      </c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f t="shared" ref="I20:I21" si="1">F20/2*G20</f>
        <v>28.467600000000001</v>
      </c>
      <c r="J20" s="10"/>
      <c r="K20" s="10"/>
      <c r="L20" s="10"/>
      <c r="M20" s="10"/>
    </row>
    <row r="21" spans="1:13" ht="15.75" customHeight="1">
      <c r="A21" s="31">
        <v>6</v>
      </c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f t="shared" si="1"/>
        <v>7.2608400000000008</v>
      </c>
      <c r="J21" s="10"/>
      <c r="K21" s="10"/>
      <c r="L21" s="10"/>
      <c r="M21" s="10"/>
    </row>
    <row r="22" spans="1:13" ht="15.75" customHeight="1">
      <c r="A22" s="31">
        <v>7</v>
      </c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2">SUM(E22/100)</f>
        <v>3.57</v>
      </c>
      <c r="G22" s="80">
        <v>335.05</v>
      </c>
      <c r="H22" s="81">
        <f t="shared" si="0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customHeight="1">
      <c r="A23" s="31">
        <v>8</v>
      </c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2"/>
        <v>0.38640000000000002</v>
      </c>
      <c r="G23" s="80">
        <v>55.1</v>
      </c>
      <c r="H23" s="81">
        <f t="shared" si="0"/>
        <v>2.1290640000000003E-2</v>
      </c>
      <c r="I23" s="17">
        <f t="shared" ref="I23:I25" si="3">F23*G23</f>
        <v>21.290640000000003</v>
      </c>
      <c r="J23" s="10"/>
      <c r="K23" s="10"/>
      <c r="L23" s="10"/>
      <c r="M23" s="10"/>
    </row>
    <row r="24" spans="1:13" ht="15.75" customHeight="1">
      <c r="A24" s="31">
        <v>9</v>
      </c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2"/>
        <v>0.15</v>
      </c>
      <c r="G24" s="80">
        <v>484.94</v>
      </c>
      <c r="H24" s="81">
        <f t="shared" si="0"/>
        <v>7.2741E-2</v>
      </c>
      <c r="I24" s="17">
        <f t="shared" si="3"/>
        <v>72.741</v>
      </c>
      <c r="J24" s="10"/>
      <c r="K24" s="10"/>
      <c r="L24" s="10"/>
      <c r="M24" s="10"/>
    </row>
    <row r="25" spans="1:13" ht="15.75" customHeight="1">
      <c r="A25" s="31">
        <v>10</v>
      </c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2"/>
        <v>6.3799999999999996E-2</v>
      </c>
      <c r="G25" s="80">
        <v>684.05</v>
      </c>
      <c r="H25" s="81">
        <f t="shared" si="0"/>
        <v>4.3642389999999989E-2</v>
      </c>
      <c r="I25" s="17">
        <f t="shared" si="3"/>
        <v>43.642389999999992</v>
      </c>
      <c r="J25" s="10"/>
      <c r="K25" s="10"/>
      <c r="L25" s="10"/>
      <c r="M25" s="10"/>
    </row>
    <row r="26" spans="1:13" ht="15.75" customHeight="1">
      <c r="A26" s="31">
        <v>11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12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82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customHeight="1">
      <c r="A30" s="69">
        <v>13</v>
      </c>
      <c r="B30" s="70" t="s">
        <v>159</v>
      </c>
      <c r="C30" s="78" t="s">
        <v>122</v>
      </c>
      <c r="D30" s="70" t="s">
        <v>152</v>
      </c>
      <c r="E30" s="80">
        <v>65.099999999999994</v>
      </c>
      <c r="F30" s="80">
        <f>SUM(E30*52/1000)</f>
        <v>3.3851999999999998</v>
      </c>
      <c r="G30" s="80">
        <v>193.97</v>
      </c>
      <c r="H30" s="81">
        <f t="shared" ref="H30:H33" si="4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customHeight="1">
      <c r="A31" s="69">
        <v>14</v>
      </c>
      <c r="B31" s="70" t="s">
        <v>160</v>
      </c>
      <c r="C31" s="78" t="s">
        <v>122</v>
      </c>
      <c r="D31" s="70" t="s">
        <v>153</v>
      </c>
      <c r="E31" s="80">
        <v>65.099999999999994</v>
      </c>
      <c r="F31" s="80">
        <f>SUM(E31*78/1000)</f>
        <v>5.077799999999999</v>
      </c>
      <c r="G31" s="80">
        <v>321.82</v>
      </c>
      <c r="H31" s="81">
        <f t="shared" si="4"/>
        <v>1.6341375959999995</v>
      </c>
      <c r="I31" s="17">
        <f t="shared" ref="I31:I33" si="5">F31/6*G31</f>
        <v>272.35626599999995</v>
      </c>
      <c r="J31" s="27"/>
      <c r="K31" s="10"/>
      <c r="L31" s="10"/>
      <c r="M31" s="10"/>
    </row>
    <row r="32" spans="1:13" ht="15.75" customHeight="1">
      <c r="A32" s="69">
        <v>15</v>
      </c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si="4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customHeight="1">
      <c r="A33" s="69">
        <v>16</v>
      </c>
      <c r="B33" s="70" t="s">
        <v>161</v>
      </c>
      <c r="C33" s="78" t="s">
        <v>30</v>
      </c>
      <c r="D33" s="70" t="s">
        <v>62</v>
      </c>
      <c r="E33" s="88">
        <f>1/6</f>
        <v>0.16666666666666666</v>
      </c>
      <c r="F33" s="80">
        <f>155/6</f>
        <v>25.833333333333332</v>
      </c>
      <c r="G33" s="80">
        <v>70.540000000000006</v>
      </c>
      <c r="H33" s="81">
        <f t="shared" si="4"/>
        <v>1.8222833333333333</v>
      </c>
      <c r="I33" s="17">
        <f t="shared" si="5"/>
        <v>303.7138888888889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ref="H34:H35" si="6">SUM(F34*G34/1000)</f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6"/>
        <v>1.4139600000000001</v>
      </c>
      <c r="I35" s="17">
        <v>0</v>
      </c>
      <c r="J35" s="27"/>
      <c r="K35" s="10"/>
      <c r="L35" s="10"/>
      <c r="M35" s="10"/>
    </row>
    <row r="36" spans="1:13" ht="15.75" hidden="1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hidden="1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7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hidden="1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hidden="1" customHeight="1">
      <c r="A40" s="38">
        <v>9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7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hidden="1" customHeight="1">
      <c r="A41" s="38">
        <v>10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7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11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7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hidden="1" customHeight="1">
      <c r="A43" s="38">
        <v>12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7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customHeight="1">
      <c r="A45" s="47">
        <v>17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8">SUM(F45*G45/1000)</f>
        <v>2.721961968</v>
      </c>
      <c r="I45" s="17">
        <f t="shared" ref="I45:I47" si="9">F45/2*G45</f>
        <v>1360.980984</v>
      </c>
      <c r="J45" s="27"/>
      <c r="K45" s="10"/>
      <c r="L45" s="10"/>
      <c r="M45" s="10"/>
    </row>
    <row r="46" spans="1:13" ht="15.75" customHeight="1">
      <c r="A46" s="47">
        <v>18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8"/>
        <v>4.2862477871999998</v>
      </c>
      <c r="I46" s="17">
        <f t="shared" si="9"/>
        <v>2143.1238936</v>
      </c>
      <c r="J46" s="27"/>
      <c r="K46" s="10"/>
      <c r="L46" s="10"/>
      <c r="M46" s="10"/>
    </row>
    <row r="47" spans="1:13" ht="15.75" customHeight="1">
      <c r="A47" s="47">
        <v>19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8"/>
        <v>3.0571051328000003</v>
      </c>
      <c r="I47" s="17">
        <f t="shared" si="9"/>
        <v>1528.5525664000002</v>
      </c>
      <c r="J47" s="27"/>
      <c r="K47" s="10"/>
      <c r="L47" s="10"/>
      <c r="M47" s="10"/>
    </row>
    <row r="48" spans="1:13" ht="15.75" customHeight="1">
      <c r="A48" s="47">
        <v>20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8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customHeight="1">
      <c r="A49" s="47">
        <v>21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8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12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8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13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8"/>
        <v>1.2321280000000001</v>
      </c>
      <c r="I51" s="17">
        <f t="shared" ref="I51:I52" si="10">F51/2*G51</f>
        <v>616.06400000000008</v>
      </c>
      <c r="J51" s="27"/>
      <c r="K51" s="10"/>
    </row>
    <row r="52" spans="1:14" ht="15.75" hidden="1" customHeight="1">
      <c r="A52" s="47">
        <v>14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8"/>
        <v>0.1406626</v>
      </c>
      <c r="I52" s="17">
        <f t="shared" si="10"/>
        <v>70.331299999999999</v>
      </c>
      <c r="J52" s="77"/>
    </row>
    <row r="53" spans="1:14" ht="15.75" customHeight="1">
      <c r="A53" s="47">
        <v>22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8"/>
        <v>33.715199999999996</v>
      </c>
      <c r="I53" s="17">
        <f>E53*G53</f>
        <v>11238.4</v>
      </c>
      <c r="J53" s="77"/>
    </row>
    <row r="54" spans="1:14" ht="15.75" customHeight="1">
      <c r="A54" s="47">
        <v>23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8"/>
        <v>31.384319999999999</v>
      </c>
      <c r="I54" s="17">
        <f>E54*G54</f>
        <v>10461.44</v>
      </c>
      <c r="J54" s="77"/>
    </row>
    <row r="55" spans="1:14" ht="15.75" customHeight="1">
      <c r="A55" s="146" t="s">
        <v>139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hidden="1" customHeight="1">
      <c r="A57" s="47">
        <v>13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customHeight="1">
      <c r="A58" s="47">
        <v>24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G58*3</f>
        <v>4503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11">SUM(F62*G62/1000)</f>
        <v>0.27673999999999999</v>
      </c>
      <c r="I62" s="17">
        <v>0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11"/>
        <v>0.18978</v>
      </c>
      <c r="I63" s="17">
        <v>0</v>
      </c>
      <c r="J63" s="77"/>
      <c r="L63" s="24"/>
      <c r="M63" s="25"/>
      <c r="N63" s="26"/>
    </row>
    <row r="64" spans="1:14" ht="15.75" customHeight="1">
      <c r="A64" s="68">
        <v>25</v>
      </c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11"/>
        <v>26.536274799999997</v>
      </c>
      <c r="I64" s="17">
        <f>F64*G64</f>
        <v>26536.274799999999</v>
      </c>
      <c r="J64" s="77"/>
      <c r="L64" s="24"/>
      <c r="M64" s="25"/>
      <c r="N64" s="26"/>
    </row>
    <row r="65" spans="1:14" ht="15.75" customHeight="1">
      <c r="A65" s="68">
        <v>26</v>
      </c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11"/>
        <v>2.0663896399999997</v>
      </c>
      <c r="I65" s="17">
        <f t="shared" ref="I65:I69" si="12">F65*G65</f>
        <v>2066.3896399999999</v>
      </c>
      <c r="J65" s="77"/>
      <c r="L65" s="24"/>
      <c r="M65" s="25"/>
      <c r="N65" s="26"/>
    </row>
    <row r="66" spans="1:14" ht="15.75" customHeight="1">
      <c r="A66" s="68">
        <v>27</v>
      </c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11"/>
        <v>56.793660000000003</v>
      </c>
      <c r="I66" s="17">
        <f t="shared" si="12"/>
        <v>56793.66</v>
      </c>
      <c r="J66" s="77"/>
      <c r="L66" s="24"/>
      <c r="M66" s="25"/>
      <c r="N66" s="26"/>
    </row>
    <row r="67" spans="1:14" ht="15.75" customHeight="1">
      <c r="A67" s="68">
        <v>28</v>
      </c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11"/>
        <v>0.44603000000000004</v>
      </c>
      <c r="I67" s="17">
        <f t="shared" si="12"/>
        <v>446.03000000000003</v>
      </c>
      <c r="J67" s="77"/>
      <c r="L67" s="24"/>
      <c r="M67" s="25"/>
      <c r="N67" s="26"/>
    </row>
    <row r="68" spans="1:14" ht="15.75" customHeight="1">
      <c r="A68" s="68">
        <v>29</v>
      </c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11"/>
        <v>0.41613800000000001</v>
      </c>
      <c r="I68" s="17">
        <f t="shared" si="12"/>
        <v>416.13800000000003</v>
      </c>
      <c r="J68" s="77"/>
      <c r="L68" s="24"/>
      <c r="M68" s="25"/>
      <c r="N68" s="26"/>
    </row>
    <row r="69" spans="1:14" ht="15.75" hidden="1" customHeight="1">
      <c r="A69" s="68"/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11"/>
        <v>0.12414</v>
      </c>
      <c r="I69" s="17">
        <f t="shared" si="12"/>
        <v>124.14</v>
      </c>
      <c r="J69" s="77"/>
      <c r="L69" s="24"/>
      <c r="M69" s="25"/>
      <c r="N69" s="26"/>
    </row>
    <row r="70" spans="1:14" ht="15.75" customHeight="1">
      <c r="A70" s="69">
        <v>30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11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customHeight="1">
      <c r="A72" s="31">
        <v>31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f>G72</f>
        <v>22720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13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13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13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14">SUM(F80*G80/1000)</f>
        <v>3.4336799999999998</v>
      </c>
      <c r="I80" s="17">
        <v>0</v>
      </c>
      <c r="J80" s="77"/>
      <c r="L80" s="24"/>
      <c r="M80" s="25"/>
      <c r="N80" s="26"/>
    </row>
    <row r="81" spans="1:14" ht="15.75" customHeight="1">
      <c r="A81" s="152" t="s">
        <v>167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14" ht="15.75" customHeight="1">
      <c r="A82" s="69">
        <v>32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14" ht="31.5" customHeight="1">
      <c r="A83" s="31">
        <v>33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14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SUM(I16+I17+I18+I19+I20+I21+I22+I23+I24+I25+I26+I27+I30+I31+I32+I33+I45+I46+I47+I48+I49+I53+I54+I58+I64+I65+I66+I67+I68+I70+I72+I82+I83)</f>
        <v>188864.34871155556</v>
      </c>
      <c r="J84" s="77"/>
      <c r="L84" s="24"/>
      <c r="M84" s="25"/>
      <c r="N84" s="26"/>
    </row>
    <row r="85" spans="1:14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14" ht="15.75" customHeight="1">
      <c r="A86" s="69">
        <v>34</v>
      </c>
      <c r="B86" s="64" t="s">
        <v>79</v>
      </c>
      <c r="C86" s="97" t="s">
        <v>109</v>
      </c>
      <c r="D86" s="19"/>
      <c r="E86" s="23"/>
      <c r="F86" s="17">
        <v>5</v>
      </c>
      <c r="G86" s="17">
        <v>189.88</v>
      </c>
      <c r="H86" s="17">
        <f t="shared" ref="H86:H92" si="15">G86*F86/1000</f>
        <v>0.94940000000000002</v>
      </c>
      <c r="I86" s="102">
        <f>G86</f>
        <v>189.88</v>
      </c>
      <c r="J86" s="77"/>
      <c r="L86" s="24"/>
      <c r="M86" s="25"/>
      <c r="N86" s="26"/>
    </row>
    <row r="87" spans="1:14" ht="31.5" customHeight="1">
      <c r="A87" s="69">
        <v>35</v>
      </c>
      <c r="B87" s="64" t="s">
        <v>184</v>
      </c>
      <c r="C87" s="97" t="s">
        <v>29</v>
      </c>
      <c r="D87" s="57"/>
      <c r="E87" s="17"/>
      <c r="F87" s="125">
        <f>0.001</f>
        <v>1E-3</v>
      </c>
      <c r="G87" s="17">
        <v>1591.6</v>
      </c>
      <c r="H87" s="126">
        <f t="shared" si="15"/>
        <v>1.5915999999999999E-3</v>
      </c>
      <c r="I87" s="102">
        <f>G87*0.001</f>
        <v>1.5915999999999999</v>
      </c>
      <c r="J87" s="77"/>
      <c r="L87" s="24"/>
      <c r="M87" s="25"/>
      <c r="N87" s="26"/>
    </row>
    <row r="88" spans="1:14" ht="15.75" customHeight="1">
      <c r="A88" s="69">
        <v>36</v>
      </c>
      <c r="B88" s="64" t="s">
        <v>185</v>
      </c>
      <c r="C88" s="97" t="s">
        <v>186</v>
      </c>
      <c r="D88" s="57"/>
      <c r="E88" s="17"/>
      <c r="F88" s="17">
        <f>2/100</f>
        <v>0.02</v>
      </c>
      <c r="G88" s="17">
        <v>67037.39</v>
      </c>
      <c r="H88" s="126">
        <f t="shared" si="15"/>
        <v>1.3407478000000002</v>
      </c>
      <c r="I88" s="102">
        <f>G88*0.02</f>
        <v>1340.7478000000001</v>
      </c>
      <c r="J88" s="77"/>
      <c r="L88" s="24"/>
      <c r="M88" s="25"/>
      <c r="N88" s="26"/>
    </row>
    <row r="89" spans="1:14" ht="31.5" customHeight="1">
      <c r="A89" s="69">
        <v>37</v>
      </c>
      <c r="B89" s="64" t="s">
        <v>187</v>
      </c>
      <c r="C89" s="97" t="s">
        <v>55</v>
      </c>
      <c r="D89" s="57"/>
      <c r="E89" s="17"/>
      <c r="F89" s="17">
        <v>2.08</v>
      </c>
      <c r="G89" s="17">
        <v>259.08</v>
      </c>
      <c r="H89" s="126">
        <f t="shared" si="15"/>
        <v>0.53888639999999999</v>
      </c>
      <c r="I89" s="102">
        <f>G89*2.08</f>
        <v>538.88639999999998</v>
      </c>
      <c r="J89" s="77"/>
      <c r="L89" s="24"/>
      <c r="M89" s="25"/>
      <c r="N89" s="26"/>
    </row>
    <row r="90" spans="1:14" ht="15.75" customHeight="1">
      <c r="A90" s="69">
        <v>38</v>
      </c>
      <c r="B90" s="70" t="s">
        <v>188</v>
      </c>
      <c r="C90" s="78" t="s">
        <v>109</v>
      </c>
      <c r="D90" s="19"/>
      <c r="E90" s="23"/>
      <c r="F90" s="17">
        <v>1</v>
      </c>
      <c r="G90" s="17">
        <v>86.15</v>
      </c>
      <c r="H90" s="82">
        <f t="shared" si="15"/>
        <v>8.6150000000000004E-2</v>
      </c>
      <c r="I90" s="102">
        <f>G90</f>
        <v>86.15</v>
      </c>
      <c r="J90" s="77"/>
      <c r="L90" s="24"/>
      <c r="M90" s="25"/>
      <c r="N90" s="26"/>
    </row>
    <row r="91" spans="1:14" ht="31.5" customHeight="1">
      <c r="A91" s="69">
        <v>39</v>
      </c>
      <c r="B91" s="64" t="s">
        <v>189</v>
      </c>
      <c r="C91" s="97" t="s">
        <v>190</v>
      </c>
      <c r="D91" s="19"/>
      <c r="E91" s="23"/>
      <c r="F91" s="17">
        <f>(3.08+4.5+1.5)/10</f>
        <v>0.90800000000000003</v>
      </c>
      <c r="G91" s="17">
        <v>5945.91</v>
      </c>
      <c r="H91" s="82">
        <f t="shared" si="15"/>
        <v>5.3988862800000001</v>
      </c>
      <c r="I91" s="102">
        <f>G91*(3.08+4.5)/10</f>
        <v>4506.9997800000001</v>
      </c>
      <c r="J91" s="77"/>
      <c r="L91" s="24"/>
      <c r="M91" s="25"/>
      <c r="N91" s="26"/>
    </row>
    <row r="92" spans="1:14" ht="31.5" customHeight="1">
      <c r="A92" s="69">
        <v>40</v>
      </c>
      <c r="B92" s="64" t="s">
        <v>191</v>
      </c>
      <c r="C92" s="98" t="s">
        <v>54</v>
      </c>
      <c r="D92" s="19"/>
      <c r="E92" s="23"/>
      <c r="F92" s="17">
        <f>5/10</f>
        <v>0.5</v>
      </c>
      <c r="G92" s="17">
        <v>3064.06</v>
      </c>
      <c r="H92" s="82">
        <f t="shared" si="15"/>
        <v>1.53203</v>
      </c>
      <c r="I92" s="102">
        <f>G92*0.5</f>
        <v>1532.03</v>
      </c>
      <c r="J92" s="77"/>
      <c r="L92" s="24"/>
      <c r="M92" s="25"/>
      <c r="N92" s="26"/>
    </row>
    <row r="93" spans="1:14" ht="15.75" customHeight="1">
      <c r="A93" s="31"/>
      <c r="B93" s="52" t="s">
        <v>51</v>
      </c>
      <c r="C93" s="48"/>
      <c r="D93" s="62"/>
      <c r="E93" s="48">
        <v>1</v>
      </c>
      <c r="F93" s="48"/>
      <c r="G93" s="48"/>
      <c r="H93" s="48"/>
      <c r="I93" s="35">
        <f>SUM(I86:I92)</f>
        <v>8196.2855800000016</v>
      </c>
      <c r="J93" s="77"/>
      <c r="L93" s="24"/>
      <c r="M93" s="25"/>
      <c r="N93" s="26"/>
    </row>
    <row r="94" spans="1:14" ht="15.75" customHeight="1">
      <c r="A94" s="31"/>
      <c r="B94" s="57" t="s">
        <v>75</v>
      </c>
      <c r="C94" s="20"/>
      <c r="D94" s="20"/>
      <c r="E94" s="49"/>
      <c r="F94" s="49"/>
      <c r="G94" s="50"/>
      <c r="H94" s="50"/>
      <c r="I94" s="22">
        <v>0</v>
      </c>
      <c r="J94" s="77"/>
      <c r="L94" s="24"/>
      <c r="M94" s="25"/>
      <c r="N94" s="26"/>
    </row>
    <row r="95" spans="1:14" ht="15.75" customHeight="1">
      <c r="A95" s="63"/>
      <c r="B95" s="53" t="s">
        <v>172</v>
      </c>
      <c r="C95" s="39"/>
      <c r="D95" s="39"/>
      <c r="E95" s="39"/>
      <c r="F95" s="39"/>
      <c r="G95" s="39"/>
      <c r="H95" s="39"/>
      <c r="I95" s="51">
        <f>I84+I93</f>
        <v>197060.63429155556</v>
      </c>
      <c r="J95" s="77"/>
      <c r="L95" s="24"/>
    </row>
    <row r="96" spans="1:14" ht="15.75">
      <c r="A96" s="135" t="s">
        <v>192</v>
      </c>
      <c r="B96" s="135"/>
      <c r="C96" s="135"/>
      <c r="D96" s="135"/>
      <c r="E96" s="135"/>
      <c r="F96" s="135"/>
      <c r="G96" s="135"/>
      <c r="H96" s="135"/>
      <c r="I96" s="135"/>
    </row>
    <row r="97" spans="1:22" ht="15.75">
      <c r="A97" s="12"/>
      <c r="B97" s="145" t="s">
        <v>193</v>
      </c>
      <c r="C97" s="145"/>
      <c r="D97" s="145"/>
      <c r="E97" s="145"/>
      <c r="F97" s="145"/>
      <c r="G97" s="145"/>
      <c r="H97" s="104"/>
      <c r="I97" s="4"/>
    </row>
    <row r="98" spans="1:22" ht="15.75">
      <c r="A98" s="72"/>
      <c r="B98" s="138" t="s">
        <v>6</v>
      </c>
      <c r="C98" s="138"/>
      <c r="D98" s="138"/>
      <c r="E98" s="138"/>
      <c r="F98" s="138"/>
      <c r="G98" s="138"/>
      <c r="H98" s="76"/>
      <c r="I98" s="59"/>
    </row>
    <row r="99" spans="1:22" ht="15.75" customHeight="1">
      <c r="A99" s="60"/>
      <c r="B99" s="60"/>
      <c r="C99" s="60"/>
      <c r="D99" s="60"/>
      <c r="E99" s="60"/>
      <c r="F99" s="60"/>
      <c r="G99" s="60"/>
      <c r="H99" s="60"/>
      <c r="I99" s="6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39" t="s">
        <v>7</v>
      </c>
      <c r="B100" s="139"/>
      <c r="C100" s="139"/>
      <c r="D100" s="139"/>
      <c r="E100" s="139"/>
      <c r="F100" s="139"/>
      <c r="G100" s="139"/>
      <c r="H100" s="139"/>
      <c r="I100" s="139"/>
      <c r="J100" s="29"/>
      <c r="K100" s="29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>
      <c r="A101" s="139" t="s">
        <v>8</v>
      </c>
      <c r="B101" s="139"/>
      <c r="C101" s="139"/>
      <c r="D101" s="139"/>
      <c r="E101" s="139"/>
      <c r="F101" s="139"/>
      <c r="G101" s="139"/>
      <c r="H101" s="139"/>
      <c r="I101" s="139"/>
      <c r="J101" s="4"/>
      <c r="K101" s="4"/>
      <c r="L101" s="4"/>
      <c r="M101" s="4"/>
      <c r="N101" s="4"/>
      <c r="O101" s="4"/>
      <c r="P101" s="4"/>
      <c r="Q101" s="4"/>
      <c r="S101" s="4"/>
      <c r="T101" s="4"/>
      <c r="U101" s="4"/>
    </row>
    <row r="102" spans="1:22" ht="15.75">
      <c r="A102" s="135" t="s">
        <v>9</v>
      </c>
      <c r="B102" s="135"/>
      <c r="C102" s="135"/>
      <c r="D102" s="135"/>
      <c r="E102" s="135"/>
      <c r="F102" s="135"/>
      <c r="G102" s="135"/>
      <c r="H102" s="135"/>
      <c r="I102" s="135"/>
      <c r="J102" s="6"/>
      <c r="K102" s="6"/>
      <c r="L102" s="6"/>
      <c r="M102" s="6"/>
      <c r="N102" s="6"/>
      <c r="O102" s="6"/>
      <c r="P102" s="6"/>
      <c r="Q102" s="6"/>
      <c r="R102" s="137"/>
      <c r="S102" s="137"/>
      <c r="T102" s="137"/>
      <c r="U102" s="137"/>
    </row>
    <row r="103" spans="1:22" ht="15.75">
      <c r="A103" s="13"/>
      <c r="B103" s="58"/>
      <c r="C103" s="58"/>
      <c r="D103" s="58"/>
      <c r="E103" s="58"/>
      <c r="F103" s="58"/>
      <c r="G103" s="58"/>
      <c r="H103" s="58"/>
      <c r="I103" s="58"/>
    </row>
    <row r="104" spans="1:22" ht="15.75">
      <c r="A104" s="141" t="s">
        <v>10</v>
      </c>
      <c r="B104" s="141"/>
      <c r="C104" s="141"/>
      <c r="D104" s="141"/>
      <c r="E104" s="141"/>
      <c r="F104" s="141"/>
      <c r="G104" s="141"/>
      <c r="H104" s="141"/>
      <c r="I104" s="141"/>
    </row>
    <row r="105" spans="1:22" ht="15.75" customHeight="1">
      <c r="A105" s="5"/>
    </row>
    <row r="106" spans="1:22" ht="15.75">
      <c r="A106" s="135" t="s">
        <v>11</v>
      </c>
      <c r="B106" s="135"/>
      <c r="C106" s="140" t="s">
        <v>92</v>
      </c>
      <c r="D106" s="140"/>
      <c r="E106" s="140"/>
      <c r="F106" s="74"/>
      <c r="I106" s="109"/>
    </row>
    <row r="107" spans="1:22">
      <c r="A107" s="110"/>
      <c r="C107" s="134" t="s">
        <v>12</v>
      </c>
      <c r="D107" s="134"/>
      <c r="E107" s="134"/>
      <c r="F107" s="28"/>
      <c r="I107" s="108" t="s">
        <v>13</v>
      </c>
    </row>
    <row r="108" spans="1:22" ht="15.75">
      <c r="A108" s="29"/>
      <c r="C108" s="14"/>
      <c r="D108" s="14"/>
      <c r="G108" s="14"/>
      <c r="H108" s="14"/>
    </row>
    <row r="109" spans="1:22" ht="15.75" customHeight="1">
      <c r="A109" s="135" t="s">
        <v>14</v>
      </c>
      <c r="B109" s="135"/>
      <c r="C109" s="136"/>
      <c r="D109" s="136"/>
      <c r="E109" s="136"/>
      <c r="F109" s="75"/>
      <c r="I109" s="109"/>
    </row>
    <row r="110" spans="1:22">
      <c r="A110" s="110"/>
      <c r="C110" s="137" t="s">
        <v>12</v>
      </c>
      <c r="D110" s="137"/>
      <c r="E110" s="137"/>
      <c r="F110" s="110"/>
      <c r="I110" s="108" t="s">
        <v>13</v>
      </c>
    </row>
    <row r="111" spans="1:22" ht="15.75">
      <c r="A111" s="5" t="s">
        <v>15</v>
      </c>
    </row>
    <row r="112" spans="1:22">
      <c r="A112" s="132" t="s">
        <v>16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45" customHeight="1">
      <c r="A113" s="133" t="s">
        <v>17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30" customHeight="1">
      <c r="A114" s="133" t="s">
        <v>18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30" customHeight="1">
      <c r="A115" s="133" t="s">
        <v>22</v>
      </c>
      <c r="B115" s="133"/>
      <c r="C115" s="133"/>
      <c r="D115" s="133"/>
      <c r="E115" s="133"/>
      <c r="F115" s="133"/>
      <c r="G115" s="133"/>
      <c r="H115" s="133"/>
      <c r="I115" s="133"/>
    </row>
    <row r="116" spans="1:9" ht="15" customHeight="1">
      <c r="A116" s="133" t="s">
        <v>21</v>
      </c>
      <c r="B116" s="133"/>
      <c r="C116" s="133"/>
      <c r="D116" s="133"/>
      <c r="E116" s="133"/>
      <c r="F116" s="133"/>
      <c r="G116" s="133"/>
      <c r="H116" s="133"/>
      <c r="I116" s="133"/>
    </row>
    <row r="118" spans="1:9">
      <c r="A118" s="15"/>
      <c r="B118" s="15"/>
      <c r="C118" s="15"/>
      <c r="D118" s="15"/>
      <c r="E118" s="15"/>
      <c r="F118" s="15"/>
      <c r="G118" s="15"/>
      <c r="H118" s="15"/>
    </row>
  </sheetData>
  <autoFilter ref="I15:I97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6:I96"/>
    <mergeCell ref="B97:G97"/>
    <mergeCell ref="B98:G98"/>
    <mergeCell ref="A100:I100"/>
    <mergeCell ref="A101:I101"/>
    <mergeCell ref="A116:I116"/>
    <mergeCell ref="R102:U102"/>
    <mergeCell ref="A104:I104"/>
    <mergeCell ref="A106:B106"/>
    <mergeCell ref="C106:E106"/>
    <mergeCell ref="C107:E107"/>
    <mergeCell ref="A109:B109"/>
    <mergeCell ref="C109:E109"/>
    <mergeCell ref="A102:I102"/>
    <mergeCell ref="C110:E110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145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194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42916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f>F19/2*G19</f>
        <v>423.48</v>
      </c>
      <c r="J19" s="10"/>
      <c r="K19" s="10"/>
      <c r="L19" s="10"/>
      <c r="M19" s="10"/>
    </row>
    <row r="20" spans="1:13" ht="15.75" hidden="1" customHeight="1">
      <c r="A20" s="31">
        <v>5</v>
      </c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f t="shared" ref="I20:I21" si="1">F20/2*G20</f>
        <v>28.467600000000001</v>
      </c>
      <c r="J20" s="10"/>
      <c r="K20" s="10"/>
      <c r="L20" s="10"/>
      <c r="M20" s="10"/>
    </row>
    <row r="21" spans="1:13" ht="15.75" hidden="1" customHeight="1">
      <c r="A21" s="31">
        <v>6</v>
      </c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f t="shared" si="1"/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2">SUM(E22/100)</f>
        <v>3.57</v>
      </c>
      <c r="G22" s="80">
        <v>335.05</v>
      </c>
      <c r="H22" s="81">
        <f t="shared" si="0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2"/>
        <v>0.38640000000000002</v>
      </c>
      <c r="G23" s="80">
        <v>55.1</v>
      </c>
      <c r="H23" s="81">
        <f t="shared" si="0"/>
        <v>2.1290640000000003E-2</v>
      </c>
      <c r="I23" s="17">
        <f t="shared" ref="I23:I25" si="3">F23*G23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2"/>
        <v>0.15</v>
      </c>
      <c r="G24" s="80">
        <v>484.94</v>
      </c>
      <c r="H24" s="81">
        <f t="shared" si="0"/>
        <v>7.2741E-2</v>
      </c>
      <c r="I24" s="17">
        <f t="shared" si="3"/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2"/>
        <v>6.3799999999999996E-2</v>
      </c>
      <c r="G25" s="80">
        <v>684.05</v>
      </c>
      <c r="H25" s="81">
        <f t="shared" si="0"/>
        <v>4.3642389999999989E-2</v>
      </c>
      <c r="I25" s="17">
        <f t="shared" si="3"/>
        <v>43.642389999999992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82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customHeight="1">
      <c r="A30" s="69">
        <v>6</v>
      </c>
      <c r="B30" s="70" t="s">
        <v>159</v>
      </c>
      <c r="C30" s="78" t="s">
        <v>122</v>
      </c>
      <c r="D30" s="70" t="s">
        <v>152</v>
      </c>
      <c r="E30" s="80">
        <v>65.099999999999994</v>
      </c>
      <c r="F30" s="80">
        <f>SUM(E30*52/1000)</f>
        <v>3.3851999999999998</v>
      </c>
      <c r="G30" s="80">
        <v>193.97</v>
      </c>
      <c r="H30" s="81">
        <f t="shared" ref="H30:H35" si="4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customHeight="1">
      <c r="A31" s="69">
        <v>7</v>
      </c>
      <c r="B31" s="70" t="s">
        <v>160</v>
      </c>
      <c r="C31" s="78" t="s">
        <v>122</v>
      </c>
      <c r="D31" s="70" t="s">
        <v>153</v>
      </c>
      <c r="E31" s="80">
        <v>65.099999999999994</v>
      </c>
      <c r="F31" s="80">
        <f>SUM(E31*78/1000)</f>
        <v>5.077799999999999</v>
      </c>
      <c r="G31" s="80">
        <v>321.82</v>
      </c>
      <c r="H31" s="81">
        <f t="shared" si="4"/>
        <v>1.6341375959999995</v>
      </c>
      <c r="I31" s="17">
        <f t="shared" ref="I31:I33" si="5">F31/6*G31</f>
        <v>272.35626599999995</v>
      </c>
      <c r="J31" s="27"/>
      <c r="K31" s="10"/>
      <c r="L31" s="10"/>
      <c r="M31" s="10"/>
    </row>
    <row r="32" spans="1:13" ht="15.75" hidden="1" customHeight="1">
      <c r="A32" s="69">
        <v>15</v>
      </c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si="4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customHeight="1">
      <c r="A33" s="69">
        <v>8</v>
      </c>
      <c r="B33" s="70" t="s">
        <v>161</v>
      </c>
      <c r="C33" s="78" t="s">
        <v>30</v>
      </c>
      <c r="D33" s="70" t="s">
        <v>62</v>
      </c>
      <c r="E33" s="88">
        <f>1/6</f>
        <v>0.16666666666666666</v>
      </c>
      <c r="F33" s="80">
        <f>155/6</f>
        <v>25.833333333333332</v>
      </c>
      <c r="G33" s="80">
        <v>70.540000000000006</v>
      </c>
      <c r="H33" s="81">
        <f t="shared" si="4"/>
        <v>1.8222833333333333</v>
      </c>
      <c r="I33" s="17">
        <f t="shared" si="5"/>
        <v>303.7138888888889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si="4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4"/>
        <v>1.4139600000000001</v>
      </c>
      <c r="I35" s="17">
        <v>0</v>
      </c>
      <c r="J35" s="27"/>
      <c r="K35" s="10"/>
      <c r="L35" s="10"/>
      <c r="M35" s="10"/>
    </row>
    <row r="36" spans="1:13" ht="15.75" hidden="1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hidden="1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6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hidden="1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hidden="1" customHeight="1">
      <c r="A40" s="38">
        <v>9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6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hidden="1" customHeight="1">
      <c r="A41" s="38">
        <v>10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6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11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6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hidden="1" customHeight="1">
      <c r="A43" s="38">
        <v>12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6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hidden="1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17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7">SUM(F45*G45/1000)</f>
        <v>2.721961968</v>
      </c>
      <c r="I45" s="17">
        <f t="shared" ref="I45:I47" si="8">F45/2*G45</f>
        <v>1360.980984</v>
      </c>
      <c r="J45" s="27"/>
      <c r="K45" s="10"/>
      <c r="L45" s="10"/>
      <c r="M45" s="10"/>
    </row>
    <row r="46" spans="1:13" ht="15.75" hidden="1" customHeight="1">
      <c r="A46" s="47">
        <v>18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7"/>
        <v>4.2862477871999998</v>
      </c>
      <c r="I46" s="17">
        <f t="shared" si="8"/>
        <v>2143.1238936</v>
      </c>
      <c r="J46" s="27"/>
      <c r="K46" s="10"/>
      <c r="L46" s="10"/>
      <c r="M46" s="10"/>
    </row>
    <row r="47" spans="1:13" ht="15.75" hidden="1" customHeight="1">
      <c r="A47" s="47">
        <v>19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7"/>
        <v>3.0571051328000003</v>
      </c>
      <c r="I47" s="17">
        <f t="shared" si="8"/>
        <v>1528.5525664000002</v>
      </c>
      <c r="J47" s="27"/>
      <c r="K47" s="10"/>
      <c r="L47" s="10"/>
      <c r="M47" s="10"/>
    </row>
    <row r="48" spans="1:13" ht="15.75" hidden="1" customHeight="1">
      <c r="A48" s="47">
        <v>20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7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hidden="1" customHeight="1">
      <c r="A49" s="47">
        <v>21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7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12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7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13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7"/>
        <v>1.2321280000000001</v>
      </c>
      <c r="I51" s="17">
        <f t="shared" ref="I51:I52" si="9">F51/2*G51</f>
        <v>616.06400000000008</v>
      </c>
      <c r="J51" s="27"/>
      <c r="K51" s="10"/>
    </row>
    <row r="52" spans="1:14" ht="15.75" hidden="1" customHeight="1">
      <c r="A52" s="47">
        <v>14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7"/>
        <v>0.1406626</v>
      </c>
      <c r="I52" s="17">
        <f t="shared" si="9"/>
        <v>70.331299999999999</v>
      </c>
      <c r="J52" s="77"/>
    </row>
    <row r="53" spans="1:14" ht="15.75" hidden="1" customHeight="1">
      <c r="A53" s="47">
        <v>22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7"/>
        <v>33.715199999999996</v>
      </c>
      <c r="I53" s="17">
        <f>E53*G53</f>
        <v>11238.4</v>
      </c>
      <c r="J53" s="77"/>
    </row>
    <row r="54" spans="1:14" ht="15.75" hidden="1" customHeight="1">
      <c r="A54" s="47">
        <v>23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7"/>
        <v>31.384319999999999</v>
      </c>
      <c r="I54" s="17">
        <f>E54*G54</f>
        <v>10461.44</v>
      </c>
      <c r="J54" s="77"/>
    </row>
    <row r="55" spans="1:14" ht="15.75" customHeight="1">
      <c r="A55" s="146" t="s">
        <v>87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hidden="1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hidden="1" customHeight="1">
      <c r="A57" s="47">
        <v>13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hidden="1" customHeight="1">
      <c r="A58" s="47">
        <v>24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G58*3</f>
        <v>4503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10">SUM(F62*G62/1000)</f>
        <v>0.27673999999999999</v>
      </c>
      <c r="I62" s="17">
        <v>0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10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>
        <v>25</v>
      </c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10"/>
        <v>26.536274799999997</v>
      </c>
      <c r="I64" s="17">
        <f>F64*G64</f>
        <v>26536.274799999999</v>
      </c>
      <c r="J64" s="77"/>
      <c r="L64" s="24"/>
      <c r="M64" s="25"/>
      <c r="N64" s="26"/>
    </row>
    <row r="65" spans="1:14" ht="15.75" hidden="1" customHeight="1">
      <c r="A65" s="68">
        <v>26</v>
      </c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10"/>
        <v>2.0663896399999997</v>
      </c>
      <c r="I65" s="17">
        <f t="shared" ref="I65:I69" si="11">F65*G65</f>
        <v>2066.3896399999999</v>
      </c>
      <c r="J65" s="77"/>
      <c r="L65" s="24"/>
      <c r="M65" s="25"/>
      <c r="N65" s="26"/>
    </row>
    <row r="66" spans="1:14" ht="15.75" hidden="1" customHeight="1">
      <c r="A66" s="68">
        <v>27</v>
      </c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10"/>
        <v>56.793660000000003</v>
      </c>
      <c r="I66" s="17">
        <f t="shared" si="11"/>
        <v>56793.66</v>
      </c>
      <c r="J66" s="77"/>
      <c r="L66" s="24"/>
      <c r="M66" s="25"/>
      <c r="N66" s="26"/>
    </row>
    <row r="67" spans="1:14" ht="15.75" hidden="1" customHeight="1">
      <c r="A67" s="68">
        <v>28</v>
      </c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10"/>
        <v>0.44603000000000004</v>
      </c>
      <c r="I67" s="17">
        <f t="shared" si="11"/>
        <v>446.03000000000003</v>
      </c>
      <c r="J67" s="77"/>
      <c r="L67" s="24"/>
      <c r="M67" s="25"/>
      <c r="N67" s="26"/>
    </row>
    <row r="68" spans="1:14" ht="15.75" hidden="1" customHeight="1">
      <c r="A68" s="68">
        <v>29</v>
      </c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10"/>
        <v>0.41613800000000001</v>
      </c>
      <c r="I68" s="17">
        <f t="shared" si="11"/>
        <v>416.13800000000003</v>
      </c>
      <c r="J68" s="77"/>
      <c r="L68" s="24"/>
      <c r="M68" s="25"/>
      <c r="N68" s="26"/>
    </row>
    <row r="69" spans="1:14" ht="15.75" hidden="1" customHeight="1">
      <c r="A69" s="68"/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10"/>
        <v>0.12414</v>
      </c>
      <c r="I69" s="17">
        <f t="shared" si="11"/>
        <v>124.14</v>
      </c>
      <c r="J69" s="77"/>
      <c r="L69" s="24"/>
      <c r="M69" s="25"/>
      <c r="N69" s="26"/>
    </row>
    <row r="70" spans="1:14" ht="15.75" customHeight="1">
      <c r="A70" s="69">
        <v>9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10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31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f>G72</f>
        <v>22720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12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12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12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13">SUM(F80*G80/1000)</f>
        <v>3.4336799999999998</v>
      </c>
      <c r="I80" s="17">
        <v>0</v>
      </c>
      <c r="J80" s="77"/>
      <c r="L80" s="24"/>
      <c r="M80" s="25"/>
      <c r="N80" s="26"/>
    </row>
    <row r="81" spans="1:22" ht="15.75" customHeight="1">
      <c r="A81" s="152" t="s">
        <v>148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22" ht="15.75" customHeight="1">
      <c r="A82" s="69">
        <v>10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22" ht="31.5" customHeight="1">
      <c r="A83" s="31">
        <v>11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22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SUM(I16+I17+I18+I26+I27+I30+I31+I33+I70+I82+I83)</f>
        <v>42171.995845555553</v>
      </c>
      <c r="J84" s="77"/>
      <c r="L84" s="24"/>
      <c r="M84" s="25"/>
      <c r="N84" s="26"/>
    </row>
    <row r="85" spans="1:22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22" ht="31.5" customHeight="1">
      <c r="A86" s="69">
        <v>12</v>
      </c>
      <c r="B86" s="64" t="s">
        <v>91</v>
      </c>
      <c r="C86" s="97" t="s">
        <v>94</v>
      </c>
      <c r="D86" s="19"/>
      <c r="E86" s="23"/>
      <c r="F86" s="17">
        <v>1</v>
      </c>
      <c r="G86" s="17">
        <v>589.84</v>
      </c>
      <c r="H86" s="82">
        <f t="shared" ref="H86:H87" si="14">G86*F86/1000</f>
        <v>0.58984000000000003</v>
      </c>
      <c r="I86" s="102">
        <f>G86</f>
        <v>589.84</v>
      </c>
      <c r="J86" s="77"/>
      <c r="L86" s="24"/>
      <c r="M86" s="25"/>
      <c r="N86" s="26"/>
    </row>
    <row r="87" spans="1:22" ht="15.75" customHeight="1">
      <c r="A87" s="69">
        <v>13</v>
      </c>
      <c r="B87" s="64" t="s">
        <v>230</v>
      </c>
      <c r="C87" s="97" t="s">
        <v>32</v>
      </c>
      <c r="D87" s="43"/>
      <c r="E87" s="22"/>
      <c r="F87" s="41">
        <f>(47.43+76.97+49.2+86.63+121.86+137.49)-(5.672*6)</f>
        <v>485.54800000000006</v>
      </c>
      <c r="G87" s="41">
        <v>42.61</v>
      </c>
      <c r="H87" s="41">
        <f t="shared" si="14"/>
        <v>20.689200280000001</v>
      </c>
      <c r="I87" s="102">
        <f>G87*F87</f>
        <v>20689.200280000001</v>
      </c>
      <c r="J87" s="77"/>
      <c r="L87" s="24"/>
      <c r="M87" s="25"/>
      <c r="N87" s="26"/>
    </row>
    <row r="88" spans="1:22" ht="15.75" customHeight="1">
      <c r="A88" s="31"/>
      <c r="B88" s="52" t="s">
        <v>51</v>
      </c>
      <c r="C88" s="48"/>
      <c r="D88" s="62"/>
      <c r="E88" s="48">
        <v>1</v>
      </c>
      <c r="F88" s="48"/>
      <c r="G88" s="48"/>
      <c r="H88" s="48"/>
      <c r="I88" s="35">
        <f>SUM(I86:I87)</f>
        <v>21279.040280000001</v>
      </c>
      <c r="J88" s="77"/>
      <c r="L88" s="24"/>
      <c r="M88" s="25"/>
      <c r="N88" s="26"/>
    </row>
    <row r="89" spans="1:22" ht="15.75" customHeight="1">
      <c r="A89" s="31"/>
      <c r="B89" s="57" t="s">
        <v>75</v>
      </c>
      <c r="C89" s="20"/>
      <c r="D89" s="20"/>
      <c r="E89" s="49"/>
      <c r="F89" s="49"/>
      <c r="G89" s="50"/>
      <c r="H89" s="50"/>
      <c r="I89" s="22">
        <v>0</v>
      </c>
      <c r="J89" s="77"/>
      <c r="L89" s="24"/>
      <c r="M89" s="25"/>
      <c r="N89" s="26"/>
    </row>
    <row r="90" spans="1:22" ht="15.75" customHeight="1">
      <c r="A90" s="63"/>
      <c r="B90" s="53" t="s">
        <v>172</v>
      </c>
      <c r="C90" s="39"/>
      <c r="D90" s="39"/>
      <c r="E90" s="39"/>
      <c r="F90" s="39"/>
      <c r="G90" s="39"/>
      <c r="H90" s="39"/>
      <c r="I90" s="51">
        <f>I84+I88</f>
        <v>63451.036125555554</v>
      </c>
      <c r="J90" s="77"/>
      <c r="L90" s="24"/>
    </row>
    <row r="91" spans="1:22" ht="15.75">
      <c r="A91" s="135" t="s">
        <v>231</v>
      </c>
      <c r="B91" s="135"/>
      <c r="C91" s="135"/>
      <c r="D91" s="135"/>
      <c r="E91" s="135"/>
      <c r="F91" s="135"/>
      <c r="G91" s="135"/>
      <c r="H91" s="135"/>
      <c r="I91" s="135"/>
    </row>
    <row r="92" spans="1:22" ht="15.75">
      <c r="A92" s="12"/>
      <c r="B92" s="145" t="s">
        <v>232</v>
      </c>
      <c r="C92" s="145"/>
      <c r="D92" s="145"/>
      <c r="E92" s="145"/>
      <c r="F92" s="145"/>
      <c r="G92" s="145"/>
      <c r="H92" s="104"/>
      <c r="I92" s="4"/>
    </row>
    <row r="93" spans="1:22" ht="15.75">
      <c r="A93" s="72"/>
      <c r="B93" s="138" t="s">
        <v>6</v>
      </c>
      <c r="C93" s="138"/>
      <c r="D93" s="138"/>
      <c r="E93" s="138"/>
      <c r="F93" s="138"/>
      <c r="G93" s="138"/>
      <c r="H93" s="76"/>
      <c r="I93" s="59"/>
    </row>
    <row r="94" spans="1:22" ht="15.75" customHeight="1">
      <c r="A94" s="60"/>
      <c r="B94" s="60"/>
      <c r="C94" s="60"/>
      <c r="D94" s="60"/>
      <c r="E94" s="60"/>
      <c r="F94" s="60"/>
      <c r="G94" s="60"/>
      <c r="H94" s="60"/>
      <c r="I94" s="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39" t="s">
        <v>7</v>
      </c>
      <c r="B95" s="139"/>
      <c r="C95" s="139"/>
      <c r="D95" s="139"/>
      <c r="E95" s="139"/>
      <c r="F95" s="139"/>
      <c r="G95" s="139"/>
      <c r="H95" s="139"/>
      <c r="I95" s="139"/>
      <c r="J95" s="29"/>
      <c r="K95" s="29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39" t="s">
        <v>8</v>
      </c>
      <c r="B96" s="139"/>
      <c r="C96" s="139"/>
      <c r="D96" s="139"/>
      <c r="E96" s="139"/>
      <c r="F96" s="139"/>
      <c r="G96" s="139"/>
      <c r="H96" s="139"/>
      <c r="I96" s="139"/>
      <c r="J96" s="4"/>
      <c r="K96" s="4"/>
      <c r="L96" s="4"/>
      <c r="M96" s="4"/>
      <c r="N96" s="4"/>
      <c r="O96" s="4"/>
      <c r="P96" s="4"/>
      <c r="Q96" s="4"/>
      <c r="S96" s="4"/>
      <c r="T96" s="4"/>
      <c r="U96" s="4"/>
    </row>
    <row r="97" spans="1:21" ht="15.75">
      <c r="A97" s="135" t="s">
        <v>9</v>
      </c>
      <c r="B97" s="135"/>
      <c r="C97" s="135"/>
      <c r="D97" s="135"/>
      <c r="E97" s="135"/>
      <c r="F97" s="135"/>
      <c r="G97" s="135"/>
      <c r="H97" s="135"/>
      <c r="I97" s="135"/>
      <c r="J97" s="6"/>
      <c r="K97" s="6"/>
      <c r="L97" s="6"/>
      <c r="M97" s="6"/>
      <c r="N97" s="6"/>
      <c r="O97" s="6"/>
      <c r="P97" s="6"/>
      <c r="Q97" s="6"/>
      <c r="R97" s="137"/>
      <c r="S97" s="137"/>
      <c r="T97" s="137"/>
      <c r="U97" s="137"/>
    </row>
    <row r="98" spans="1:21" ht="15.75">
      <c r="A98" s="13"/>
      <c r="B98" s="58"/>
      <c r="C98" s="58"/>
      <c r="D98" s="58"/>
      <c r="E98" s="58"/>
      <c r="F98" s="58"/>
      <c r="G98" s="58"/>
      <c r="H98" s="58"/>
      <c r="I98" s="58"/>
    </row>
    <row r="99" spans="1:21" ht="15.75">
      <c r="A99" s="141" t="s">
        <v>10</v>
      </c>
      <c r="B99" s="141"/>
      <c r="C99" s="141"/>
      <c r="D99" s="141"/>
      <c r="E99" s="141"/>
      <c r="F99" s="141"/>
      <c r="G99" s="141"/>
      <c r="H99" s="141"/>
      <c r="I99" s="141"/>
    </row>
    <row r="100" spans="1:21" ht="15.75" customHeight="1">
      <c r="A100" s="5"/>
    </row>
    <row r="101" spans="1:21" ht="15.75">
      <c r="A101" s="135" t="s">
        <v>11</v>
      </c>
      <c r="B101" s="135"/>
      <c r="C101" s="140" t="s">
        <v>92</v>
      </c>
      <c r="D101" s="140"/>
      <c r="E101" s="140"/>
      <c r="F101" s="74"/>
      <c r="I101" s="109"/>
    </row>
    <row r="102" spans="1:21">
      <c r="A102" s="110"/>
      <c r="C102" s="134" t="s">
        <v>12</v>
      </c>
      <c r="D102" s="134"/>
      <c r="E102" s="134"/>
      <c r="F102" s="28"/>
      <c r="I102" s="108" t="s">
        <v>13</v>
      </c>
    </row>
    <row r="103" spans="1:21" ht="15.75">
      <c r="A103" s="29"/>
      <c r="C103" s="14"/>
      <c r="D103" s="14"/>
      <c r="G103" s="14"/>
      <c r="H103" s="14"/>
    </row>
    <row r="104" spans="1:21" ht="15.75" customHeight="1">
      <c r="A104" s="135" t="s">
        <v>14</v>
      </c>
      <c r="B104" s="135"/>
      <c r="C104" s="136"/>
      <c r="D104" s="136"/>
      <c r="E104" s="136"/>
      <c r="F104" s="75"/>
      <c r="I104" s="109"/>
    </row>
    <row r="105" spans="1:21">
      <c r="A105" s="110"/>
      <c r="C105" s="137" t="s">
        <v>12</v>
      </c>
      <c r="D105" s="137"/>
      <c r="E105" s="137"/>
      <c r="F105" s="110"/>
      <c r="I105" s="108" t="s">
        <v>13</v>
      </c>
    </row>
    <row r="106" spans="1:21" ht="15.75">
      <c r="A106" s="5" t="s">
        <v>15</v>
      </c>
    </row>
    <row r="107" spans="1:21">
      <c r="A107" s="132" t="s">
        <v>16</v>
      </c>
      <c r="B107" s="132"/>
      <c r="C107" s="132"/>
      <c r="D107" s="132"/>
      <c r="E107" s="132"/>
      <c r="F107" s="132"/>
      <c r="G107" s="132"/>
      <c r="H107" s="132"/>
      <c r="I107" s="132"/>
    </row>
    <row r="108" spans="1:21" ht="45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21" ht="30" customHeight="1">
      <c r="A109" s="133" t="s">
        <v>18</v>
      </c>
      <c r="B109" s="133"/>
      <c r="C109" s="133"/>
      <c r="D109" s="133"/>
      <c r="E109" s="133"/>
      <c r="F109" s="133"/>
      <c r="G109" s="133"/>
      <c r="H109" s="133"/>
      <c r="I109" s="133"/>
    </row>
    <row r="110" spans="1:21" ht="30" customHeight="1">
      <c r="A110" s="133" t="s">
        <v>22</v>
      </c>
      <c r="B110" s="133"/>
      <c r="C110" s="133"/>
      <c r="D110" s="133"/>
      <c r="E110" s="133"/>
      <c r="F110" s="133"/>
      <c r="G110" s="133"/>
      <c r="H110" s="133"/>
      <c r="I110" s="133"/>
    </row>
    <row r="111" spans="1:21" ht="15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3" spans="1:8">
      <c r="A113" s="15"/>
      <c r="B113" s="15"/>
      <c r="C113" s="15"/>
      <c r="D113" s="15"/>
      <c r="E113" s="15"/>
      <c r="F113" s="15"/>
      <c r="G113" s="15"/>
      <c r="H113" s="15"/>
    </row>
  </sheetData>
  <autoFilter ref="I15:I92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1:I91"/>
    <mergeCell ref="B92:G92"/>
    <mergeCell ref="B93:G93"/>
    <mergeCell ref="A95:I95"/>
    <mergeCell ref="A96:I96"/>
    <mergeCell ref="A111:I111"/>
    <mergeCell ref="R97:U97"/>
    <mergeCell ref="A99:I99"/>
    <mergeCell ref="A101:B101"/>
    <mergeCell ref="C101:E101"/>
    <mergeCell ref="C102:E102"/>
    <mergeCell ref="A104:B104"/>
    <mergeCell ref="C104:E104"/>
    <mergeCell ref="A97:I97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146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195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42947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f>F19/2*G19</f>
        <v>423.48</v>
      </c>
      <c r="J19" s="10"/>
      <c r="K19" s="10"/>
      <c r="L19" s="10"/>
      <c r="M19" s="10"/>
    </row>
    <row r="20" spans="1:13" ht="15.75" hidden="1" customHeight="1">
      <c r="A20" s="31">
        <v>5</v>
      </c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f t="shared" ref="I20:I21" si="1">F20/2*G20</f>
        <v>28.467600000000001</v>
      </c>
      <c r="J20" s="10"/>
      <c r="K20" s="10"/>
      <c r="L20" s="10"/>
      <c r="M20" s="10"/>
    </row>
    <row r="21" spans="1:13" ht="15.75" hidden="1" customHeight="1">
      <c r="A21" s="31">
        <v>6</v>
      </c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f t="shared" si="1"/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2">SUM(E22/100)</f>
        <v>3.57</v>
      </c>
      <c r="G22" s="80">
        <v>335.05</v>
      </c>
      <c r="H22" s="81">
        <f t="shared" si="0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2"/>
        <v>0.38640000000000002</v>
      </c>
      <c r="G23" s="80">
        <v>55.1</v>
      </c>
      <c r="H23" s="81">
        <f t="shared" si="0"/>
        <v>2.1290640000000003E-2</v>
      </c>
      <c r="I23" s="17">
        <f t="shared" ref="I23:I25" si="3">F23*G23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2"/>
        <v>0.15</v>
      </c>
      <c r="G24" s="80">
        <v>484.94</v>
      </c>
      <c r="H24" s="81">
        <f t="shared" si="0"/>
        <v>7.2741E-2</v>
      </c>
      <c r="I24" s="17">
        <f t="shared" si="3"/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2"/>
        <v>6.3799999999999996E-2</v>
      </c>
      <c r="G25" s="80">
        <v>684.05</v>
      </c>
      <c r="H25" s="81">
        <f t="shared" si="0"/>
        <v>4.3642389999999989E-2</v>
      </c>
      <c r="I25" s="17">
        <f t="shared" si="3"/>
        <v>43.642389999999992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82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customHeight="1">
      <c r="A30" s="69">
        <v>6</v>
      </c>
      <c r="B30" s="70" t="s">
        <v>159</v>
      </c>
      <c r="C30" s="78" t="s">
        <v>122</v>
      </c>
      <c r="D30" s="70" t="s">
        <v>152</v>
      </c>
      <c r="E30" s="80">
        <v>65.099999999999994</v>
      </c>
      <c r="F30" s="80">
        <f>SUM(E30*52/1000)</f>
        <v>3.3851999999999998</v>
      </c>
      <c r="G30" s="80">
        <v>193.97</v>
      </c>
      <c r="H30" s="81">
        <f t="shared" ref="H30:H35" si="4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customHeight="1">
      <c r="A31" s="69">
        <v>7</v>
      </c>
      <c r="B31" s="70" t="s">
        <v>160</v>
      </c>
      <c r="C31" s="78" t="s">
        <v>122</v>
      </c>
      <c r="D31" s="70" t="s">
        <v>153</v>
      </c>
      <c r="E31" s="80">
        <v>65.099999999999994</v>
      </c>
      <c r="F31" s="80">
        <f>SUM(E31*78/1000)</f>
        <v>5.077799999999999</v>
      </c>
      <c r="G31" s="80">
        <v>321.82</v>
      </c>
      <c r="H31" s="81">
        <f t="shared" si="4"/>
        <v>1.6341375959999995</v>
      </c>
      <c r="I31" s="17">
        <f t="shared" ref="I31:I33" si="5">F31/6*G31</f>
        <v>272.35626599999995</v>
      </c>
      <c r="J31" s="27"/>
      <c r="K31" s="10"/>
      <c r="L31" s="10"/>
      <c r="M31" s="10"/>
    </row>
    <row r="32" spans="1:13" ht="15.75" hidden="1" customHeight="1">
      <c r="A32" s="69">
        <v>15</v>
      </c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si="4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customHeight="1">
      <c r="A33" s="69">
        <v>8</v>
      </c>
      <c r="B33" s="70" t="s">
        <v>161</v>
      </c>
      <c r="C33" s="78" t="s">
        <v>30</v>
      </c>
      <c r="D33" s="70" t="s">
        <v>62</v>
      </c>
      <c r="E33" s="88">
        <f>1/6</f>
        <v>0.16666666666666666</v>
      </c>
      <c r="F33" s="80">
        <f>155/6</f>
        <v>25.833333333333332</v>
      </c>
      <c r="G33" s="80">
        <v>70.540000000000006</v>
      </c>
      <c r="H33" s="81">
        <f t="shared" si="4"/>
        <v>1.8222833333333333</v>
      </c>
      <c r="I33" s="17">
        <f t="shared" si="5"/>
        <v>303.7138888888889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si="4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4"/>
        <v>1.4139600000000001</v>
      </c>
      <c r="I35" s="17">
        <v>0</v>
      </c>
      <c r="J35" s="27"/>
      <c r="K35" s="10"/>
      <c r="L35" s="10"/>
      <c r="M35" s="10"/>
    </row>
    <row r="36" spans="1:13" ht="15.75" hidden="1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hidden="1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6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hidden="1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hidden="1" customHeight="1">
      <c r="A40" s="38">
        <v>9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6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hidden="1" customHeight="1">
      <c r="A41" s="38">
        <v>10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6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11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6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hidden="1" customHeight="1">
      <c r="A43" s="38">
        <v>12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6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hidden="1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17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7">SUM(F45*G45/1000)</f>
        <v>2.721961968</v>
      </c>
      <c r="I45" s="17">
        <f t="shared" ref="I45:I47" si="8">F45/2*G45</f>
        <v>1360.980984</v>
      </c>
      <c r="J45" s="27"/>
      <c r="K45" s="10"/>
      <c r="L45" s="10"/>
      <c r="M45" s="10"/>
    </row>
    <row r="46" spans="1:13" ht="15.75" hidden="1" customHeight="1">
      <c r="A46" s="47">
        <v>18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7"/>
        <v>4.2862477871999998</v>
      </c>
      <c r="I46" s="17">
        <f t="shared" si="8"/>
        <v>2143.1238936</v>
      </c>
      <c r="J46" s="27"/>
      <c r="K46" s="10"/>
      <c r="L46" s="10"/>
      <c r="M46" s="10"/>
    </row>
    <row r="47" spans="1:13" ht="15.75" hidden="1" customHeight="1">
      <c r="A47" s="47">
        <v>19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7"/>
        <v>3.0571051328000003</v>
      </c>
      <c r="I47" s="17">
        <f t="shared" si="8"/>
        <v>1528.5525664000002</v>
      </c>
      <c r="J47" s="27"/>
      <c r="K47" s="10"/>
      <c r="L47" s="10"/>
      <c r="M47" s="10"/>
    </row>
    <row r="48" spans="1:13" ht="15.75" hidden="1" customHeight="1">
      <c r="A48" s="47">
        <v>20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7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hidden="1" customHeight="1">
      <c r="A49" s="47">
        <v>21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7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12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7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13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7"/>
        <v>1.2321280000000001</v>
      </c>
      <c r="I51" s="17">
        <f t="shared" ref="I51:I52" si="9">F51/2*G51</f>
        <v>616.06400000000008</v>
      </c>
      <c r="J51" s="27"/>
      <c r="K51" s="10"/>
    </row>
    <row r="52" spans="1:14" ht="15.75" hidden="1" customHeight="1">
      <c r="A52" s="47">
        <v>14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7"/>
        <v>0.1406626</v>
      </c>
      <c r="I52" s="17">
        <f t="shared" si="9"/>
        <v>70.331299999999999</v>
      </c>
      <c r="J52" s="77"/>
    </row>
    <row r="53" spans="1:14" ht="15.75" hidden="1" customHeight="1">
      <c r="A53" s="47">
        <v>22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7"/>
        <v>33.715199999999996</v>
      </c>
      <c r="I53" s="17">
        <f>E53*G53</f>
        <v>11238.4</v>
      </c>
      <c r="J53" s="77"/>
    </row>
    <row r="54" spans="1:14" ht="15.75" hidden="1" customHeight="1">
      <c r="A54" s="47">
        <v>23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7"/>
        <v>31.384319999999999</v>
      </c>
      <c r="I54" s="17">
        <f>E54*G54</f>
        <v>10461.44</v>
      </c>
      <c r="J54" s="77"/>
    </row>
    <row r="55" spans="1:14" ht="15.75" customHeight="1">
      <c r="A55" s="146" t="s">
        <v>87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hidden="1" customHeight="1">
      <c r="A57" s="47">
        <v>13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customHeight="1">
      <c r="A58" s="47">
        <v>9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G58*3</f>
        <v>4503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10">SUM(F62*G62/1000)</f>
        <v>0.27673999999999999</v>
      </c>
      <c r="I62" s="17">
        <v>0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10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>
        <v>25</v>
      </c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10"/>
        <v>26.536274799999997</v>
      </c>
      <c r="I64" s="17">
        <f>F64*G64</f>
        <v>26536.274799999999</v>
      </c>
      <c r="J64" s="77"/>
      <c r="L64" s="24"/>
      <c r="M64" s="25"/>
      <c r="N64" s="26"/>
    </row>
    <row r="65" spans="1:14" ht="15.75" hidden="1" customHeight="1">
      <c r="A65" s="68">
        <v>26</v>
      </c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10"/>
        <v>2.0663896399999997</v>
      </c>
      <c r="I65" s="17">
        <f t="shared" ref="I65:I69" si="11">F65*G65</f>
        <v>2066.3896399999999</v>
      </c>
      <c r="J65" s="77"/>
      <c r="L65" s="24"/>
      <c r="M65" s="25"/>
      <c r="N65" s="26"/>
    </row>
    <row r="66" spans="1:14" ht="15.75" hidden="1" customHeight="1">
      <c r="A66" s="68">
        <v>27</v>
      </c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10"/>
        <v>56.793660000000003</v>
      </c>
      <c r="I66" s="17">
        <f t="shared" si="11"/>
        <v>56793.66</v>
      </c>
      <c r="J66" s="77"/>
      <c r="L66" s="24"/>
      <c r="M66" s="25"/>
      <c r="N66" s="26"/>
    </row>
    <row r="67" spans="1:14" ht="15.75" hidden="1" customHeight="1">
      <c r="A67" s="68">
        <v>28</v>
      </c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10"/>
        <v>0.44603000000000004</v>
      </c>
      <c r="I67" s="17">
        <f t="shared" si="11"/>
        <v>446.03000000000003</v>
      </c>
      <c r="J67" s="77"/>
      <c r="L67" s="24"/>
      <c r="M67" s="25"/>
      <c r="N67" s="26"/>
    </row>
    <row r="68" spans="1:14" ht="15.75" hidden="1" customHeight="1">
      <c r="A68" s="68">
        <v>29</v>
      </c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10"/>
        <v>0.41613800000000001</v>
      </c>
      <c r="I68" s="17">
        <f t="shared" si="11"/>
        <v>416.13800000000003</v>
      </c>
      <c r="J68" s="77"/>
      <c r="L68" s="24"/>
      <c r="M68" s="25"/>
      <c r="N68" s="26"/>
    </row>
    <row r="69" spans="1:14" ht="15.75" hidden="1" customHeight="1">
      <c r="A69" s="68"/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10"/>
        <v>0.12414</v>
      </c>
      <c r="I69" s="17">
        <f t="shared" si="11"/>
        <v>124.14</v>
      </c>
      <c r="J69" s="77"/>
      <c r="L69" s="24"/>
      <c r="M69" s="25"/>
      <c r="N69" s="26"/>
    </row>
    <row r="70" spans="1:14" ht="15.75" customHeight="1">
      <c r="A70" s="69">
        <v>10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10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31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f>G72</f>
        <v>22720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12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12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12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13">SUM(F80*G80/1000)</f>
        <v>3.4336799999999998</v>
      </c>
      <c r="I80" s="17">
        <v>0</v>
      </c>
      <c r="J80" s="77"/>
      <c r="L80" s="24"/>
      <c r="M80" s="25"/>
      <c r="N80" s="26"/>
    </row>
    <row r="81" spans="1:22" ht="15.75" customHeight="1">
      <c r="A81" s="152" t="s">
        <v>148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22" ht="15.75" customHeight="1">
      <c r="A82" s="69">
        <v>11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22" ht="31.5" customHeight="1">
      <c r="A83" s="31">
        <v>12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22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SUM(I16+I17+I18+I26+I27+I30+I31+I33+I58+I70+I82+I83)</f>
        <v>46674.995845555553</v>
      </c>
      <c r="J84" s="77"/>
      <c r="L84" s="24"/>
      <c r="M84" s="25"/>
      <c r="N84" s="26"/>
    </row>
    <row r="85" spans="1:22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22" ht="31.5" customHeight="1">
      <c r="A86" s="69">
        <v>13</v>
      </c>
      <c r="B86" s="64" t="s">
        <v>189</v>
      </c>
      <c r="C86" s="97" t="s">
        <v>190</v>
      </c>
      <c r="D86" s="19"/>
      <c r="E86" s="23"/>
      <c r="F86" s="17">
        <f>(3.08+4.5+1.5)/10</f>
        <v>0.90800000000000003</v>
      </c>
      <c r="G86" s="17">
        <v>5945.91</v>
      </c>
      <c r="H86" s="82">
        <f t="shared" ref="H86" si="14">G86*F86/1000</f>
        <v>5.3988862800000001</v>
      </c>
      <c r="I86" s="102">
        <f>G86*(1.5/10)</f>
        <v>891.88649999999996</v>
      </c>
      <c r="J86" s="77"/>
      <c r="L86" s="24"/>
      <c r="M86" s="25"/>
      <c r="N86" s="26"/>
    </row>
    <row r="87" spans="1:22" ht="15.75" customHeight="1">
      <c r="A87" s="31"/>
      <c r="B87" s="52" t="s">
        <v>51</v>
      </c>
      <c r="C87" s="48"/>
      <c r="D87" s="62"/>
      <c r="E87" s="48">
        <v>1</v>
      </c>
      <c r="F87" s="48"/>
      <c r="G87" s="48"/>
      <c r="H87" s="48"/>
      <c r="I87" s="35">
        <f>SUM(I86:I86)</f>
        <v>891.88649999999996</v>
      </c>
      <c r="J87" s="77"/>
      <c r="L87" s="24"/>
      <c r="M87" s="25"/>
      <c r="N87" s="26"/>
    </row>
    <row r="88" spans="1:22" ht="15.75" customHeight="1">
      <c r="A88" s="31"/>
      <c r="B88" s="57" t="s">
        <v>75</v>
      </c>
      <c r="C88" s="20"/>
      <c r="D88" s="20"/>
      <c r="E88" s="49"/>
      <c r="F88" s="49"/>
      <c r="G88" s="50"/>
      <c r="H88" s="50"/>
      <c r="I88" s="22">
        <v>0</v>
      </c>
      <c r="J88" s="77"/>
      <c r="L88" s="24"/>
      <c r="M88" s="25"/>
      <c r="N88" s="26"/>
    </row>
    <row r="89" spans="1:22" ht="15.75" customHeight="1">
      <c r="A89" s="63"/>
      <c r="B89" s="53" t="s">
        <v>172</v>
      </c>
      <c r="C89" s="39"/>
      <c r="D89" s="39"/>
      <c r="E89" s="39"/>
      <c r="F89" s="39"/>
      <c r="G89" s="39"/>
      <c r="H89" s="39"/>
      <c r="I89" s="51">
        <f>I84+I87</f>
        <v>47566.882345555554</v>
      </c>
      <c r="J89" s="77"/>
      <c r="L89" s="24"/>
    </row>
    <row r="90" spans="1:22" ht="15.75">
      <c r="A90" s="135" t="s">
        <v>196</v>
      </c>
      <c r="B90" s="135"/>
      <c r="C90" s="135"/>
      <c r="D90" s="135"/>
      <c r="E90" s="135"/>
      <c r="F90" s="135"/>
      <c r="G90" s="135"/>
      <c r="H90" s="135"/>
      <c r="I90" s="135"/>
    </row>
    <row r="91" spans="1:22" ht="15.75">
      <c r="A91" s="12"/>
      <c r="B91" s="145" t="s">
        <v>197</v>
      </c>
      <c r="C91" s="145"/>
      <c r="D91" s="145"/>
      <c r="E91" s="145"/>
      <c r="F91" s="145"/>
      <c r="G91" s="145"/>
      <c r="H91" s="104"/>
      <c r="I91" s="4"/>
    </row>
    <row r="92" spans="1:22" ht="15.75">
      <c r="A92" s="72"/>
      <c r="B92" s="138" t="s">
        <v>6</v>
      </c>
      <c r="C92" s="138"/>
      <c r="D92" s="138"/>
      <c r="E92" s="138"/>
      <c r="F92" s="138"/>
      <c r="G92" s="138"/>
      <c r="H92" s="76"/>
      <c r="I92" s="59"/>
    </row>
    <row r="93" spans="1:22" ht="15.75" customHeight="1">
      <c r="A93" s="60"/>
      <c r="B93" s="60"/>
      <c r="C93" s="60"/>
      <c r="D93" s="60"/>
      <c r="E93" s="60"/>
      <c r="F93" s="60"/>
      <c r="G93" s="60"/>
      <c r="H93" s="60"/>
      <c r="I93" s="6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11"/>
    </row>
    <row r="94" spans="1:22" ht="15.75" customHeight="1">
      <c r="A94" s="139" t="s">
        <v>7</v>
      </c>
      <c r="B94" s="139"/>
      <c r="C94" s="139"/>
      <c r="D94" s="139"/>
      <c r="E94" s="139"/>
      <c r="F94" s="139"/>
      <c r="G94" s="139"/>
      <c r="H94" s="139"/>
      <c r="I94" s="139"/>
      <c r="J94" s="29"/>
      <c r="K94" s="29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2" ht="15.75">
      <c r="A95" s="139" t="s">
        <v>8</v>
      </c>
      <c r="B95" s="139"/>
      <c r="C95" s="139"/>
      <c r="D95" s="139"/>
      <c r="E95" s="139"/>
      <c r="F95" s="139"/>
      <c r="G95" s="139"/>
      <c r="H95" s="139"/>
      <c r="I95" s="139"/>
      <c r="J95" s="4"/>
      <c r="K95" s="4"/>
      <c r="L95" s="4"/>
      <c r="M95" s="4"/>
      <c r="N95" s="4"/>
      <c r="O95" s="4"/>
      <c r="P95" s="4"/>
      <c r="Q95" s="4"/>
      <c r="S95" s="4"/>
      <c r="T95" s="4"/>
      <c r="U95" s="4"/>
    </row>
    <row r="96" spans="1:22" ht="15.75">
      <c r="A96" s="135" t="s">
        <v>9</v>
      </c>
      <c r="B96" s="135"/>
      <c r="C96" s="135"/>
      <c r="D96" s="135"/>
      <c r="E96" s="135"/>
      <c r="F96" s="135"/>
      <c r="G96" s="135"/>
      <c r="H96" s="135"/>
      <c r="I96" s="135"/>
      <c r="J96" s="6"/>
      <c r="K96" s="6"/>
      <c r="L96" s="6"/>
      <c r="M96" s="6"/>
      <c r="N96" s="6"/>
      <c r="O96" s="6"/>
      <c r="P96" s="6"/>
      <c r="Q96" s="6"/>
      <c r="R96" s="137"/>
      <c r="S96" s="137"/>
      <c r="T96" s="137"/>
      <c r="U96" s="137"/>
    </row>
    <row r="97" spans="1:9" ht="15.75">
      <c r="A97" s="13"/>
      <c r="B97" s="58"/>
      <c r="C97" s="58"/>
      <c r="D97" s="58"/>
      <c r="E97" s="58"/>
      <c r="F97" s="58"/>
      <c r="G97" s="58"/>
      <c r="H97" s="58"/>
      <c r="I97" s="58"/>
    </row>
    <row r="98" spans="1:9" ht="15.75">
      <c r="A98" s="141" t="s">
        <v>10</v>
      </c>
      <c r="B98" s="141"/>
      <c r="C98" s="141"/>
      <c r="D98" s="141"/>
      <c r="E98" s="141"/>
      <c r="F98" s="141"/>
      <c r="G98" s="141"/>
      <c r="H98" s="141"/>
      <c r="I98" s="141"/>
    </row>
    <row r="99" spans="1:9" ht="15.75" customHeight="1">
      <c r="A99" s="5"/>
    </row>
    <row r="100" spans="1:9" ht="15.75">
      <c r="A100" s="135" t="s">
        <v>11</v>
      </c>
      <c r="B100" s="135"/>
      <c r="C100" s="140" t="s">
        <v>92</v>
      </c>
      <c r="D100" s="140"/>
      <c r="E100" s="140"/>
      <c r="F100" s="74"/>
      <c r="I100" s="109"/>
    </row>
    <row r="101" spans="1:9">
      <c r="A101" s="110"/>
      <c r="C101" s="134" t="s">
        <v>12</v>
      </c>
      <c r="D101" s="134"/>
      <c r="E101" s="134"/>
      <c r="F101" s="28"/>
      <c r="I101" s="108" t="s">
        <v>13</v>
      </c>
    </row>
    <row r="102" spans="1:9" ht="15.75">
      <c r="A102" s="29"/>
      <c r="C102" s="14"/>
      <c r="D102" s="14"/>
      <c r="G102" s="14"/>
      <c r="H102" s="14"/>
    </row>
    <row r="103" spans="1:9" ht="15.75" customHeight="1">
      <c r="A103" s="135" t="s">
        <v>14</v>
      </c>
      <c r="B103" s="135"/>
      <c r="C103" s="136"/>
      <c r="D103" s="136"/>
      <c r="E103" s="136"/>
      <c r="F103" s="75"/>
      <c r="I103" s="109"/>
    </row>
    <row r="104" spans="1:9">
      <c r="A104" s="110"/>
      <c r="C104" s="137" t="s">
        <v>12</v>
      </c>
      <c r="D104" s="137"/>
      <c r="E104" s="137"/>
      <c r="F104" s="110"/>
      <c r="I104" s="108" t="s">
        <v>13</v>
      </c>
    </row>
    <row r="105" spans="1:9" ht="15.75">
      <c r="A105" s="5" t="s">
        <v>15</v>
      </c>
    </row>
    <row r="106" spans="1:9">
      <c r="A106" s="132" t="s">
        <v>16</v>
      </c>
      <c r="B106" s="132"/>
      <c r="C106" s="132"/>
      <c r="D106" s="132"/>
      <c r="E106" s="132"/>
      <c r="F106" s="132"/>
      <c r="G106" s="132"/>
      <c r="H106" s="132"/>
      <c r="I106" s="132"/>
    </row>
    <row r="107" spans="1:9" ht="45" customHeight="1">
      <c r="A107" s="133" t="s">
        <v>17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30" customHeight="1">
      <c r="A108" s="133" t="s">
        <v>18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22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15" customHeight="1">
      <c r="A110" s="133" t="s">
        <v>21</v>
      </c>
      <c r="B110" s="133"/>
      <c r="C110" s="133"/>
      <c r="D110" s="133"/>
      <c r="E110" s="133"/>
      <c r="F110" s="133"/>
      <c r="G110" s="133"/>
      <c r="H110" s="133"/>
      <c r="I110" s="133"/>
    </row>
    <row r="112" spans="1:9">
      <c r="A112" s="15"/>
      <c r="B112" s="15"/>
      <c r="C112" s="15"/>
      <c r="D112" s="15"/>
      <c r="E112" s="15"/>
      <c r="F112" s="15"/>
      <c r="G112" s="15"/>
      <c r="H112" s="15"/>
    </row>
  </sheetData>
  <autoFilter ref="I15:I91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0:I90"/>
    <mergeCell ref="B91:G91"/>
    <mergeCell ref="B92:G92"/>
    <mergeCell ref="A94:I94"/>
    <mergeCell ref="A95:I95"/>
    <mergeCell ref="A110:I110"/>
    <mergeCell ref="R96:U96"/>
    <mergeCell ref="A98:I98"/>
    <mergeCell ref="A100:B100"/>
    <mergeCell ref="C100:E100"/>
    <mergeCell ref="C101:E101"/>
    <mergeCell ref="A103:B103"/>
    <mergeCell ref="C103:E103"/>
    <mergeCell ref="A96:I96"/>
    <mergeCell ref="C104:E104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147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198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42978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f>F19/2*G19</f>
        <v>423.48</v>
      </c>
      <c r="J19" s="10"/>
      <c r="K19" s="10"/>
      <c r="L19" s="10"/>
      <c r="M19" s="10"/>
    </row>
    <row r="20" spans="1:13" ht="15.75" hidden="1" customHeight="1">
      <c r="A20" s="31">
        <v>5</v>
      </c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f t="shared" ref="I20:I21" si="1">F20/2*G20</f>
        <v>28.467600000000001</v>
      </c>
      <c r="J20" s="10"/>
      <c r="K20" s="10"/>
      <c r="L20" s="10"/>
      <c r="M20" s="10"/>
    </row>
    <row r="21" spans="1:13" ht="15.75" hidden="1" customHeight="1">
      <c r="A21" s="31">
        <v>6</v>
      </c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f t="shared" si="1"/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2">SUM(E22/100)</f>
        <v>3.57</v>
      </c>
      <c r="G22" s="80">
        <v>335.05</v>
      </c>
      <c r="H22" s="81">
        <f t="shared" si="0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2"/>
        <v>0.38640000000000002</v>
      </c>
      <c r="G23" s="80">
        <v>55.1</v>
      </c>
      <c r="H23" s="81">
        <f t="shared" si="0"/>
        <v>2.1290640000000003E-2</v>
      </c>
      <c r="I23" s="17">
        <f t="shared" ref="I23:I25" si="3">F23*G23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2"/>
        <v>0.15</v>
      </c>
      <c r="G24" s="80">
        <v>484.94</v>
      </c>
      <c r="H24" s="81">
        <f t="shared" si="0"/>
        <v>7.2741E-2</v>
      </c>
      <c r="I24" s="17">
        <f t="shared" si="3"/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2"/>
        <v>6.3799999999999996E-2</v>
      </c>
      <c r="G25" s="80">
        <v>684.05</v>
      </c>
      <c r="H25" s="81">
        <f t="shared" si="0"/>
        <v>4.3642389999999989E-2</v>
      </c>
      <c r="I25" s="17">
        <f t="shared" si="3"/>
        <v>43.642389999999992</v>
      </c>
      <c r="J25" s="10"/>
      <c r="K25" s="10"/>
      <c r="L25" s="10"/>
      <c r="M25" s="10"/>
    </row>
    <row r="26" spans="1:13" ht="15.75" customHeight="1">
      <c r="A26" s="31">
        <v>4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5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82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customHeight="1">
      <c r="A30" s="69">
        <v>6</v>
      </c>
      <c r="B30" s="70" t="s">
        <v>159</v>
      </c>
      <c r="C30" s="78" t="s">
        <v>122</v>
      </c>
      <c r="D30" s="70" t="s">
        <v>152</v>
      </c>
      <c r="E30" s="80">
        <v>65.099999999999994</v>
      </c>
      <c r="F30" s="80">
        <f>SUM(E30*52/1000)</f>
        <v>3.3851999999999998</v>
      </c>
      <c r="G30" s="80">
        <v>193.97</v>
      </c>
      <c r="H30" s="81">
        <f t="shared" ref="H30:H35" si="4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customHeight="1">
      <c r="A31" s="69">
        <v>7</v>
      </c>
      <c r="B31" s="70" t="s">
        <v>160</v>
      </c>
      <c r="C31" s="78" t="s">
        <v>122</v>
      </c>
      <c r="D31" s="70" t="s">
        <v>153</v>
      </c>
      <c r="E31" s="80">
        <v>65.099999999999994</v>
      </c>
      <c r="F31" s="80">
        <f>SUM(E31*78/1000)</f>
        <v>5.077799999999999</v>
      </c>
      <c r="G31" s="80">
        <v>321.82</v>
      </c>
      <c r="H31" s="81">
        <f t="shared" si="4"/>
        <v>1.6341375959999995</v>
      </c>
      <c r="I31" s="17">
        <f t="shared" ref="I31:I33" si="5">F31/6*G31</f>
        <v>272.35626599999995</v>
      </c>
      <c r="J31" s="27"/>
      <c r="K31" s="10"/>
      <c r="L31" s="10"/>
      <c r="M31" s="10"/>
    </row>
    <row r="32" spans="1:13" ht="15.75" hidden="1" customHeight="1">
      <c r="A32" s="69">
        <v>15</v>
      </c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si="4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customHeight="1">
      <c r="A33" s="69">
        <v>8</v>
      </c>
      <c r="B33" s="70" t="s">
        <v>161</v>
      </c>
      <c r="C33" s="78" t="s">
        <v>30</v>
      </c>
      <c r="D33" s="70" t="s">
        <v>62</v>
      </c>
      <c r="E33" s="88">
        <f>1/6</f>
        <v>0.16666666666666666</v>
      </c>
      <c r="F33" s="80">
        <f>155/6</f>
        <v>25.833333333333332</v>
      </c>
      <c r="G33" s="80">
        <v>70.540000000000006</v>
      </c>
      <c r="H33" s="81">
        <f t="shared" si="4"/>
        <v>1.8222833333333333</v>
      </c>
      <c r="I33" s="17">
        <f t="shared" si="5"/>
        <v>303.7138888888889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si="4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4"/>
        <v>1.4139600000000001</v>
      </c>
      <c r="I35" s="17">
        <v>0</v>
      </c>
      <c r="J35" s="27"/>
      <c r="K35" s="10"/>
      <c r="L35" s="10"/>
      <c r="M35" s="10"/>
    </row>
    <row r="36" spans="1:13" ht="15.75" hidden="1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hidden="1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6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hidden="1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hidden="1" customHeight="1">
      <c r="A40" s="38">
        <v>9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6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hidden="1" customHeight="1">
      <c r="A41" s="38">
        <v>10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6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11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6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hidden="1" customHeight="1">
      <c r="A43" s="38">
        <v>12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6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hidden="1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hidden="1" customHeight="1">
      <c r="A45" s="47">
        <v>17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7">SUM(F45*G45/1000)</f>
        <v>2.721961968</v>
      </c>
      <c r="I45" s="17">
        <f t="shared" ref="I45:I47" si="8">F45/2*G45</f>
        <v>1360.980984</v>
      </c>
      <c r="J45" s="27"/>
      <c r="K45" s="10"/>
      <c r="L45" s="10"/>
      <c r="M45" s="10"/>
    </row>
    <row r="46" spans="1:13" ht="15.75" hidden="1" customHeight="1">
      <c r="A46" s="47">
        <v>18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7"/>
        <v>4.2862477871999998</v>
      </c>
      <c r="I46" s="17">
        <f t="shared" si="8"/>
        <v>2143.1238936</v>
      </c>
      <c r="J46" s="27"/>
      <c r="K46" s="10"/>
      <c r="L46" s="10"/>
      <c r="M46" s="10"/>
    </row>
    <row r="47" spans="1:13" ht="15.75" hidden="1" customHeight="1">
      <c r="A47" s="47">
        <v>19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7"/>
        <v>3.0571051328000003</v>
      </c>
      <c r="I47" s="17">
        <f t="shared" si="8"/>
        <v>1528.5525664000002</v>
      </c>
      <c r="J47" s="27"/>
      <c r="K47" s="10"/>
      <c r="L47" s="10"/>
      <c r="M47" s="10"/>
    </row>
    <row r="48" spans="1:13" ht="15.75" hidden="1" customHeight="1">
      <c r="A48" s="47">
        <v>20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7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hidden="1" customHeight="1">
      <c r="A49" s="47">
        <v>21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7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12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7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13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7"/>
        <v>1.2321280000000001</v>
      </c>
      <c r="I51" s="17">
        <f t="shared" ref="I51:I52" si="9">F51/2*G51</f>
        <v>616.06400000000008</v>
      </c>
      <c r="J51" s="27"/>
      <c r="K51" s="10"/>
    </row>
    <row r="52" spans="1:14" ht="15.75" hidden="1" customHeight="1">
      <c r="A52" s="47">
        <v>14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7"/>
        <v>0.1406626</v>
      </c>
      <c r="I52" s="17">
        <f t="shared" si="9"/>
        <v>70.331299999999999</v>
      </c>
      <c r="J52" s="77"/>
    </row>
    <row r="53" spans="1:14" ht="15.75" hidden="1" customHeight="1">
      <c r="A53" s="47">
        <v>22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7"/>
        <v>33.715199999999996</v>
      </c>
      <c r="I53" s="17">
        <f>E53*G53</f>
        <v>11238.4</v>
      </c>
      <c r="J53" s="77"/>
    </row>
    <row r="54" spans="1:14" ht="15.75" hidden="1" customHeight="1">
      <c r="A54" s="47">
        <v>23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7"/>
        <v>31.384319999999999</v>
      </c>
      <c r="I54" s="17">
        <f>E54*G54</f>
        <v>10461.44</v>
      </c>
      <c r="J54" s="77"/>
    </row>
    <row r="55" spans="1:14" ht="15.75" customHeight="1">
      <c r="A55" s="146" t="s">
        <v>87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hidden="1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hidden="1" customHeight="1">
      <c r="A57" s="47">
        <v>13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hidden="1" customHeight="1">
      <c r="A58" s="47">
        <v>9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G58*3</f>
        <v>4503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10">SUM(F62*G62/1000)</f>
        <v>0.27673999999999999</v>
      </c>
      <c r="I62" s="17">
        <v>0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10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>
        <v>25</v>
      </c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10"/>
        <v>26.536274799999997</v>
      </c>
      <c r="I64" s="17">
        <f>F64*G64</f>
        <v>26536.274799999999</v>
      </c>
      <c r="J64" s="77"/>
      <c r="L64" s="24"/>
      <c r="M64" s="25"/>
      <c r="N64" s="26"/>
    </row>
    <row r="65" spans="1:14" ht="15.75" hidden="1" customHeight="1">
      <c r="A65" s="68">
        <v>26</v>
      </c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10"/>
        <v>2.0663896399999997</v>
      </c>
      <c r="I65" s="17">
        <f t="shared" ref="I65:I69" si="11">F65*G65</f>
        <v>2066.3896399999999</v>
      </c>
      <c r="J65" s="77"/>
      <c r="L65" s="24"/>
      <c r="M65" s="25"/>
      <c r="N65" s="26"/>
    </row>
    <row r="66" spans="1:14" ht="15.75" hidden="1" customHeight="1">
      <c r="A66" s="68">
        <v>27</v>
      </c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10"/>
        <v>56.793660000000003</v>
      </c>
      <c r="I66" s="17">
        <f t="shared" si="11"/>
        <v>56793.66</v>
      </c>
      <c r="J66" s="77"/>
      <c r="L66" s="24"/>
      <c r="M66" s="25"/>
      <c r="N66" s="26"/>
    </row>
    <row r="67" spans="1:14" ht="15.75" hidden="1" customHeight="1">
      <c r="A67" s="68">
        <v>28</v>
      </c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10"/>
        <v>0.44603000000000004</v>
      </c>
      <c r="I67" s="17">
        <f t="shared" si="11"/>
        <v>446.03000000000003</v>
      </c>
      <c r="J67" s="77"/>
      <c r="L67" s="24"/>
      <c r="M67" s="25"/>
      <c r="N67" s="26"/>
    </row>
    <row r="68" spans="1:14" ht="15.75" hidden="1" customHeight="1">
      <c r="A68" s="68">
        <v>29</v>
      </c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10"/>
        <v>0.41613800000000001</v>
      </c>
      <c r="I68" s="17">
        <f t="shared" si="11"/>
        <v>416.13800000000003</v>
      </c>
      <c r="J68" s="77"/>
      <c r="L68" s="24"/>
      <c r="M68" s="25"/>
      <c r="N68" s="26"/>
    </row>
    <row r="69" spans="1:14" ht="15.75" hidden="1" customHeight="1">
      <c r="A69" s="68"/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10"/>
        <v>0.12414</v>
      </c>
      <c r="I69" s="17">
        <f t="shared" si="11"/>
        <v>124.14</v>
      </c>
      <c r="J69" s="77"/>
      <c r="L69" s="24"/>
      <c r="M69" s="25"/>
      <c r="N69" s="26"/>
    </row>
    <row r="70" spans="1:14" ht="15.75" customHeight="1">
      <c r="A70" s="69">
        <v>9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10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31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f>G72</f>
        <v>22720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12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12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12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13">SUM(F80*G80/1000)</f>
        <v>3.4336799999999998</v>
      </c>
      <c r="I80" s="17">
        <v>0</v>
      </c>
      <c r="J80" s="77"/>
      <c r="L80" s="24"/>
      <c r="M80" s="25"/>
      <c r="N80" s="26"/>
    </row>
    <row r="81" spans="1:22" ht="15.75" customHeight="1">
      <c r="A81" s="152" t="s">
        <v>148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22" ht="15.75" customHeight="1">
      <c r="A82" s="69">
        <v>10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22" ht="31.5" customHeight="1">
      <c r="A83" s="31">
        <v>11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22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SUM(I16+I17+I18+I26+I27+I30+I31+I33+I70+I82+I83)</f>
        <v>42171.995845555553</v>
      </c>
      <c r="J84" s="77"/>
      <c r="L84" s="24"/>
      <c r="M84" s="25"/>
      <c r="N84" s="26"/>
    </row>
    <row r="85" spans="1:22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22" ht="15.75" customHeight="1">
      <c r="A86" s="69">
        <v>12</v>
      </c>
      <c r="B86" s="100" t="s">
        <v>178</v>
      </c>
      <c r="C86" s="99" t="s">
        <v>93</v>
      </c>
      <c r="D86" s="19"/>
      <c r="E86" s="23"/>
      <c r="F86" s="17">
        <f>(3+3+10+10+15+15+10+20+3+15+10+3+10)/3</f>
        <v>42.333333333333336</v>
      </c>
      <c r="G86" s="17">
        <v>1120.8900000000001</v>
      </c>
      <c r="H86" s="82">
        <f t="shared" ref="H86" si="14">G86*F86/1000</f>
        <v>47.451010000000011</v>
      </c>
      <c r="I86" s="102">
        <f>G86*((15+10+15+10)/3)</f>
        <v>18681.500000000004</v>
      </c>
      <c r="J86" s="77"/>
      <c r="L86" s="24"/>
      <c r="M86" s="25"/>
      <c r="N86" s="26"/>
    </row>
    <row r="87" spans="1:22" ht="15.75" customHeight="1">
      <c r="A87" s="31"/>
      <c r="B87" s="52" t="s">
        <v>51</v>
      </c>
      <c r="C87" s="48"/>
      <c r="D87" s="62"/>
      <c r="E87" s="48">
        <v>1</v>
      </c>
      <c r="F87" s="48"/>
      <c r="G87" s="48"/>
      <c r="H87" s="48"/>
      <c r="I87" s="35">
        <f>SUM(I86:I86)</f>
        <v>18681.500000000004</v>
      </c>
      <c r="J87" s="77"/>
      <c r="L87" s="24"/>
      <c r="M87" s="25"/>
      <c r="N87" s="26"/>
    </row>
    <row r="88" spans="1:22" ht="15.75" customHeight="1">
      <c r="A88" s="31"/>
      <c r="B88" s="57" t="s">
        <v>75</v>
      </c>
      <c r="C88" s="20"/>
      <c r="D88" s="20"/>
      <c r="E88" s="49"/>
      <c r="F88" s="49"/>
      <c r="G88" s="50"/>
      <c r="H88" s="50"/>
      <c r="I88" s="22">
        <v>0</v>
      </c>
      <c r="J88" s="77"/>
      <c r="L88" s="24"/>
      <c r="M88" s="25"/>
      <c r="N88" s="26"/>
    </row>
    <row r="89" spans="1:22" ht="15.75" customHeight="1">
      <c r="A89" s="63"/>
      <c r="B89" s="53" t="s">
        <v>172</v>
      </c>
      <c r="C89" s="39"/>
      <c r="D89" s="39"/>
      <c r="E89" s="39"/>
      <c r="F89" s="39"/>
      <c r="G89" s="39"/>
      <c r="H89" s="39"/>
      <c r="I89" s="51">
        <f>I84+I87</f>
        <v>60853.495845555561</v>
      </c>
      <c r="J89" s="77"/>
      <c r="L89" s="24"/>
    </row>
    <row r="90" spans="1:22" ht="15.75">
      <c r="A90" s="135" t="s">
        <v>233</v>
      </c>
      <c r="B90" s="135"/>
      <c r="C90" s="135"/>
      <c r="D90" s="135"/>
      <c r="E90" s="135"/>
      <c r="F90" s="135"/>
      <c r="G90" s="135"/>
      <c r="H90" s="135"/>
      <c r="I90" s="135"/>
    </row>
    <row r="91" spans="1:22" ht="15.75">
      <c r="A91" s="12"/>
      <c r="B91" s="145" t="s">
        <v>234</v>
      </c>
      <c r="C91" s="145"/>
      <c r="D91" s="145"/>
      <c r="E91" s="145"/>
      <c r="F91" s="145"/>
      <c r="G91" s="145"/>
      <c r="H91" s="104"/>
      <c r="I91" s="4"/>
    </row>
    <row r="92" spans="1:22" ht="15.75">
      <c r="A92" s="72"/>
      <c r="B92" s="138" t="s">
        <v>6</v>
      </c>
      <c r="C92" s="138"/>
      <c r="D92" s="138"/>
      <c r="E92" s="138"/>
      <c r="F92" s="138"/>
      <c r="G92" s="138"/>
      <c r="H92" s="76"/>
      <c r="I92" s="59"/>
    </row>
    <row r="93" spans="1:22" ht="15.75" customHeight="1">
      <c r="A93" s="60"/>
      <c r="B93" s="60"/>
      <c r="C93" s="60"/>
      <c r="D93" s="60"/>
      <c r="E93" s="60"/>
      <c r="F93" s="60"/>
      <c r="G93" s="60"/>
      <c r="H93" s="60"/>
      <c r="I93" s="6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11"/>
    </row>
    <row r="94" spans="1:22" ht="15.75" customHeight="1">
      <c r="A94" s="139" t="s">
        <v>7</v>
      </c>
      <c r="B94" s="139"/>
      <c r="C94" s="139"/>
      <c r="D94" s="139"/>
      <c r="E94" s="139"/>
      <c r="F94" s="139"/>
      <c r="G94" s="139"/>
      <c r="H94" s="139"/>
      <c r="I94" s="139"/>
      <c r="J94" s="29"/>
      <c r="K94" s="29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2" ht="15.75">
      <c r="A95" s="139" t="s">
        <v>8</v>
      </c>
      <c r="B95" s="139"/>
      <c r="C95" s="139"/>
      <c r="D95" s="139"/>
      <c r="E95" s="139"/>
      <c r="F95" s="139"/>
      <c r="G95" s="139"/>
      <c r="H95" s="139"/>
      <c r="I95" s="139"/>
      <c r="J95" s="4"/>
      <c r="K95" s="4"/>
      <c r="L95" s="4"/>
      <c r="M95" s="4"/>
      <c r="N95" s="4"/>
      <c r="O95" s="4"/>
      <c r="P95" s="4"/>
      <c r="Q95" s="4"/>
      <c r="S95" s="4"/>
      <c r="T95" s="4"/>
      <c r="U95" s="4"/>
    </row>
    <row r="96" spans="1:22" ht="15.75">
      <c r="A96" s="135" t="s">
        <v>9</v>
      </c>
      <c r="B96" s="135"/>
      <c r="C96" s="135"/>
      <c r="D96" s="135"/>
      <c r="E96" s="135"/>
      <c r="F96" s="135"/>
      <c r="G96" s="135"/>
      <c r="H96" s="135"/>
      <c r="I96" s="135"/>
      <c r="J96" s="6"/>
      <c r="K96" s="6"/>
      <c r="L96" s="6"/>
      <c r="M96" s="6"/>
      <c r="N96" s="6"/>
      <c r="O96" s="6"/>
      <c r="P96" s="6"/>
      <c r="Q96" s="6"/>
      <c r="R96" s="137"/>
      <c r="S96" s="137"/>
      <c r="T96" s="137"/>
      <c r="U96" s="137"/>
    </row>
    <row r="97" spans="1:9" ht="15.75">
      <c r="A97" s="13"/>
      <c r="B97" s="58"/>
      <c r="C97" s="58"/>
      <c r="D97" s="58"/>
      <c r="E97" s="58"/>
      <c r="F97" s="58"/>
      <c r="G97" s="58"/>
      <c r="H97" s="58"/>
      <c r="I97" s="58"/>
    </row>
    <row r="98" spans="1:9" ht="15.75">
      <c r="A98" s="141" t="s">
        <v>10</v>
      </c>
      <c r="B98" s="141"/>
      <c r="C98" s="141"/>
      <c r="D98" s="141"/>
      <c r="E98" s="141"/>
      <c r="F98" s="141"/>
      <c r="G98" s="141"/>
      <c r="H98" s="141"/>
      <c r="I98" s="141"/>
    </row>
    <row r="99" spans="1:9" ht="15.75" customHeight="1">
      <c r="A99" s="5"/>
    </row>
    <row r="100" spans="1:9" ht="15.75">
      <c r="A100" s="135" t="s">
        <v>11</v>
      </c>
      <c r="B100" s="135"/>
      <c r="C100" s="140" t="s">
        <v>92</v>
      </c>
      <c r="D100" s="140"/>
      <c r="E100" s="140"/>
      <c r="F100" s="74"/>
      <c r="I100" s="109"/>
    </row>
    <row r="101" spans="1:9">
      <c r="A101" s="110"/>
      <c r="C101" s="134" t="s">
        <v>12</v>
      </c>
      <c r="D101" s="134"/>
      <c r="E101" s="134"/>
      <c r="F101" s="28"/>
      <c r="I101" s="108" t="s">
        <v>13</v>
      </c>
    </row>
    <row r="102" spans="1:9" ht="15.75">
      <c r="A102" s="29"/>
      <c r="C102" s="14"/>
      <c r="D102" s="14"/>
      <c r="G102" s="14"/>
      <c r="H102" s="14"/>
    </row>
    <row r="103" spans="1:9" ht="15.75" customHeight="1">
      <c r="A103" s="135" t="s">
        <v>14</v>
      </c>
      <c r="B103" s="135"/>
      <c r="C103" s="136"/>
      <c r="D103" s="136"/>
      <c r="E103" s="136"/>
      <c r="F103" s="75"/>
      <c r="I103" s="109"/>
    </row>
    <row r="104" spans="1:9">
      <c r="A104" s="110"/>
      <c r="C104" s="137" t="s">
        <v>12</v>
      </c>
      <c r="D104" s="137"/>
      <c r="E104" s="137"/>
      <c r="F104" s="110"/>
      <c r="I104" s="108" t="s">
        <v>13</v>
      </c>
    </row>
    <row r="105" spans="1:9" ht="15.75">
      <c r="A105" s="5" t="s">
        <v>15</v>
      </c>
    </row>
    <row r="106" spans="1:9">
      <c r="A106" s="132" t="s">
        <v>16</v>
      </c>
      <c r="B106" s="132"/>
      <c r="C106" s="132"/>
      <c r="D106" s="132"/>
      <c r="E106" s="132"/>
      <c r="F106" s="132"/>
      <c r="G106" s="132"/>
      <c r="H106" s="132"/>
      <c r="I106" s="132"/>
    </row>
    <row r="107" spans="1:9" ht="45" customHeight="1">
      <c r="A107" s="133" t="s">
        <v>17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30" customHeight="1">
      <c r="A108" s="133" t="s">
        <v>18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22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15" customHeight="1">
      <c r="A110" s="133" t="s">
        <v>21</v>
      </c>
      <c r="B110" s="133"/>
      <c r="C110" s="133"/>
      <c r="D110" s="133"/>
      <c r="E110" s="133"/>
      <c r="F110" s="133"/>
      <c r="G110" s="133"/>
      <c r="H110" s="133"/>
      <c r="I110" s="133"/>
    </row>
    <row r="112" spans="1:9">
      <c r="A112" s="15"/>
      <c r="B112" s="15"/>
      <c r="C112" s="15"/>
      <c r="D112" s="15"/>
      <c r="E112" s="15"/>
      <c r="F112" s="15"/>
      <c r="G112" s="15"/>
      <c r="H112" s="15"/>
    </row>
  </sheetData>
  <autoFilter ref="I15:I91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0:I90"/>
    <mergeCell ref="B91:G91"/>
    <mergeCell ref="B92:G92"/>
    <mergeCell ref="A94:I94"/>
    <mergeCell ref="A95:I95"/>
    <mergeCell ref="A110:I110"/>
    <mergeCell ref="R96:U96"/>
    <mergeCell ref="A98:I98"/>
    <mergeCell ref="A100:B100"/>
    <mergeCell ref="C100:E100"/>
    <mergeCell ref="C101:E101"/>
    <mergeCell ref="A103:B103"/>
    <mergeCell ref="C103:E103"/>
    <mergeCell ref="A96:I96"/>
    <mergeCell ref="C104:E104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83</v>
      </c>
      <c r="I1" s="32"/>
    </row>
    <row r="2" spans="1:15" s="58" customFormat="1" ht="15.75" customHeight="1">
      <c r="A2" s="30" t="s">
        <v>61</v>
      </c>
      <c r="J2" s="1"/>
      <c r="K2" s="1"/>
      <c r="L2" s="1"/>
      <c r="M2" s="1"/>
    </row>
    <row r="3" spans="1:15" s="58" customFormat="1" ht="15.75" customHeight="1">
      <c r="A3" s="160" t="s">
        <v>149</v>
      </c>
      <c r="B3" s="160"/>
      <c r="C3" s="160"/>
      <c r="D3" s="160"/>
      <c r="E3" s="160"/>
      <c r="F3" s="160"/>
      <c r="G3" s="160"/>
      <c r="H3" s="160"/>
      <c r="I3" s="160"/>
      <c r="J3" s="2"/>
      <c r="K3" s="2"/>
      <c r="L3" s="2"/>
      <c r="M3" s="2"/>
    </row>
    <row r="4" spans="1:15" s="58" customFormat="1" ht="31.5" customHeight="1">
      <c r="A4" s="161" t="s">
        <v>95</v>
      </c>
      <c r="B4" s="161"/>
      <c r="C4" s="161"/>
      <c r="D4" s="161"/>
      <c r="E4" s="161"/>
      <c r="F4" s="161"/>
      <c r="G4" s="161"/>
      <c r="H4" s="161"/>
      <c r="I4" s="161"/>
      <c r="J4" s="3"/>
      <c r="K4" s="3"/>
      <c r="L4" s="3"/>
      <c r="M4" s="3"/>
    </row>
    <row r="5" spans="1:15" s="58" customFormat="1" ht="15.75" customHeight="1">
      <c r="A5" s="160" t="s">
        <v>199</v>
      </c>
      <c r="B5" s="162"/>
      <c r="C5" s="162"/>
      <c r="D5" s="162"/>
      <c r="E5" s="162"/>
      <c r="F5" s="162"/>
      <c r="G5" s="162"/>
      <c r="H5" s="162"/>
      <c r="I5" s="162"/>
      <c r="J5" s="4"/>
      <c r="K5" s="4"/>
      <c r="L5" s="4"/>
    </row>
    <row r="6" spans="1:15" s="58" customFormat="1" ht="15.75" customHeight="1">
      <c r="A6" s="3"/>
      <c r="B6" s="105"/>
      <c r="C6" s="105"/>
      <c r="D6" s="105"/>
      <c r="E6" s="105"/>
      <c r="F6" s="105"/>
      <c r="G6" s="105"/>
      <c r="H6" s="105"/>
      <c r="I6" s="34">
        <v>43008</v>
      </c>
    </row>
    <row r="7" spans="1:15" ht="15.75">
      <c r="B7" s="103"/>
      <c r="C7" s="103"/>
      <c r="D7" s="103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63" t="s">
        <v>158</v>
      </c>
      <c r="B8" s="163"/>
      <c r="C8" s="163"/>
      <c r="D8" s="163"/>
      <c r="E8" s="163"/>
      <c r="F8" s="163"/>
      <c r="G8" s="163"/>
      <c r="H8" s="163"/>
      <c r="I8" s="16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64" t="s">
        <v>221</v>
      </c>
      <c r="B10" s="164"/>
      <c r="C10" s="164"/>
      <c r="D10" s="164"/>
      <c r="E10" s="164"/>
      <c r="F10" s="164"/>
      <c r="G10" s="164"/>
      <c r="H10" s="164"/>
      <c r="I10" s="16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58" t="s">
        <v>157</v>
      </c>
      <c r="B14" s="159"/>
      <c r="C14" s="159"/>
      <c r="D14" s="159"/>
      <c r="E14" s="159"/>
      <c r="F14" s="159"/>
      <c r="G14" s="159"/>
      <c r="H14" s="159"/>
      <c r="I14" s="159"/>
      <c r="J14" s="120"/>
      <c r="K14" s="120"/>
      <c r="L14" s="10"/>
      <c r="M14" s="10"/>
      <c r="N14" s="10"/>
      <c r="O14" s="10"/>
    </row>
    <row r="15" spans="1:15" ht="15.75" customHeight="1">
      <c r="A15" s="142" t="s">
        <v>4</v>
      </c>
      <c r="B15" s="143"/>
      <c r="C15" s="143"/>
      <c r="D15" s="143"/>
      <c r="E15" s="143"/>
      <c r="F15" s="143"/>
      <c r="G15" s="143"/>
      <c r="H15" s="143"/>
      <c r="I15" s="144"/>
      <c r="J15" s="11"/>
      <c r="K15" s="11"/>
    </row>
    <row r="16" spans="1:15" ht="15.75" customHeight="1">
      <c r="A16" s="31">
        <v>1</v>
      </c>
      <c r="B16" s="70" t="s">
        <v>84</v>
      </c>
      <c r="C16" s="78" t="s">
        <v>96</v>
      </c>
      <c r="D16" s="70" t="s">
        <v>97</v>
      </c>
      <c r="E16" s="79">
        <v>70.900000000000006</v>
      </c>
      <c r="F16" s="80">
        <f>SUM(E16*156/100)</f>
        <v>110.60400000000001</v>
      </c>
      <c r="G16" s="80">
        <v>218.21</v>
      </c>
      <c r="H16" s="81">
        <f t="shared" ref="H16:H27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70" t="s">
        <v>85</v>
      </c>
      <c r="C17" s="78" t="s">
        <v>96</v>
      </c>
      <c r="D17" s="70" t="s">
        <v>98</v>
      </c>
      <c r="E17" s="79">
        <v>212.7</v>
      </c>
      <c r="F17" s="80">
        <f>SUM(E17*104/100)</f>
        <v>221.208</v>
      </c>
      <c r="G17" s="80">
        <v>218.21</v>
      </c>
      <c r="H17" s="81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70" t="s">
        <v>86</v>
      </c>
      <c r="C18" s="78" t="s">
        <v>96</v>
      </c>
      <c r="D18" s="70" t="s">
        <v>99</v>
      </c>
      <c r="E18" s="79">
        <f>SUM(E16+E17)</f>
        <v>283.60000000000002</v>
      </c>
      <c r="F18" s="80">
        <f>SUM(E18*24/100)</f>
        <v>68.064000000000007</v>
      </c>
      <c r="G18" s="80">
        <v>627.77</v>
      </c>
      <c r="H18" s="81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70" t="s">
        <v>100</v>
      </c>
      <c r="C19" s="78" t="s">
        <v>101</v>
      </c>
      <c r="D19" s="70" t="s">
        <v>102</v>
      </c>
      <c r="E19" s="79">
        <v>40</v>
      </c>
      <c r="F19" s="80">
        <f>SUM(E19/10)</f>
        <v>4</v>
      </c>
      <c r="G19" s="80">
        <v>211.74</v>
      </c>
      <c r="H19" s="81">
        <f t="shared" si="0"/>
        <v>0.84696000000000005</v>
      </c>
      <c r="I19" s="17">
        <f>F19/2*G19</f>
        <v>423.48</v>
      </c>
      <c r="J19" s="10"/>
      <c r="K19" s="10"/>
      <c r="L19" s="10"/>
      <c r="M19" s="10"/>
    </row>
    <row r="20" spans="1:13" ht="15.75" customHeight="1">
      <c r="A20" s="31">
        <v>4</v>
      </c>
      <c r="B20" s="70" t="s">
        <v>103</v>
      </c>
      <c r="C20" s="78" t="s">
        <v>96</v>
      </c>
      <c r="D20" s="70" t="s">
        <v>41</v>
      </c>
      <c r="E20" s="79">
        <v>10.5</v>
      </c>
      <c r="F20" s="80">
        <f>SUM(E20*2/100)</f>
        <v>0.21</v>
      </c>
      <c r="G20" s="80">
        <v>271.12</v>
      </c>
      <c r="H20" s="81">
        <f t="shared" si="0"/>
        <v>5.6935200000000005E-2</v>
      </c>
      <c r="I20" s="17">
        <f t="shared" ref="I20:I21" si="1">F20/2*G20</f>
        <v>28.467600000000001</v>
      </c>
      <c r="J20" s="10"/>
      <c r="K20" s="10"/>
      <c r="L20" s="10"/>
      <c r="M20" s="10"/>
    </row>
    <row r="21" spans="1:13" ht="15.75" customHeight="1">
      <c r="A21" s="31">
        <v>5</v>
      </c>
      <c r="B21" s="70" t="s">
        <v>104</v>
      </c>
      <c r="C21" s="78" t="s">
        <v>96</v>
      </c>
      <c r="D21" s="70" t="s">
        <v>41</v>
      </c>
      <c r="E21" s="79">
        <v>2.7</v>
      </c>
      <c r="F21" s="80">
        <f>SUM(E21*2/100)</f>
        <v>5.4000000000000006E-2</v>
      </c>
      <c r="G21" s="80">
        <v>268.92</v>
      </c>
      <c r="H21" s="81">
        <f t="shared" si="0"/>
        <v>1.4521680000000002E-2</v>
      </c>
      <c r="I21" s="17">
        <f t="shared" si="1"/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70" t="s">
        <v>105</v>
      </c>
      <c r="C22" s="78" t="s">
        <v>52</v>
      </c>
      <c r="D22" s="70" t="s">
        <v>102</v>
      </c>
      <c r="E22" s="79">
        <v>357</v>
      </c>
      <c r="F22" s="80">
        <f t="shared" ref="F22:F25" si="2">SUM(E22/100)</f>
        <v>3.57</v>
      </c>
      <c r="G22" s="80">
        <v>335.05</v>
      </c>
      <c r="H22" s="81">
        <f t="shared" si="0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70" t="s">
        <v>106</v>
      </c>
      <c r="C23" s="78" t="s">
        <v>52</v>
      </c>
      <c r="D23" s="70" t="s">
        <v>102</v>
      </c>
      <c r="E23" s="83">
        <v>38.64</v>
      </c>
      <c r="F23" s="80">
        <f t="shared" si="2"/>
        <v>0.38640000000000002</v>
      </c>
      <c r="G23" s="80">
        <v>55.1</v>
      </c>
      <c r="H23" s="81">
        <f t="shared" si="0"/>
        <v>2.1290640000000003E-2</v>
      </c>
      <c r="I23" s="17">
        <f t="shared" ref="I23:I25" si="3">F23*G23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70" t="s">
        <v>107</v>
      </c>
      <c r="C24" s="78" t="s">
        <v>52</v>
      </c>
      <c r="D24" s="84" t="s">
        <v>102</v>
      </c>
      <c r="E24" s="23">
        <v>15</v>
      </c>
      <c r="F24" s="85">
        <f t="shared" si="2"/>
        <v>0.15</v>
      </c>
      <c r="G24" s="80">
        <v>484.94</v>
      </c>
      <c r="H24" s="81">
        <f t="shared" si="0"/>
        <v>7.2741E-2</v>
      </c>
      <c r="I24" s="17">
        <f t="shared" si="3"/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70" t="s">
        <v>108</v>
      </c>
      <c r="C25" s="78" t="s">
        <v>52</v>
      </c>
      <c r="D25" s="70" t="s">
        <v>102</v>
      </c>
      <c r="E25" s="86">
        <v>6.38</v>
      </c>
      <c r="F25" s="80">
        <f t="shared" si="2"/>
        <v>6.3799999999999996E-2</v>
      </c>
      <c r="G25" s="80">
        <v>684.05</v>
      </c>
      <c r="H25" s="81">
        <f t="shared" si="0"/>
        <v>4.3642389999999989E-2</v>
      </c>
      <c r="I25" s="17">
        <f t="shared" si="3"/>
        <v>43.642389999999992</v>
      </c>
      <c r="J25" s="10"/>
      <c r="K25" s="10"/>
      <c r="L25" s="10"/>
      <c r="M25" s="10"/>
    </row>
    <row r="26" spans="1:13" ht="15.75" customHeight="1">
      <c r="A26" s="31">
        <v>6</v>
      </c>
      <c r="B26" s="70" t="s">
        <v>63</v>
      </c>
      <c r="C26" s="78" t="s">
        <v>32</v>
      </c>
      <c r="D26" s="70" t="s">
        <v>26</v>
      </c>
      <c r="E26" s="79">
        <v>0.05</v>
      </c>
      <c r="F26" s="80">
        <f>SUM(E26*365)</f>
        <v>18.25</v>
      </c>
      <c r="G26" s="80">
        <v>182.96</v>
      </c>
      <c r="H26" s="81">
        <f t="shared" si="0"/>
        <v>3.3390200000000001</v>
      </c>
      <c r="I26" s="17">
        <f>F26/12*G26</f>
        <v>278.25166666666667</v>
      </c>
      <c r="J26" s="10"/>
      <c r="K26" s="10"/>
      <c r="L26" s="10"/>
      <c r="M26" s="10"/>
    </row>
    <row r="27" spans="1:13" ht="15.75" customHeight="1">
      <c r="A27" s="31">
        <v>7</v>
      </c>
      <c r="B27" s="87" t="s">
        <v>24</v>
      </c>
      <c r="C27" s="78" t="s">
        <v>25</v>
      </c>
      <c r="D27" s="70" t="s">
        <v>26</v>
      </c>
      <c r="E27" s="79">
        <v>2549.5</v>
      </c>
      <c r="F27" s="80">
        <f>SUM(E27*12)</f>
        <v>30594</v>
      </c>
      <c r="G27" s="80">
        <v>4.24</v>
      </c>
      <c r="H27" s="81">
        <f t="shared" si="0"/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2" t="s">
        <v>82</v>
      </c>
      <c r="B28" s="143"/>
      <c r="C28" s="143"/>
      <c r="D28" s="143"/>
      <c r="E28" s="143"/>
      <c r="F28" s="143"/>
      <c r="G28" s="143"/>
      <c r="H28" s="143"/>
      <c r="I28" s="144"/>
      <c r="J28" s="27"/>
      <c r="K28" s="10"/>
      <c r="L28" s="10"/>
      <c r="M28" s="10"/>
    </row>
    <row r="29" spans="1:13" ht="15.75" customHeight="1">
      <c r="A29" s="47"/>
      <c r="B29" s="55" t="s">
        <v>151</v>
      </c>
      <c r="C29" s="47"/>
      <c r="D29" s="47"/>
      <c r="E29" s="16"/>
      <c r="F29" s="16"/>
      <c r="G29" s="18"/>
      <c r="H29" s="18"/>
      <c r="I29" s="65"/>
      <c r="J29" s="27"/>
      <c r="K29" s="10"/>
      <c r="L29" s="10"/>
      <c r="M29" s="10"/>
    </row>
    <row r="30" spans="1:13" ht="15.75" customHeight="1">
      <c r="A30" s="69">
        <v>8</v>
      </c>
      <c r="B30" s="70" t="s">
        <v>159</v>
      </c>
      <c r="C30" s="78" t="s">
        <v>122</v>
      </c>
      <c r="D30" s="70" t="s">
        <v>152</v>
      </c>
      <c r="E30" s="80">
        <v>65.099999999999994</v>
      </c>
      <c r="F30" s="80">
        <f>SUM(E30*52/1000)</f>
        <v>3.3851999999999998</v>
      </c>
      <c r="G30" s="80">
        <v>193.97</v>
      </c>
      <c r="H30" s="81">
        <f t="shared" ref="H30:H35" si="4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customHeight="1">
      <c r="A31" s="69">
        <v>9</v>
      </c>
      <c r="B31" s="70" t="s">
        <v>160</v>
      </c>
      <c r="C31" s="78" t="s">
        <v>122</v>
      </c>
      <c r="D31" s="70" t="s">
        <v>153</v>
      </c>
      <c r="E31" s="80">
        <v>65.099999999999994</v>
      </c>
      <c r="F31" s="80">
        <f>SUM(E31*78/1000)</f>
        <v>5.077799999999999</v>
      </c>
      <c r="G31" s="80">
        <v>321.82</v>
      </c>
      <c r="H31" s="81">
        <f t="shared" si="4"/>
        <v>1.6341375959999995</v>
      </c>
      <c r="I31" s="17">
        <f t="shared" ref="I31:I33" si="5">F31/6*G31</f>
        <v>272.35626599999995</v>
      </c>
      <c r="J31" s="27"/>
      <c r="K31" s="10"/>
      <c r="L31" s="10"/>
      <c r="M31" s="10"/>
    </row>
    <row r="32" spans="1:13" ht="15.75" hidden="1" customHeight="1">
      <c r="A32" s="69">
        <v>15</v>
      </c>
      <c r="B32" s="70" t="s">
        <v>28</v>
      </c>
      <c r="C32" s="78" t="s">
        <v>122</v>
      </c>
      <c r="D32" s="70" t="s">
        <v>53</v>
      </c>
      <c r="E32" s="80">
        <v>65.099999999999994</v>
      </c>
      <c r="F32" s="80">
        <f>SUM(E32/1000)</f>
        <v>6.5099999999999991E-2</v>
      </c>
      <c r="G32" s="80">
        <v>3758.28</v>
      </c>
      <c r="H32" s="81">
        <f t="shared" si="4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customHeight="1">
      <c r="A33" s="69">
        <v>10</v>
      </c>
      <c r="B33" s="70" t="s">
        <v>161</v>
      </c>
      <c r="C33" s="78" t="s">
        <v>30</v>
      </c>
      <c r="D33" s="70" t="s">
        <v>62</v>
      </c>
      <c r="E33" s="88">
        <f>1/6</f>
        <v>0.16666666666666666</v>
      </c>
      <c r="F33" s="80">
        <f>155/6</f>
        <v>25.833333333333332</v>
      </c>
      <c r="G33" s="80">
        <v>70.540000000000006</v>
      </c>
      <c r="H33" s="81">
        <f t="shared" si="4"/>
        <v>1.8222833333333333</v>
      </c>
      <c r="I33" s="17">
        <f t="shared" si="5"/>
        <v>303.7138888888889</v>
      </c>
      <c r="J33" s="27"/>
      <c r="K33" s="10"/>
      <c r="L33" s="10"/>
      <c r="M33" s="10"/>
    </row>
    <row r="34" spans="1:13" ht="15.75" hidden="1" customHeight="1">
      <c r="A34" s="69"/>
      <c r="B34" s="70" t="s">
        <v>64</v>
      </c>
      <c r="C34" s="78" t="s">
        <v>32</v>
      </c>
      <c r="D34" s="70" t="s">
        <v>65</v>
      </c>
      <c r="E34" s="79"/>
      <c r="F34" s="80">
        <v>1</v>
      </c>
      <c r="G34" s="80">
        <v>238.07</v>
      </c>
      <c r="H34" s="81">
        <f t="shared" si="4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9"/>
      <c r="B35" s="70" t="s">
        <v>123</v>
      </c>
      <c r="C35" s="78" t="s">
        <v>31</v>
      </c>
      <c r="D35" s="70" t="s">
        <v>65</v>
      </c>
      <c r="E35" s="79"/>
      <c r="F35" s="80">
        <v>1</v>
      </c>
      <c r="G35" s="80">
        <v>1413.96</v>
      </c>
      <c r="H35" s="81">
        <f t="shared" si="4"/>
        <v>1.4139600000000001</v>
      </c>
      <c r="I35" s="17">
        <v>0</v>
      </c>
      <c r="J35" s="27"/>
      <c r="K35" s="10"/>
      <c r="L35" s="10"/>
      <c r="M35" s="10"/>
    </row>
    <row r="36" spans="1:13" ht="15.75" hidden="1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5"/>
      <c r="J36" s="27"/>
      <c r="K36" s="10"/>
      <c r="L36" s="10"/>
      <c r="M36" s="10"/>
    </row>
    <row r="37" spans="1:13" ht="15.75" hidden="1" customHeight="1">
      <c r="A37" s="38">
        <v>6</v>
      </c>
      <c r="B37" s="70" t="s">
        <v>27</v>
      </c>
      <c r="C37" s="78" t="s">
        <v>31</v>
      </c>
      <c r="D37" s="70"/>
      <c r="E37" s="79"/>
      <c r="F37" s="80">
        <v>2</v>
      </c>
      <c r="G37" s="80">
        <v>1900.37</v>
      </c>
      <c r="H37" s="81">
        <f t="shared" ref="H37:H43" si="6">SUM(F37*G37/1000)</f>
        <v>3.8007399999999998</v>
      </c>
      <c r="I37" s="17">
        <f>F37/6*G37</f>
        <v>633.45666666666659</v>
      </c>
      <c r="J37" s="27"/>
      <c r="K37" s="10"/>
      <c r="L37" s="10"/>
      <c r="M37" s="10"/>
    </row>
    <row r="38" spans="1:13" ht="15.75" hidden="1" customHeight="1">
      <c r="A38" s="38">
        <v>7</v>
      </c>
      <c r="B38" s="70" t="s">
        <v>124</v>
      </c>
      <c r="C38" s="78" t="s">
        <v>29</v>
      </c>
      <c r="D38" s="70" t="s">
        <v>162</v>
      </c>
      <c r="E38" s="79">
        <v>65.099999999999994</v>
      </c>
      <c r="F38" s="80">
        <f>E38*24/1000</f>
        <v>1.5623999999999998</v>
      </c>
      <c r="G38" s="80">
        <v>2616.4899999999998</v>
      </c>
      <c r="H38" s="81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70" t="s">
        <v>125</v>
      </c>
      <c r="C39" s="78" t="s">
        <v>126</v>
      </c>
      <c r="D39" s="70" t="s">
        <v>65</v>
      </c>
      <c r="E39" s="79"/>
      <c r="F39" s="80">
        <v>13</v>
      </c>
      <c r="G39" s="80">
        <v>226.84</v>
      </c>
      <c r="H39" s="81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hidden="1" customHeight="1">
      <c r="A40" s="38">
        <v>9</v>
      </c>
      <c r="B40" s="70" t="s">
        <v>163</v>
      </c>
      <c r="C40" s="78" t="s">
        <v>29</v>
      </c>
      <c r="D40" s="70" t="s">
        <v>127</v>
      </c>
      <c r="E40" s="80">
        <v>65.099999999999994</v>
      </c>
      <c r="F40" s="80">
        <f>SUM(E40*155/1000)</f>
        <v>10.0905</v>
      </c>
      <c r="G40" s="80">
        <v>436.45</v>
      </c>
      <c r="H40" s="81">
        <f t="shared" si="6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hidden="1" customHeight="1">
      <c r="A41" s="38">
        <v>10</v>
      </c>
      <c r="B41" s="70" t="s">
        <v>80</v>
      </c>
      <c r="C41" s="78" t="s">
        <v>122</v>
      </c>
      <c r="D41" s="70" t="s">
        <v>128</v>
      </c>
      <c r="E41" s="80">
        <v>65.099999999999994</v>
      </c>
      <c r="F41" s="80">
        <f>SUM(E41*24/1000)</f>
        <v>1.5623999999999998</v>
      </c>
      <c r="G41" s="80">
        <v>7221.21</v>
      </c>
      <c r="H41" s="81">
        <f t="shared" si="6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11</v>
      </c>
      <c r="B42" s="70" t="s">
        <v>129</v>
      </c>
      <c r="C42" s="78" t="s">
        <v>122</v>
      </c>
      <c r="D42" s="70" t="s">
        <v>164</v>
      </c>
      <c r="E42" s="80">
        <v>65.099999999999994</v>
      </c>
      <c r="F42" s="80">
        <f>SUM(E42*18/1000)</f>
        <v>1.1718</v>
      </c>
      <c r="G42" s="80">
        <v>533.45000000000005</v>
      </c>
      <c r="H42" s="81">
        <f t="shared" si="6"/>
        <v>0.62509671</v>
      </c>
      <c r="I42" s="17">
        <f>F42/6*G42</f>
        <v>104.18278500000001</v>
      </c>
      <c r="J42" s="27"/>
      <c r="K42" s="10"/>
      <c r="L42" s="10"/>
      <c r="M42" s="10"/>
    </row>
    <row r="43" spans="1:13" ht="15.75" hidden="1" customHeight="1">
      <c r="A43" s="38">
        <v>12</v>
      </c>
      <c r="B43" s="70" t="s">
        <v>66</v>
      </c>
      <c r="C43" s="78" t="s">
        <v>32</v>
      </c>
      <c r="D43" s="70"/>
      <c r="E43" s="79"/>
      <c r="F43" s="80">
        <v>0.4</v>
      </c>
      <c r="G43" s="80">
        <v>992.97</v>
      </c>
      <c r="H43" s="81">
        <f t="shared" si="6"/>
        <v>0.39718800000000004</v>
      </c>
      <c r="I43" s="17">
        <f>F43/6*G43</f>
        <v>66.198000000000008</v>
      </c>
      <c r="J43" s="27"/>
      <c r="K43" s="10"/>
      <c r="L43" s="10"/>
      <c r="M43" s="10"/>
    </row>
    <row r="44" spans="1:13" ht="15.75" customHeight="1">
      <c r="A44" s="155" t="s">
        <v>165</v>
      </c>
      <c r="B44" s="156"/>
      <c r="C44" s="156"/>
      <c r="D44" s="156"/>
      <c r="E44" s="156"/>
      <c r="F44" s="156"/>
      <c r="G44" s="156"/>
      <c r="H44" s="156"/>
      <c r="I44" s="157"/>
      <c r="J44" s="27"/>
      <c r="K44" s="10"/>
      <c r="L44" s="10"/>
      <c r="M44" s="10"/>
    </row>
    <row r="45" spans="1:13" ht="15.75" customHeight="1">
      <c r="A45" s="47">
        <v>11</v>
      </c>
      <c r="B45" s="70" t="s">
        <v>130</v>
      </c>
      <c r="C45" s="78" t="s">
        <v>122</v>
      </c>
      <c r="D45" s="70" t="s">
        <v>41</v>
      </c>
      <c r="E45" s="79">
        <v>1060.4000000000001</v>
      </c>
      <c r="F45" s="80">
        <f>SUM(E45*2/1000)</f>
        <v>2.1208</v>
      </c>
      <c r="G45" s="17">
        <v>1283.46</v>
      </c>
      <c r="H45" s="81">
        <f t="shared" ref="H45:H54" si="7">SUM(F45*G45/1000)</f>
        <v>2.721961968</v>
      </c>
      <c r="I45" s="17">
        <f t="shared" ref="I45:I47" si="8">F45/2*G45</f>
        <v>1360.980984</v>
      </c>
      <c r="J45" s="27"/>
      <c r="K45" s="10"/>
      <c r="L45" s="10"/>
      <c r="M45" s="10"/>
    </row>
    <row r="46" spans="1:13" ht="15.75" customHeight="1">
      <c r="A46" s="47">
        <v>12</v>
      </c>
      <c r="B46" s="70" t="s">
        <v>35</v>
      </c>
      <c r="C46" s="78" t="s">
        <v>122</v>
      </c>
      <c r="D46" s="70" t="s">
        <v>41</v>
      </c>
      <c r="E46" s="79">
        <v>1251.6199999999999</v>
      </c>
      <c r="F46" s="80">
        <f>SUM(E46*2/1000)</f>
        <v>2.5032399999999999</v>
      </c>
      <c r="G46" s="17">
        <v>1712.28</v>
      </c>
      <c r="H46" s="81">
        <f t="shared" si="7"/>
        <v>4.2862477871999998</v>
      </c>
      <c r="I46" s="17">
        <f t="shared" si="8"/>
        <v>2143.1238936</v>
      </c>
      <c r="J46" s="27"/>
      <c r="K46" s="10"/>
      <c r="L46" s="10"/>
      <c r="M46" s="10"/>
    </row>
    <row r="47" spans="1:13" ht="15.75" customHeight="1">
      <c r="A47" s="47">
        <v>13</v>
      </c>
      <c r="B47" s="70" t="s">
        <v>36</v>
      </c>
      <c r="C47" s="78" t="s">
        <v>122</v>
      </c>
      <c r="D47" s="70" t="s">
        <v>41</v>
      </c>
      <c r="E47" s="79">
        <v>1295.68</v>
      </c>
      <c r="F47" s="80">
        <f>SUM(E47*2/1000)</f>
        <v>2.5913600000000003</v>
      </c>
      <c r="G47" s="17">
        <v>1179.73</v>
      </c>
      <c r="H47" s="81">
        <f t="shared" si="7"/>
        <v>3.0571051328000003</v>
      </c>
      <c r="I47" s="17">
        <f t="shared" si="8"/>
        <v>1528.5525664000002</v>
      </c>
      <c r="J47" s="27"/>
      <c r="K47" s="10"/>
      <c r="L47" s="10"/>
      <c r="M47" s="10"/>
    </row>
    <row r="48" spans="1:13" ht="15.75" customHeight="1">
      <c r="A48" s="47">
        <v>14</v>
      </c>
      <c r="B48" s="70" t="s">
        <v>33</v>
      </c>
      <c r="C48" s="78" t="s">
        <v>34</v>
      </c>
      <c r="D48" s="70" t="s">
        <v>41</v>
      </c>
      <c r="E48" s="79">
        <v>85.84</v>
      </c>
      <c r="F48" s="80">
        <f>E48*2/100</f>
        <v>1.7168000000000001</v>
      </c>
      <c r="G48" s="17">
        <v>90.61</v>
      </c>
      <c r="H48" s="81">
        <f t="shared" si="7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customHeight="1">
      <c r="A49" s="47">
        <v>15</v>
      </c>
      <c r="B49" s="70" t="s">
        <v>57</v>
      </c>
      <c r="C49" s="78" t="s">
        <v>122</v>
      </c>
      <c r="D49" s="70" t="s">
        <v>166</v>
      </c>
      <c r="E49" s="79">
        <v>2549.5</v>
      </c>
      <c r="F49" s="80">
        <f>SUM(E49*5/1000)</f>
        <v>12.7475</v>
      </c>
      <c r="G49" s="17">
        <v>1711.28</v>
      </c>
      <c r="H49" s="81">
        <f t="shared" si="7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customHeight="1">
      <c r="A50" s="47">
        <v>16</v>
      </c>
      <c r="B50" s="70" t="s">
        <v>131</v>
      </c>
      <c r="C50" s="78" t="s">
        <v>122</v>
      </c>
      <c r="D50" s="70" t="s">
        <v>41</v>
      </c>
      <c r="E50" s="79">
        <v>2549.5</v>
      </c>
      <c r="F50" s="80">
        <f>SUM(E50*2/1000)</f>
        <v>5.0990000000000002</v>
      </c>
      <c r="G50" s="17">
        <v>1510.06</v>
      </c>
      <c r="H50" s="81">
        <f t="shared" si="7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customHeight="1">
      <c r="A51" s="47">
        <v>17</v>
      </c>
      <c r="B51" s="70" t="s">
        <v>132</v>
      </c>
      <c r="C51" s="78" t="s">
        <v>37</v>
      </c>
      <c r="D51" s="70" t="s">
        <v>41</v>
      </c>
      <c r="E51" s="79">
        <v>16</v>
      </c>
      <c r="F51" s="80">
        <f>SUM(E51*2/100)</f>
        <v>0.32</v>
      </c>
      <c r="G51" s="17">
        <v>3850.4</v>
      </c>
      <c r="H51" s="81">
        <f t="shared" si="7"/>
        <v>1.2321280000000001</v>
      </c>
      <c r="I51" s="17">
        <f t="shared" ref="I51:I52" si="9">F51/2*G51</f>
        <v>616.06400000000008</v>
      </c>
      <c r="J51" s="27"/>
      <c r="K51" s="10"/>
    </row>
    <row r="52" spans="1:14" ht="15.75" customHeight="1">
      <c r="A52" s="47">
        <v>18</v>
      </c>
      <c r="B52" s="70" t="s">
        <v>38</v>
      </c>
      <c r="C52" s="78" t="s">
        <v>39</v>
      </c>
      <c r="D52" s="70" t="s">
        <v>41</v>
      </c>
      <c r="E52" s="79">
        <v>1</v>
      </c>
      <c r="F52" s="80">
        <v>0.02</v>
      </c>
      <c r="G52" s="17">
        <v>7033.13</v>
      </c>
      <c r="H52" s="81">
        <f t="shared" si="7"/>
        <v>0.1406626</v>
      </c>
      <c r="I52" s="17">
        <f t="shared" si="9"/>
        <v>70.331299999999999</v>
      </c>
      <c r="J52" s="77"/>
    </row>
    <row r="53" spans="1:14" ht="15.75" customHeight="1">
      <c r="A53" s="47">
        <v>19</v>
      </c>
      <c r="B53" s="70" t="s">
        <v>133</v>
      </c>
      <c r="C53" s="78" t="s">
        <v>109</v>
      </c>
      <c r="D53" s="70" t="s">
        <v>67</v>
      </c>
      <c r="E53" s="79">
        <v>64</v>
      </c>
      <c r="F53" s="80">
        <f>E53*3</f>
        <v>192</v>
      </c>
      <c r="G53" s="17">
        <v>175.6</v>
      </c>
      <c r="H53" s="81">
        <f t="shared" si="7"/>
        <v>33.715199999999996</v>
      </c>
      <c r="I53" s="17">
        <f>E53*G53</f>
        <v>11238.4</v>
      </c>
      <c r="J53" s="77"/>
    </row>
    <row r="54" spans="1:14" ht="15.75" customHeight="1">
      <c r="A54" s="47">
        <v>20</v>
      </c>
      <c r="B54" s="70" t="s">
        <v>40</v>
      </c>
      <c r="C54" s="78" t="s">
        <v>109</v>
      </c>
      <c r="D54" s="70" t="s">
        <v>67</v>
      </c>
      <c r="E54" s="79">
        <v>128</v>
      </c>
      <c r="F54" s="80">
        <f>SUM(E54)*3</f>
        <v>384</v>
      </c>
      <c r="G54" s="17">
        <v>81.73</v>
      </c>
      <c r="H54" s="81">
        <f t="shared" si="7"/>
        <v>31.384319999999999</v>
      </c>
      <c r="I54" s="17">
        <f>E54*G54</f>
        <v>10461.44</v>
      </c>
      <c r="J54" s="77"/>
    </row>
    <row r="55" spans="1:14" ht="15.75" customHeight="1">
      <c r="A55" s="146" t="s">
        <v>139</v>
      </c>
      <c r="B55" s="147"/>
      <c r="C55" s="147"/>
      <c r="D55" s="147"/>
      <c r="E55" s="147"/>
      <c r="F55" s="147"/>
      <c r="G55" s="147"/>
      <c r="H55" s="147"/>
      <c r="I55" s="148"/>
      <c r="J55" s="77"/>
    </row>
    <row r="56" spans="1:14" ht="15.75" hidden="1" customHeight="1">
      <c r="A56" s="106"/>
      <c r="B56" s="54" t="s">
        <v>42</v>
      </c>
      <c r="C56" s="21"/>
      <c r="D56" s="66"/>
      <c r="E56" s="16"/>
      <c r="F56" s="16"/>
      <c r="G56" s="31"/>
      <c r="H56" s="31"/>
      <c r="I56" s="65"/>
      <c r="J56" s="77"/>
    </row>
    <row r="57" spans="1:14" ht="31.5" hidden="1" customHeight="1">
      <c r="A57" s="47">
        <v>13</v>
      </c>
      <c r="B57" s="70" t="s">
        <v>134</v>
      </c>
      <c r="C57" s="78" t="s">
        <v>96</v>
      </c>
      <c r="D57" s="70" t="s">
        <v>135</v>
      </c>
      <c r="E57" s="79">
        <v>8</v>
      </c>
      <c r="F57" s="80">
        <f>SUM(E57*6/100)</f>
        <v>0.48</v>
      </c>
      <c r="G57" s="17">
        <v>2306.62</v>
      </c>
      <c r="H57" s="81">
        <f>SUM(F57*G57/1000)</f>
        <v>1.1071776</v>
      </c>
      <c r="I57" s="17">
        <f>F57/6*G57</f>
        <v>184.52959999999999</v>
      </c>
      <c r="J57" s="77"/>
    </row>
    <row r="58" spans="1:14" ht="15.75" hidden="1" customHeight="1">
      <c r="A58" s="47">
        <v>9</v>
      </c>
      <c r="B58" s="90" t="s">
        <v>88</v>
      </c>
      <c r="C58" s="89" t="s">
        <v>31</v>
      </c>
      <c r="D58" s="90" t="s">
        <v>65</v>
      </c>
      <c r="E58" s="91"/>
      <c r="F58" s="92">
        <v>1</v>
      </c>
      <c r="G58" s="17">
        <v>1501</v>
      </c>
      <c r="H58" s="81">
        <f>SUM(F58*G58/1000)</f>
        <v>1.5009999999999999</v>
      </c>
      <c r="I58" s="17">
        <f>G58*3</f>
        <v>4503</v>
      </c>
      <c r="J58" s="77"/>
    </row>
    <row r="59" spans="1:14" ht="15.75" hidden="1" customHeight="1">
      <c r="A59" s="47"/>
      <c r="B59" s="73" t="s">
        <v>43</v>
      </c>
      <c r="C59" s="39"/>
      <c r="D59" s="39"/>
      <c r="E59" s="16"/>
      <c r="F59" s="16"/>
      <c r="G59" s="40"/>
      <c r="H59" s="40"/>
      <c r="I59" s="65"/>
      <c r="J59" s="77"/>
      <c r="L59" s="24"/>
      <c r="M59" s="25"/>
      <c r="N59" s="26"/>
    </row>
    <row r="60" spans="1:14" ht="15.75" hidden="1" customHeight="1">
      <c r="A60" s="47">
        <v>29</v>
      </c>
      <c r="B60" s="90" t="s">
        <v>44</v>
      </c>
      <c r="C60" s="89" t="s">
        <v>52</v>
      </c>
      <c r="D60" s="90" t="s">
        <v>53</v>
      </c>
      <c r="E60" s="91">
        <v>7.4</v>
      </c>
      <c r="F60" s="17">
        <f>SUM(E60/100)</f>
        <v>7.400000000000001E-2</v>
      </c>
      <c r="G60" s="17">
        <v>987.51</v>
      </c>
      <c r="H60" s="93">
        <f>F60*G60/1000</f>
        <v>7.3075740000000014E-2</v>
      </c>
      <c r="I60" s="17">
        <v>0</v>
      </c>
      <c r="J60" s="77"/>
      <c r="L60" s="24"/>
      <c r="M60" s="25"/>
      <c r="N60" s="26"/>
    </row>
    <row r="61" spans="1:14" ht="15.75" customHeight="1">
      <c r="A61" s="47"/>
      <c r="B61" s="73" t="s">
        <v>45</v>
      </c>
      <c r="C61" s="21"/>
      <c r="D61" s="67"/>
      <c r="E61" s="16"/>
      <c r="F61" s="16"/>
      <c r="G61" s="31"/>
      <c r="H61" s="31"/>
      <c r="I61" s="65"/>
      <c r="J61" s="77"/>
      <c r="L61" s="24"/>
      <c r="M61" s="25"/>
      <c r="N61" s="26"/>
    </row>
    <row r="62" spans="1:14" ht="15.75" hidden="1" customHeight="1">
      <c r="A62" s="47">
        <v>9</v>
      </c>
      <c r="B62" s="19" t="s">
        <v>46</v>
      </c>
      <c r="C62" s="21" t="s">
        <v>109</v>
      </c>
      <c r="D62" s="19" t="s">
        <v>65</v>
      </c>
      <c r="E62" s="23">
        <v>1</v>
      </c>
      <c r="F62" s="17">
        <f>SUM(E62)</f>
        <v>1</v>
      </c>
      <c r="G62" s="17">
        <v>276.74</v>
      </c>
      <c r="H62" s="82">
        <f t="shared" ref="H62:H70" si="10">SUM(F62*G62/1000)</f>
        <v>0.27673999999999999</v>
      </c>
      <c r="I62" s="17">
        <v>0</v>
      </c>
      <c r="J62" s="77"/>
      <c r="L62" s="24"/>
      <c r="M62" s="25"/>
      <c r="N62" s="26"/>
    </row>
    <row r="63" spans="1:14" ht="15.75" hidden="1" customHeight="1">
      <c r="A63" s="68"/>
      <c r="B63" s="19" t="s">
        <v>47</v>
      </c>
      <c r="C63" s="21" t="s">
        <v>109</v>
      </c>
      <c r="D63" s="19" t="s">
        <v>65</v>
      </c>
      <c r="E63" s="23">
        <v>2</v>
      </c>
      <c r="F63" s="17">
        <f>SUM(E63)</f>
        <v>2</v>
      </c>
      <c r="G63" s="17">
        <v>94.89</v>
      </c>
      <c r="H63" s="82">
        <f t="shared" si="10"/>
        <v>0.18978</v>
      </c>
      <c r="I63" s="17">
        <v>0</v>
      </c>
      <c r="J63" s="77"/>
      <c r="L63" s="24"/>
      <c r="M63" s="25"/>
      <c r="N63" s="26"/>
    </row>
    <row r="64" spans="1:14" ht="15.75" hidden="1" customHeight="1">
      <c r="A64" s="68">
        <v>25</v>
      </c>
      <c r="B64" s="19" t="s">
        <v>48</v>
      </c>
      <c r="C64" s="21" t="s">
        <v>110</v>
      </c>
      <c r="D64" s="19" t="s">
        <v>53</v>
      </c>
      <c r="E64" s="79">
        <v>10052</v>
      </c>
      <c r="F64" s="17">
        <f>SUM(E64/100)</f>
        <v>100.52</v>
      </c>
      <c r="G64" s="17">
        <v>263.99</v>
      </c>
      <c r="H64" s="82">
        <f t="shared" si="10"/>
        <v>26.536274799999997</v>
      </c>
      <c r="I64" s="17">
        <f>F64*G64</f>
        <v>26536.274799999999</v>
      </c>
      <c r="J64" s="77"/>
      <c r="L64" s="24"/>
      <c r="M64" s="25"/>
      <c r="N64" s="26"/>
    </row>
    <row r="65" spans="1:14" ht="15.75" hidden="1" customHeight="1">
      <c r="A65" s="68">
        <v>26</v>
      </c>
      <c r="B65" s="19" t="s">
        <v>49</v>
      </c>
      <c r="C65" s="21" t="s">
        <v>111</v>
      </c>
      <c r="D65" s="19"/>
      <c r="E65" s="79">
        <v>10052</v>
      </c>
      <c r="F65" s="17">
        <f>SUM(E65/1000)</f>
        <v>10.052</v>
      </c>
      <c r="G65" s="17">
        <v>205.57</v>
      </c>
      <c r="H65" s="82">
        <f t="shared" si="10"/>
        <v>2.0663896399999997</v>
      </c>
      <c r="I65" s="17">
        <f t="shared" ref="I65:I68" si="11">F65*G65</f>
        <v>2066.3896399999999</v>
      </c>
      <c r="J65" s="77"/>
      <c r="L65" s="24"/>
      <c r="M65" s="25"/>
      <c r="N65" s="26"/>
    </row>
    <row r="66" spans="1:14" ht="15.75" hidden="1" customHeight="1">
      <c r="A66" s="68">
        <v>27</v>
      </c>
      <c r="B66" s="19" t="s">
        <v>50</v>
      </c>
      <c r="C66" s="21" t="s">
        <v>73</v>
      </c>
      <c r="D66" s="19" t="s">
        <v>53</v>
      </c>
      <c r="E66" s="79">
        <v>2200</v>
      </c>
      <c r="F66" s="17">
        <f>SUM(E66/100)</f>
        <v>22</v>
      </c>
      <c r="G66" s="17">
        <v>2581.5300000000002</v>
      </c>
      <c r="H66" s="82">
        <f t="shared" si="10"/>
        <v>56.793660000000003</v>
      </c>
      <c r="I66" s="17">
        <f t="shared" si="11"/>
        <v>56793.66</v>
      </c>
      <c r="J66" s="77"/>
      <c r="L66" s="24"/>
      <c r="M66" s="25"/>
      <c r="N66" s="26"/>
    </row>
    <row r="67" spans="1:14" ht="15.75" hidden="1" customHeight="1">
      <c r="A67" s="68">
        <v>28</v>
      </c>
      <c r="B67" s="94" t="s">
        <v>112</v>
      </c>
      <c r="C67" s="21" t="s">
        <v>32</v>
      </c>
      <c r="D67" s="19"/>
      <c r="E67" s="79">
        <v>9.4</v>
      </c>
      <c r="F67" s="17">
        <f>SUM(E67)</f>
        <v>9.4</v>
      </c>
      <c r="G67" s="17">
        <v>47.45</v>
      </c>
      <c r="H67" s="82">
        <f t="shared" si="10"/>
        <v>0.44603000000000004</v>
      </c>
      <c r="I67" s="17">
        <f t="shared" si="11"/>
        <v>446.03000000000003</v>
      </c>
      <c r="J67" s="77"/>
      <c r="L67" s="24"/>
      <c r="M67" s="25"/>
      <c r="N67" s="26"/>
    </row>
    <row r="68" spans="1:14" ht="15.75" hidden="1" customHeight="1">
      <c r="A68" s="68">
        <v>29</v>
      </c>
      <c r="B68" s="94" t="s">
        <v>113</v>
      </c>
      <c r="C68" s="21" t="s">
        <v>32</v>
      </c>
      <c r="D68" s="19"/>
      <c r="E68" s="79">
        <v>9.4</v>
      </c>
      <c r="F68" s="17">
        <f>SUM(E68)</f>
        <v>9.4</v>
      </c>
      <c r="G68" s="17">
        <v>44.27</v>
      </c>
      <c r="H68" s="82">
        <f t="shared" si="10"/>
        <v>0.41613800000000001</v>
      </c>
      <c r="I68" s="17">
        <f t="shared" si="11"/>
        <v>416.13800000000003</v>
      </c>
      <c r="J68" s="77"/>
      <c r="L68" s="24"/>
      <c r="M68" s="25"/>
      <c r="N68" s="26"/>
    </row>
    <row r="69" spans="1:14" ht="15.75" customHeight="1">
      <c r="A69" s="68">
        <v>21</v>
      </c>
      <c r="B69" s="19" t="s">
        <v>58</v>
      </c>
      <c r="C69" s="21" t="s">
        <v>59</v>
      </c>
      <c r="D69" s="19" t="s">
        <v>53</v>
      </c>
      <c r="E69" s="23">
        <v>2</v>
      </c>
      <c r="F69" s="17">
        <f>SUM(E69)</f>
        <v>2</v>
      </c>
      <c r="G69" s="17">
        <v>62.07</v>
      </c>
      <c r="H69" s="82">
        <f t="shared" si="10"/>
        <v>0.12414</v>
      </c>
      <c r="I69" s="17">
        <f>G69*2</f>
        <v>124.14</v>
      </c>
      <c r="J69" s="77"/>
      <c r="L69" s="24"/>
      <c r="M69" s="25"/>
      <c r="N69" s="26"/>
    </row>
    <row r="70" spans="1:14" ht="15.75" customHeight="1">
      <c r="A70" s="69">
        <v>22</v>
      </c>
      <c r="B70" s="19" t="s">
        <v>89</v>
      </c>
      <c r="C70" s="31" t="s">
        <v>114</v>
      </c>
      <c r="D70" s="19" t="s">
        <v>65</v>
      </c>
      <c r="E70" s="23">
        <v>2549.5</v>
      </c>
      <c r="F70" s="17">
        <f>SUM(E70*12)</f>
        <v>30594</v>
      </c>
      <c r="G70" s="17">
        <v>2.16</v>
      </c>
      <c r="H70" s="82">
        <f t="shared" si="10"/>
        <v>66.083040000000011</v>
      </c>
      <c r="I70" s="17">
        <f>F70/12*G70</f>
        <v>5506.92</v>
      </c>
      <c r="J70" s="77"/>
      <c r="L70" s="24"/>
      <c r="M70" s="25"/>
      <c r="N70" s="26"/>
    </row>
    <row r="71" spans="1:14" ht="15.75" hidden="1" customHeight="1">
      <c r="A71" s="61"/>
      <c r="B71" s="73" t="s">
        <v>115</v>
      </c>
      <c r="C71" s="73"/>
      <c r="D71" s="73"/>
      <c r="E71" s="73"/>
      <c r="F71" s="73"/>
      <c r="G71" s="73"/>
      <c r="H71" s="73"/>
      <c r="I71" s="23"/>
      <c r="J71" s="77"/>
      <c r="L71" s="24"/>
      <c r="M71" s="25"/>
      <c r="N71" s="26"/>
    </row>
    <row r="72" spans="1:14" ht="15.75" hidden="1" customHeight="1">
      <c r="A72" s="31">
        <v>31</v>
      </c>
      <c r="B72" s="70" t="s">
        <v>116</v>
      </c>
      <c r="C72" s="21"/>
      <c r="D72" s="19"/>
      <c r="E72" s="96"/>
      <c r="F72" s="17">
        <v>1</v>
      </c>
      <c r="G72" s="17">
        <v>22720</v>
      </c>
      <c r="H72" s="82">
        <f>G72*F72/1000</f>
        <v>22.72</v>
      </c>
      <c r="I72" s="17">
        <f>G72</f>
        <v>22720</v>
      </c>
      <c r="J72" s="77"/>
      <c r="L72" s="24"/>
      <c r="M72" s="25"/>
      <c r="N72" s="26"/>
    </row>
    <row r="73" spans="1:14" ht="15.75" hidden="1" customHeight="1">
      <c r="A73" s="69"/>
      <c r="B73" s="73" t="s">
        <v>68</v>
      </c>
      <c r="C73" s="21"/>
      <c r="D73" s="19"/>
      <c r="E73" s="16"/>
      <c r="F73" s="16"/>
      <c r="G73" s="31"/>
      <c r="H73" s="31"/>
      <c r="I73" s="65"/>
      <c r="J73" s="77"/>
      <c r="L73" s="24"/>
      <c r="M73" s="25"/>
      <c r="N73" s="26"/>
    </row>
    <row r="74" spans="1:14" ht="15.75" hidden="1" customHeight="1">
      <c r="A74" s="69">
        <v>16</v>
      </c>
      <c r="B74" s="19" t="s">
        <v>117</v>
      </c>
      <c r="C74" s="21" t="s">
        <v>118</v>
      </c>
      <c r="D74" s="19" t="s">
        <v>65</v>
      </c>
      <c r="E74" s="23">
        <v>1</v>
      </c>
      <c r="F74" s="17">
        <f>E74</f>
        <v>1</v>
      </c>
      <c r="G74" s="17">
        <v>976.4</v>
      </c>
      <c r="H74" s="82">
        <f t="shared" ref="H74:H76" si="12">SUM(F74*G74/1000)</f>
        <v>0.97639999999999993</v>
      </c>
      <c r="I74" s="17">
        <v>0</v>
      </c>
      <c r="J74" s="77"/>
      <c r="L74" s="24"/>
      <c r="M74" s="25"/>
      <c r="N74" s="26"/>
    </row>
    <row r="75" spans="1:14" ht="15.75" hidden="1" customHeight="1">
      <c r="A75" s="69"/>
      <c r="B75" s="19" t="s">
        <v>119</v>
      </c>
      <c r="C75" s="21" t="s">
        <v>120</v>
      </c>
      <c r="D75" s="19" t="s">
        <v>65</v>
      </c>
      <c r="E75" s="23">
        <v>1</v>
      </c>
      <c r="F75" s="17">
        <v>1</v>
      </c>
      <c r="G75" s="17">
        <v>735</v>
      </c>
      <c r="H75" s="82">
        <f t="shared" si="12"/>
        <v>0.73499999999999999</v>
      </c>
      <c r="I75" s="17">
        <v>0</v>
      </c>
      <c r="J75" s="77"/>
      <c r="L75" s="24"/>
      <c r="M75" s="25"/>
      <c r="N75" s="26"/>
    </row>
    <row r="76" spans="1:14" ht="15.75" hidden="1" customHeight="1">
      <c r="A76" s="69">
        <v>11</v>
      </c>
      <c r="B76" s="19" t="s">
        <v>69</v>
      </c>
      <c r="C76" s="21" t="s">
        <v>71</v>
      </c>
      <c r="D76" s="19" t="s">
        <v>65</v>
      </c>
      <c r="E76" s="23">
        <v>3</v>
      </c>
      <c r="F76" s="17">
        <v>0.3</v>
      </c>
      <c r="G76" s="17">
        <v>624.16999999999996</v>
      </c>
      <c r="H76" s="82">
        <f t="shared" si="12"/>
        <v>0.18725099999999997</v>
      </c>
      <c r="I76" s="17">
        <f>G76*0.2</f>
        <v>124.834</v>
      </c>
      <c r="J76" s="77"/>
      <c r="L76" s="24"/>
      <c r="M76" s="25"/>
      <c r="N76" s="26"/>
    </row>
    <row r="77" spans="1:14" ht="15.75" hidden="1" customHeight="1">
      <c r="A77" s="69"/>
      <c r="B77" s="19" t="s">
        <v>70</v>
      </c>
      <c r="C77" s="21" t="s">
        <v>30</v>
      </c>
      <c r="D77" s="19" t="s">
        <v>65</v>
      </c>
      <c r="E77" s="23">
        <v>1</v>
      </c>
      <c r="F77" s="95">
        <v>1</v>
      </c>
      <c r="G77" s="17">
        <v>1061.4100000000001</v>
      </c>
      <c r="H77" s="82">
        <f>F77*G77/1000</f>
        <v>1.0614100000000002</v>
      </c>
      <c r="I77" s="17">
        <v>0</v>
      </c>
      <c r="J77" s="77"/>
      <c r="L77" s="24"/>
      <c r="M77" s="25"/>
      <c r="N77" s="26"/>
    </row>
    <row r="78" spans="1:14" ht="15.75" hidden="1" customHeight="1">
      <c r="A78" s="69"/>
      <c r="B78" s="19" t="s">
        <v>90</v>
      </c>
      <c r="C78" s="21" t="s">
        <v>30</v>
      </c>
      <c r="D78" s="19" t="s">
        <v>65</v>
      </c>
      <c r="E78" s="23">
        <v>1</v>
      </c>
      <c r="F78" s="17">
        <v>1</v>
      </c>
      <c r="G78" s="17">
        <v>446.12</v>
      </c>
      <c r="H78" s="82">
        <f>G78*F78/1000</f>
        <v>0.44612000000000002</v>
      </c>
      <c r="I78" s="17">
        <v>0</v>
      </c>
      <c r="J78" s="77"/>
      <c r="L78" s="24"/>
      <c r="M78" s="25"/>
      <c r="N78" s="26"/>
    </row>
    <row r="79" spans="1:14" ht="15.75" hidden="1" customHeight="1">
      <c r="A79" s="69"/>
      <c r="B79" s="56" t="s">
        <v>72</v>
      </c>
      <c r="C79" s="44"/>
      <c r="D79" s="43"/>
      <c r="E79" s="23"/>
      <c r="F79" s="23"/>
      <c r="G79" s="42"/>
      <c r="H79" s="42"/>
      <c r="I79" s="65"/>
      <c r="J79" s="77"/>
      <c r="L79" s="24"/>
      <c r="M79" s="25"/>
      <c r="N79" s="26"/>
    </row>
    <row r="80" spans="1:14" ht="15.75" hidden="1" customHeight="1">
      <c r="A80" s="69"/>
      <c r="B80" s="57" t="s">
        <v>121</v>
      </c>
      <c r="C80" s="21" t="s">
        <v>73</v>
      </c>
      <c r="D80" s="19"/>
      <c r="E80" s="23"/>
      <c r="F80" s="17">
        <v>1</v>
      </c>
      <c r="G80" s="17">
        <v>3433.68</v>
      </c>
      <c r="H80" s="82">
        <f t="shared" ref="H80" si="13">SUM(F80*G80/1000)</f>
        <v>3.4336799999999998</v>
      </c>
      <c r="I80" s="17">
        <v>0</v>
      </c>
      <c r="J80" s="77"/>
      <c r="L80" s="24"/>
      <c r="M80" s="25"/>
      <c r="N80" s="26"/>
    </row>
    <row r="81" spans="1:14" ht="15.75" customHeight="1">
      <c r="A81" s="152" t="s">
        <v>167</v>
      </c>
      <c r="B81" s="153"/>
      <c r="C81" s="153"/>
      <c r="D81" s="153"/>
      <c r="E81" s="153"/>
      <c r="F81" s="153"/>
      <c r="G81" s="153"/>
      <c r="H81" s="153"/>
      <c r="I81" s="154"/>
      <c r="J81" s="77"/>
      <c r="L81" s="24"/>
      <c r="M81" s="25"/>
      <c r="N81" s="26"/>
    </row>
    <row r="82" spans="1:14" ht="15.75" customHeight="1">
      <c r="A82" s="69">
        <v>23</v>
      </c>
      <c r="B82" s="70" t="s">
        <v>136</v>
      </c>
      <c r="C82" s="21" t="s">
        <v>55</v>
      </c>
      <c r="D82" s="19" t="s">
        <v>56</v>
      </c>
      <c r="E82" s="17">
        <v>2549.5</v>
      </c>
      <c r="F82" s="17">
        <f>SUM(E82*12)</f>
        <v>30594</v>
      </c>
      <c r="G82" s="17">
        <v>2.95</v>
      </c>
      <c r="H82" s="82">
        <f>SUM(F82*G82/1000)</f>
        <v>90.252300000000005</v>
      </c>
      <c r="I82" s="17">
        <f>F82/12*G82</f>
        <v>7521.0250000000005</v>
      </c>
      <c r="J82" s="77"/>
      <c r="L82" s="24"/>
      <c r="M82" s="25"/>
      <c r="N82" s="26"/>
    </row>
    <row r="83" spans="1:14" ht="31.5" customHeight="1">
      <c r="A83" s="31">
        <v>24</v>
      </c>
      <c r="B83" s="19" t="s">
        <v>74</v>
      </c>
      <c r="C83" s="21"/>
      <c r="D83" s="19" t="s">
        <v>56</v>
      </c>
      <c r="E83" s="79">
        <v>2549.5</v>
      </c>
      <c r="F83" s="17">
        <f>E83*12</f>
        <v>30594</v>
      </c>
      <c r="G83" s="17">
        <v>3.05</v>
      </c>
      <c r="H83" s="82">
        <f>F83*G83/1000</f>
        <v>93.311700000000002</v>
      </c>
      <c r="I83" s="17">
        <f>F83/12*G83</f>
        <v>7775.9749999999995</v>
      </c>
      <c r="J83" s="77"/>
      <c r="L83" s="24"/>
      <c r="M83" s="25"/>
      <c r="N83" s="26"/>
    </row>
    <row r="84" spans="1:14" ht="15.75" customHeight="1">
      <c r="A84" s="61"/>
      <c r="B84" s="45" t="s">
        <v>77</v>
      </c>
      <c r="C84" s="47"/>
      <c r="D84" s="20"/>
      <c r="E84" s="20"/>
      <c r="F84" s="20"/>
      <c r="G84" s="23"/>
      <c r="H84" s="23"/>
      <c r="I84" s="35">
        <f>SUM(I16+I17+I18+I20+I21+I26+I27+I30+I31+I33+I45+I46+I47+I48+I49+I50+I51+I52+I53+I54+I69+I70+I82+I83)</f>
        <v>78041.342983555558</v>
      </c>
      <c r="J84" s="77"/>
      <c r="L84" s="24"/>
      <c r="M84" s="25"/>
      <c r="N84" s="26"/>
    </row>
    <row r="85" spans="1:14" ht="15.75" customHeight="1">
      <c r="A85" s="149" t="s">
        <v>60</v>
      </c>
      <c r="B85" s="150"/>
      <c r="C85" s="150"/>
      <c r="D85" s="150"/>
      <c r="E85" s="150"/>
      <c r="F85" s="150"/>
      <c r="G85" s="150"/>
      <c r="H85" s="150"/>
      <c r="I85" s="151"/>
      <c r="J85" s="77"/>
      <c r="L85" s="24"/>
      <c r="M85" s="25"/>
      <c r="N85" s="26"/>
    </row>
    <row r="86" spans="1:14" ht="15.75" customHeight="1">
      <c r="A86" s="69">
        <v>25</v>
      </c>
      <c r="B86" s="100" t="s">
        <v>178</v>
      </c>
      <c r="C86" s="99" t="s">
        <v>93</v>
      </c>
      <c r="D86" s="19"/>
      <c r="E86" s="23"/>
      <c r="F86" s="17">
        <f>(3+3+10+10+15+15+10+20+3+15+10+3+10)/3</f>
        <v>42.333333333333336</v>
      </c>
      <c r="G86" s="17">
        <v>1120.8900000000001</v>
      </c>
      <c r="H86" s="82">
        <f t="shared" ref="H86" si="14">G86*F86/1000</f>
        <v>47.451010000000011</v>
      </c>
      <c r="I86" s="102">
        <f>G86*((3+10+10)/3)</f>
        <v>8593.4900000000016</v>
      </c>
      <c r="J86" s="77"/>
      <c r="L86" s="24"/>
      <c r="M86" s="25"/>
      <c r="N86" s="26"/>
    </row>
    <row r="87" spans="1:14" ht="31.5" customHeight="1">
      <c r="A87" s="69">
        <v>26</v>
      </c>
      <c r="B87" s="64" t="s">
        <v>181</v>
      </c>
      <c r="C87" s="97" t="s">
        <v>78</v>
      </c>
      <c r="D87" s="19"/>
      <c r="E87" s="23"/>
      <c r="F87" s="17">
        <v>8</v>
      </c>
      <c r="G87" s="17">
        <v>1272</v>
      </c>
      <c r="H87" s="82">
        <f>G87*F87/1000</f>
        <v>10.176</v>
      </c>
      <c r="I87" s="102">
        <f>G87*3</f>
        <v>3816</v>
      </c>
      <c r="J87" s="77"/>
      <c r="L87" s="24"/>
      <c r="M87" s="25"/>
      <c r="N87" s="26"/>
    </row>
    <row r="88" spans="1:14" ht="15.75" customHeight="1">
      <c r="A88" s="69">
        <v>27</v>
      </c>
      <c r="B88" s="123" t="s">
        <v>154</v>
      </c>
      <c r="C88" s="31" t="s">
        <v>109</v>
      </c>
      <c r="D88" s="57"/>
      <c r="E88" s="17"/>
      <c r="F88" s="17">
        <v>3</v>
      </c>
      <c r="G88" s="17">
        <v>470</v>
      </c>
      <c r="H88" s="82">
        <f t="shared" ref="H88:H90" si="15">G88*F88/1000</f>
        <v>1.41</v>
      </c>
      <c r="I88" s="102">
        <f>G88*2</f>
        <v>940</v>
      </c>
      <c r="J88" s="77"/>
      <c r="L88" s="24"/>
      <c r="M88" s="25"/>
      <c r="N88" s="26"/>
    </row>
    <row r="89" spans="1:14" ht="31.5" customHeight="1">
      <c r="A89" s="69">
        <v>28</v>
      </c>
      <c r="B89" s="64" t="s">
        <v>200</v>
      </c>
      <c r="C89" s="97" t="s">
        <v>201</v>
      </c>
      <c r="D89" s="19"/>
      <c r="E89" s="23"/>
      <c r="F89" s="17">
        <v>2</v>
      </c>
      <c r="G89" s="17">
        <v>54.17</v>
      </c>
      <c r="H89" s="82">
        <f t="shared" si="15"/>
        <v>0.10834000000000001</v>
      </c>
      <c r="I89" s="102">
        <f>G89*2</f>
        <v>108.34</v>
      </c>
      <c r="J89" s="77"/>
      <c r="L89" s="24"/>
      <c r="M89" s="25"/>
      <c r="N89" s="26"/>
    </row>
    <row r="90" spans="1:14" ht="31.5" customHeight="1">
      <c r="A90" s="69">
        <v>29</v>
      </c>
      <c r="B90" s="64" t="s">
        <v>76</v>
      </c>
      <c r="C90" s="97" t="s">
        <v>109</v>
      </c>
      <c r="D90" s="19"/>
      <c r="E90" s="23"/>
      <c r="F90" s="17">
        <v>1</v>
      </c>
      <c r="G90" s="17">
        <v>83.36</v>
      </c>
      <c r="H90" s="82">
        <f t="shared" si="15"/>
        <v>8.3360000000000004E-2</v>
      </c>
      <c r="I90" s="102">
        <f>G90</f>
        <v>83.36</v>
      </c>
      <c r="J90" s="77"/>
      <c r="L90" s="24"/>
      <c r="M90" s="25"/>
      <c r="N90" s="26"/>
    </row>
    <row r="91" spans="1:14" ht="15.75" customHeight="1">
      <c r="A91" s="31"/>
      <c r="B91" s="52" t="s">
        <v>51</v>
      </c>
      <c r="C91" s="48"/>
      <c r="D91" s="62"/>
      <c r="E91" s="48">
        <v>1</v>
      </c>
      <c r="F91" s="48"/>
      <c r="G91" s="48"/>
      <c r="H91" s="48"/>
      <c r="I91" s="35">
        <f>SUM(I86:I90)</f>
        <v>13541.190000000002</v>
      </c>
      <c r="J91" s="77"/>
      <c r="L91" s="24"/>
      <c r="M91" s="25"/>
      <c r="N91" s="26"/>
    </row>
    <row r="92" spans="1:14" ht="15.75" customHeight="1">
      <c r="A92" s="31"/>
      <c r="B92" s="57" t="s">
        <v>75</v>
      </c>
      <c r="C92" s="20"/>
      <c r="D92" s="20"/>
      <c r="E92" s="49"/>
      <c r="F92" s="49"/>
      <c r="G92" s="50"/>
      <c r="H92" s="50"/>
      <c r="I92" s="22">
        <v>0</v>
      </c>
      <c r="J92" s="77"/>
      <c r="L92" s="24"/>
      <c r="M92" s="25"/>
      <c r="N92" s="26"/>
    </row>
    <row r="93" spans="1:14" ht="15.75" customHeight="1">
      <c r="A93" s="63"/>
      <c r="B93" s="53" t="s">
        <v>172</v>
      </c>
      <c r="C93" s="39"/>
      <c r="D93" s="39"/>
      <c r="E93" s="39"/>
      <c r="F93" s="39"/>
      <c r="G93" s="39"/>
      <c r="H93" s="39"/>
      <c r="I93" s="51">
        <f>I84+I91</f>
        <v>91582.53298355556</v>
      </c>
      <c r="J93" s="77"/>
      <c r="L93" s="24"/>
    </row>
    <row r="94" spans="1:14" ht="15.75">
      <c r="A94" s="135" t="s">
        <v>219</v>
      </c>
      <c r="B94" s="135"/>
      <c r="C94" s="135"/>
      <c r="D94" s="135"/>
      <c r="E94" s="135"/>
      <c r="F94" s="135"/>
      <c r="G94" s="135"/>
      <c r="H94" s="135"/>
      <c r="I94" s="135"/>
    </row>
    <row r="95" spans="1:14" ht="15.75">
      <c r="A95" s="12"/>
      <c r="B95" s="145" t="s">
        <v>220</v>
      </c>
      <c r="C95" s="145"/>
      <c r="D95" s="145"/>
      <c r="E95" s="145"/>
      <c r="F95" s="145"/>
      <c r="G95" s="145"/>
      <c r="H95" s="104"/>
      <c r="I95" s="4"/>
    </row>
    <row r="96" spans="1:14" ht="15.75">
      <c r="A96" s="72"/>
      <c r="B96" s="138" t="s">
        <v>6</v>
      </c>
      <c r="C96" s="138"/>
      <c r="D96" s="138"/>
      <c r="E96" s="138"/>
      <c r="F96" s="138"/>
      <c r="G96" s="138"/>
      <c r="H96" s="76"/>
      <c r="I96" s="59"/>
    </row>
    <row r="97" spans="1:22" ht="15.75" customHeight="1">
      <c r="A97" s="60"/>
      <c r="B97" s="60"/>
      <c r="C97" s="60"/>
      <c r="D97" s="60"/>
      <c r="E97" s="60"/>
      <c r="F97" s="60"/>
      <c r="G97" s="60"/>
      <c r="H97" s="60"/>
      <c r="I97" s="6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39" t="s">
        <v>7</v>
      </c>
      <c r="B98" s="139"/>
      <c r="C98" s="139"/>
      <c r="D98" s="139"/>
      <c r="E98" s="139"/>
      <c r="F98" s="139"/>
      <c r="G98" s="139"/>
      <c r="H98" s="139"/>
      <c r="I98" s="139"/>
      <c r="J98" s="29"/>
      <c r="K98" s="29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>
      <c r="A99" s="139" t="s">
        <v>8</v>
      </c>
      <c r="B99" s="139"/>
      <c r="C99" s="139"/>
      <c r="D99" s="139"/>
      <c r="E99" s="139"/>
      <c r="F99" s="139"/>
      <c r="G99" s="139"/>
      <c r="H99" s="139"/>
      <c r="I99" s="139"/>
      <c r="J99" s="4"/>
      <c r="K99" s="4"/>
      <c r="L99" s="4"/>
      <c r="M99" s="4"/>
      <c r="N99" s="4"/>
      <c r="O99" s="4"/>
      <c r="P99" s="4"/>
      <c r="Q99" s="4"/>
      <c r="S99" s="4"/>
      <c r="T99" s="4"/>
      <c r="U99" s="4"/>
    </row>
    <row r="100" spans="1:22" ht="15.75">
      <c r="A100" s="135" t="s">
        <v>9</v>
      </c>
      <c r="B100" s="135"/>
      <c r="C100" s="135"/>
      <c r="D100" s="135"/>
      <c r="E100" s="135"/>
      <c r="F100" s="135"/>
      <c r="G100" s="135"/>
      <c r="H100" s="135"/>
      <c r="I100" s="135"/>
      <c r="J100" s="6"/>
      <c r="K100" s="6"/>
      <c r="L100" s="6"/>
      <c r="M100" s="6"/>
      <c r="N100" s="6"/>
      <c r="O100" s="6"/>
      <c r="P100" s="6"/>
      <c r="Q100" s="6"/>
      <c r="R100" s="137"/>
      <c r="S100" s="137"/>
      <c r="T100" s="137"/>
      <c r="U100" s="137"/>
    </row>
    <row r="101" spans="1:22" ht="15.75">
      <c r="A101" s="13"/>
      <c r="B101" s="58"/>
      <c r="C101" s="58"/>
      <c r="D101" s="58"/>
      <c r="E101" s="58"/>
      <c r="F101" s="58"/>
      <c r="G101" s="58"/>
      <c r="H101" s="58"/>
      <c r="I101" s="58"/>
    </row>
    <row r="102" spans="1:22" ht="15.75">
      <c r="A102" s="141" t="s">
        <v>10</v>
      </c>
      <c r="B102" s="141"/>
      <c r="C102" s="141"/>
      <c r="D102" s="141"/>
      <c r="E102" s="141"/>
      <c r="F102" s="141"/>
      <c r="G102" s="141"/>
      <c r="H102" s="141"/>
      <c r="I102" s="141"/>
    </row>
    <row r="103" spans="1:22" ht="15.75" customHeight="1">
      <c r="A103" s="5"/>
    </row>
    <row r="104" spans="1:22" ht="15.75">
      <c r="A104" s="135" t="s">
        <v>11</v>
      </c>
      <c r="B104" s="135"/>
      <c r="C104" s="140" t="s">
        <v>92</v>
      </c>
      <c r="D104" s="140"/>
      <c r="E104" s="140"/>
      <c r="F104" s="74"/>
      <c r="I104" s="109"/>
    </row>
    <row r="105" spans="1:22">
      <c r="A105" s="110"/>
      <c r="C105" s="134" t="s">
        <v>12</v>
      </c>
      <c r="D105" s="134"/>
      <c r="E105" s="134"/>
      <c r="F105" s="28"/>
      <c r="I105" s="108" t="s">
        <v>13</v>
      </c>
    </row>
    <row r="106" spans="1:22" ht="15.75">
      <c r="A106" s="29"/>
      <c r="C106" s="14"/>
      <c r="D106" s="14"/>
      <c r="G106" s="14"/>
      <c r="H106" s="14"/>
    </row>
    <row r="107" spans="1:22" ht="15.75" customHeight="1">
      <c r="A107" s="135" t="s">
        <v>14</v>
      </c>
      <c r="B107" s="135"/>
      <c r="C107" s="136"/>
      <c r="D107" s="136"/>
      <c r="E107" s="136"/>
      <c r="F107" s="75"/>
      <c r="I107" s="109"/>
    </row>
    <row r="108" spans="1:22">
      <c r="A108" s="110"/>
      <c r="C108" s="137" t="s">
        <v>12</v>
      </c>
      <c r="D108" s="137"/>
      <c r="E108" s="137"/>
      <c r="F108" s="110"/>
      <c r="I108" s="108" t="s">
        <v>13</v>
      </c>
    </row>
    <row r="109" spans="1:22" ht="15.75">
      <c r="A109" s="5" t="s">
        <v>15</v>
      </c>
    </row>
    <row r="110" spans="1:22">
      <c r="A110" s="132" t="s">
        <v>16</v>
      </c>
      <c r="B110" s="132"/>
      <c r="C110" s="132"/>
      <c r="D110" s="132"/>
      <c r="E110" s="132"/>
      <c r="F110" s="132"/>
      <c r="G110" s="132"/>
      <c r="H110" s="132"/>
      <c r="I110" s="132"/>
    </row>
    <row r="111" spans="1:22" ht="45" customHeight="1">
      <c r="A111" s="133" t="s">
        <v>17</v>
      </c>
      <c r="B111" s="133"/>
      <c r="C111" s="133"/>
      <c r="D111" s="133"/>
      <c r="E111" s="133"/>
      <c r="F111" s="133"/>
      <c r="G111" s="133"/>
      <c r="H111" s="133"/>
      <c r="I111" s="133"/>
    </row>
    <row r="112" spans="1:22" ht="30" customHeight="1">
      <c r="A112" s="133" t="s">
        <v>18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22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15" customHeight="1">
      <c r="A114" s="133" t="s">
        <v>21</v>
      </c>
      <c r="B114" s="133"/>
      <c r="C114" s="133"/>
      <c r="D114" s="133"/>
      <c r="E114" s="133"/>
      <c r="F114" s="133"/>
      <c r="G114" s="133"/>
      <c r="H114" s="133"/>
      <c r="I114" s="133"/>
    </row>
    <row r="116" spans="1:9">
      <c r="A116" s="15"/>
      <c r="B116" s="15"/>
      <c r="C116" s="15"/>
      <c r="D116" s="15"/>
      <c r="E116" s="15"/>
      <c r="F116" s="15"/>
      <c r="G116" s="15"/>
      <c r="H116" s="15"/>
    </row>
  </sheetData>
  <autoFilter ref="I15:I95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4:I94"/>
    <mergeCell ref="B95:G95"/>
    <mergeCell ref="B96:G96"/>
    <mergeCell ref="A98:I98"/>
    <mergeCell ref="A99:I99"/>
    <mergeCell ref="A114:I114"/>
    <mergeCell ref="R100:U100"/>
    <mergeCell ref="A102:I102"/>
    <mergeCell ref="A104:B104"/>
    <mergeCell ref="C104:E104"/>
    <mergeCell ref="C105:E105"/>
    <mergeCell ref="A107:B107"/>
    <mergeCell ref="C107:E107"/>
    <mergeCell ref="A100:I100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2017-11-28T10:32:25Z</cp:lastPrinted>
  <dcterms:created xsi:type="dcterms:W3CDTF">2016-03-25T08:33:47Z</dcterms:created>
  <dcterms:modified xsi:type="dcterms:W3CDTF">2018-03-28T13:14:07Z</dcterms:modified>
</cp:coreProperties>
</file>