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05" yWindow="-225" windowWidth="15480" windowHeight="11280"/>
  </bookViews>
  <sheets>
    <sheet name="01.16" sheetId="17" r:id="rId1"/>
    <sheet name="02.16" sheetId="18" r:id="rId2"/>
    <sheet name="03.16" sheetId="19" r:id="rId3"/>
    <sheet name="04.16" sheetId="20" r:id="rId4"/>
    <sheet name="05.16" sheetId="21" r:id="rId5"/>
    <sheet name="06.16" sheetId="22" r:id="rId6"/>
    <sheet name="07.16" sheetId="23" r:id="rId7"/>
    <sheet name="08.16" sheetId="24" r:id="rId8"/>
    <sheet name="09.16" sheetId="25" r:id="rId9"/>
    <sheet name="10.16" sheetId="26" r:id="rId10"/>
    <sheet name="11.16" sheetId="16" r:id="rId11"/>
    <sheet name="юбьмрмить" sheetId="15" state="hidden" r:id="rId12"/>
    <sheet name="12.16" sheetId="8" r:id="rId13"/>
  </sheets>
  <definedNames>
    <definedName name="_xlnm._FilterDatabase" localSheetId="9" hidden="1">'10.16'!$I$12:$I$66</definedName>
    <definedName name="_xlnm._FilterDatabase" localSheetId="12" hidden="1">'12.16'!$G$12:$G$67</definedName>
    <definedName name="_xlnm._FilterDatabase" localSheetId="11" hidden="1">юбьмрмить!$G$15:$G$76</definedName>
    <definedName name="_xlnm.Print_Area" localSheetId="0">'01.16'!$A$1:$I$120</definedName>
    <definedName name="_xlnm.Print_Area" localSheetId="1">'02.16'!$A$1:$I$113</definedName>
    <definedName name="_xlnm.Print_Area" localSheetId="2">'03.16'!$A$1:$I$107</definedName>
    <definedName name="_xlnm.Print_Area" localSheetId="3">'04.16'!$A$1:$I$107</definedName>
    <definedName name="_xlnm.Print_Area" localSheetId="4">'05.16'!$A$1:$I$109</definedName>
    <definedName name="_xlnm.Print_Area" localSheetId="5">'06.16'!$A$1:$I$110</definedName>
    <definedName name="_xlnm.Print_Area" localSheetId="6">'07.16'!$A$1:$I$107</definedName>
    <definedName name="_xlnm.Print_Area" localSheetId="7">'08.16'!$A$1:$I$110</definedName>
    <definedName name="_xlnm.Print_Area" localSheetId="8">'09.16'!$A$1:$I$104</definedName>
    <definedName name="_xlnm.Print_Area" localSheetId="9">'10.16'!$A$1:$I$100</definedName>
    <definedName name="_xlnm.Print_Area" localSheetId="10">'11.16'!$A$1:$G$102</definedName>
    <definedName name="_xlnm.Print_Area" localSheetId="12">'12.16'!$A$1:$G$106</definedName>
    <definedName name="_xlnm.Print_Area" localSheetId="11">юбьмрмить!$A$1:$G$188</definedName>
  </definedNames>
  <calcPr calcId="124519"/>
</workbook>
</file>

<file path=xl/calcChain.xml><?xml version="1.0" encoding="utf-8"?>
<calcChain xmlns="http://schemas.openxmlformats.org/spreadsheetml/2006/main">
  <c r="I66" i="26"/>
  <c r="I75"/>
  <c r="I77"/>
  <c r="H28"/>
  <c r="H27"/>
  <c r="F26"/>
  <c r="H26" s="1"/>
  <c r="E26"/>
  <c r="F25"/>
  <c r="H25" s="1"/>
  <c r="F24"/>
  <c r="I24" s="1"/>
  <c r="F23"/>
  <c r="H23" s="1"/>
  <c r="I57"/>
  <c r="I53"/>
  <c r="I23" l="1"/>
  <c r="H24"/>
  <c r="I25"/>
  <c r="I26"/>
  <c r="I79" l="1"/>
  <c r="I28" i="25" l="1"/>
  <c r="I25"/>
  <c r="H30"/>
  <c r="H29"/>
  <c r="F28"/>
  <c r="H28" s="1"/>
  <c r="E28"/>
  <c r="F27"/>
  <c r="H27" s="1"/>
  <c r="F26"/>
  <c r="H26" s="1"/>
  <c r="F25"/>
  <c r="H25" s="1"/>
  <c r="I80"/>
  <c r="I79"/>
  <c r="I81" s="1"/>
  <c r="H80"/>
  <c r="H79"/>
  <c r="F44"/>
  <c r="H44" s="1"/>
  <c r="F43"/>
  <c r="H43" s="1"/>
  <c r="F42"/>
  <c r="H42" s="1"/>
  <c r="F41"/>
  <c r="H41" s="1"/>
  <c r="F40"/>
  <c r="H40" s="1"/>
  <c r="F20"/>
  <c r="H20" s="1"/>
  <c r="F19"/>
  <c r="H19" s="1"/>
  <c r="I59"/>
  <c r="I55"/>
  <c r="I26" l="1"/>
  <c r="I77" s="1"/>
  <c r="I27"/>
  <c r="I20"/>
  <c r="I40"/>
  <c r="I42"/>
  <c r="I44"/>
  <c r="I19"/>
  <c r="I43"/>
  <c r="I41"/>
  <c r="I83" l="1"/>
  <c r="I86" i="24" l="1"/>
  <c r="I84"/>
  <c r="I83"/>
  <c r="F86"/>
  <c r="H86" s="1"/>
  <c r="H85"/>
  <c r="H84"/>
  <c r="H83"/>
  <c r="I63"/>
  <c r="I85"/>
  <c r="E80"/>
  <c r="F80" s="1"/>
  <c r="I80" s="1"/>
  <c r="F79"/>
  <c r="I79" s="1"/>
  <c r="H77"/>
  <c r="H75"/>
  <c r="H73"/>
  <c r="H72"/>
  <c r="H70"/>
  <c r="F69"/>
  <c r="H69" s="1"/>
  <c r="F68"/>
  <c r="H68" s="1"/>
  <c r="F67"/>
  <c r="H67" s="1"/>
  <c r="F66"/>
  <c r="H66" s="1"/>
  <c r="F65"/>
  <c r="H65" s="1"/>
  <c r="H64"/>
  <c r="H63"/>
  <c r="H61"/>
  <c r="F59"/>
  <c r="I59" s="1"/>
  <c r="I56"/>
  <c r="F56"/>
  <c r="H56" s="1"/>
  <c r="H55"/>
  <c r="F54"/>
  <c r="H54" s="1"/>
  <c r="F53"/>
  <c r="H53" s="1"/>
  <c r="F52"/>
  <c r="H52" s="1"/>
  <c r="F51"/>
  <c r="H51" s="1"/>
  <c r="F50"/>
  <c r="H50" s="1"/>
  <c r="F49"/>
  <c r="H49" s="1"/>
  <c r="F48"/>
  <c r="H48" s="1"/>
  <c r="F47"/>
  <c r="H47" s="1"/>
  <c r="I45"/>
  <c r="H45"/>
  <c r="F44"/>
  <c r="I44" s="1"/>
  <c r="F43"/>
  <c r="H43" s="1"/>
  <c r="F42"/>
  <c r="I42" s="1"/>
  <c r="H41"/>
  <c r="I40"/>
  <c r="H40"/>
  <c r="F39"/>
  <c r="I39" s="1"/>
  <c r="I38"/>
  <c r="H38"/>
  <c r="H36"/>
  <c r="H35"/>
  <c r="H34"/>
  <c r="F34"/>
  <c r="I34" s="1"/>
  <c r="F33"/>
  <c r="I33" s="1"/>
  <c r="F32"/>
  <c r="H32" s="1"/>
  <c r="F31"/>
  <c r="I31" s="1"/>
  <c r="F28"/>
  <c r="H28" s="1"/>
  <c r="F27"/>
  <c r="I27" s="1"/>
  <c r="F26"/>
  <c r="H26" s="1"/>
  <c r="H25"/>
  <c r="F24"/>
  <c r="H24" s="1"/>
  <c r="F23"/>
  <c r="H23" s="1"/>
  <c r="F22"/>
  <c r="H22" s="1"/>
  <c r="F21"/>
  <c r="H21" s="1"/>
  <c r="F20"/>
  <c r="H20" s="1"/>
  <c r="F19"/>
  <c r="H19" s="1"/>
  <c r="E18"/>
  <c r="F18" s="1"/>
  <c r="F17"/>
  <c r="I17" s="1"/>
  <c r="F16"/>
  <c r="H16" s="1"/>
  <c r="I83" i="23"/>
  <c r="H83"/>
  <c r="I84"/>
  <c r="E80"/>
  <c r="F80" s="1"/>
  <c r="F79"/>
  <c r="I79" s="1"/>
  <c r="H77"/>
  <c r="H75"/>
  <c r="H73"/>
  <c r="H72"/>
  <c r="H70"/>
  <c r="F69"/>
  <c r="H69" s="1"/>
  <c r="F68"/>
  <c r="H68" s="1"/>
  <c r="F67"/>
  <c r="H67" s="1"/>
  <c r="F66"/>
  <c r="H66" s="1"/>
  <c r="F65"/>
  <c r="H65" s="1"/>
  <c r="H64"/>
  <c r="H63"/>
  <c r="H61"/>
  <c r="F59"/>
  <c r="I59" s="1"/>
  <c r="I56"/>
  <c r="F56"/>
  <c r="H56" s="1"/>
  <c r="H55"/>
  <c r="H54"/>
  <c r="F54"/>
  <c r="F53"/>
  <c r="H53" s="1"/>
  <c r="F52"/>
  <c r="H52" s="1"/>
  <c r="F51"/>
  <c r="H51" s="1"/>
  <c r="F50"/>
  <c r="H50" s="1"/>
  <c r="F49"/>
  <c r="H49" s="1"/>
  <c r="F48"/>
  <c r="H48" s="1"/>
  <c r="F47"/>
  <c r="H47" s="1"/>
  <c r="I45"/>
  <c r="H45"/>
  <c r="F44"/>
  <c r="I44" s="1"/>
  <c r="F43"/>
  <c r="H43" s="1"/>
  <c r="F42"/>
  <c r="I42" s="1"/>
  <c r="H41"/>
  <c r="I40"/>
  <c r="H40"/>
  <c r="F39"/>
  <c r="I39" s="1"/>
  <c r="I38"/>
  <c r="H38"/>
  <c r="H36"/>
  <c r="H35"/>
  <c r="H34"/>
  <c r="F34"/>
  <c r="I34" s="1"/>
  <c r="F33"/>
  <c r="I33" s="1"/>
  <c r="F32"/>
  <c r="H32" s="1"/>
  <c r="F31"/>
  <c r="I31" s="1"/>
  <c r="F28"/>
  <c r="H28" s="1"/>
  <c r="F27"/>
  <c r="I27" s="1"/>
  <c r="F26"/>
  <c r="H26" s="1"/>
  <c r="H25"/>
  <c r="F24"/>
  <c r="H24" s="1"/>
  <c r="F23"/>
  <c r="H23" s="1"/>
  <c r="F22"/>
  <c r="H22" s="1"/>
  <c r="F21"/>
  <c r="H21" s="1"/>
  <c r="F20"/>
  <c r="H20" s="1"/>
  <c r="F19"/>
  <c r="H19" s="1"/>
  <c r="E18"/>
  <c r="F18" s="1"/>
  <c r="F17"/>
  <c r="I17" s="1"/>
  <c r="F16"/>
  <c r="H16" s="1"/>
  <c r="I81" i="22"/>
  <c r="I87"/>
  <c r="I86"/>
  <c r="I84"/>
  <c r="I85"/>
  <c r="I83"/>
  <c r="F86"/>
  <c r="H86" s="1"/>
  <c r="H85"/>
  <c r="H84"/>
  <c r="H83"/>
  <c r="E80"/>
  <c r="F80" s="1"/>
  <c r="F79"/>
  <c r="I79" s="1"/>
  <c r="H77"/>
  <c r="H75"/>
  <c r="H73"/>
  <c r="H72"/>
  <c r="H70"/>
  <c r="F69"/>
  <c r="H69" s="1"/>
  <c r="F68"/>
  <c r="H68" s="1"/>
  <c r="F67"/>
  <c r="H67" s="1"/>
  <c r="F66"/>
  <c r="H66" s="1"/>
  <c r="F65"/>
  <c r="H65" s="1"/>
  <c r="H64"/>
  <c r="H63"/>
  <c r="H61"/>
  <c r="F59"/>
  <c r="I59" s="1"/>
  <c r="I56"/>
  <c r="F56"/>
  <c r="H56" s="1"/>
  <c r="H55"/>
  <c r="F54"/>
  <c r="H54" s="1"/>
  <c r="F53"/>
  <c r="H53" s="1"/>
  <c r="F52"/>
  <c r="H52" s="1"/>
  <c r="F51"/>
  <c r="H51" s="1"/>
  <c r="F50"/>
  <c r="H50" s="1"/>
  <c r="F49"/>
  <c r="H49" s="1"/>
  <c r="F48"/>
  <c r="H48" s="1"/>
  <c r="F47"/>
  <c r="H47" s="1"/>
  <c r="I45"/>
  <c r="H45"/>
  <c r="F44"/>
  <c r="I44" s="1"/>
  <c r="F43"/>
  <c r="H43" s="1"/>
  <c r="F42"/>
  <c r="I42" s="1"/>
  <c r="H41"/>
  <c r="I40"/>
  <c r="H40"/>
  <c r="F39"/>
  <c r="I39" s="1"/>
  <c r="I38"/>
  <c r="H38"/>
  <c r="H36"/>
  <c r="H35"/>
  <c r="H34"/>
  <c r="F34"/>
  <c r="I34" s="1"/>
  <c r="F33"/>
  <c r="I33" s="1"/>
  <c r="F32"/>
  <c r="H32" s="1"/>
  <c r="F31"/>
  <c r="I31" s="1"/>
  <c r="F28"/>
  <c r="H28" s="1"/>
  <c r="F27"/>
  <c r="I27" s="1"/>
  <c r="F26"/>
  <c r="H26" s="1"/>
  <c r="H25"/>
  <c r="F24"/>
  <c r="H24" s="1"/>
  <c r="F23"/>
  <c r="H23" s="1"/>
  <c r="F22"/>
  <c r="H22" s="1"/>
  <c r="F21"/>
  <c r="H21" s="1"/>
  <c r="F20"/>
  <c r="H20" s="1"/>
  <c r="F19"/>
  <c r="H19" s="1"/>
  <c r="E18"/>
  <c r="F18" s="1"/>
  <c r="F17"/>
  <c r="I17" s="1"/>
  <c r="F16"/>
  <c r="H16" s="1"/>
  <c r="I81" i="21"/>
  <c r="I86"/>
  <c r="I21"/>
  <c r="I20"/>
  <c r="I22"/>
  <c r="I23"/>
  <c r="I24"/>
  <c r="I25"/>
  <c r="I26"/>
  <c r="I19"/>
  <c r="I85"/>
  <c r="I84"/>
  <c r="I83"/>
  <c r="I55"/>
  <c r="F85"/>
  <c r="H85" s="1"/>
  <c r="H84"/>
  <c r="H83"/>
  <c r="E80"/>
  <c r="F80" s="1"/>
  <c r="F79"/>
  <c r="I79" s="1"/>
  <c r="H77"/>
  <c r="H75"/>
  <c r="H73"/>
  <c r="H72"/>
  <c r="H70"/>
  <c r="F69"/>
  <c r="H69" s="1"/>
  <c r="F68"/>
  <c r="H68" s="1"/>
  <c r="F67"/>
  <c r="H67" s="1"/>
  <c r="F66"/>
  <c r="H66" s="1"/>
  <c r="F65"/>
  <c r="H65" s="1"/>
  <c r="H64"/>
  <c r="H63"/>
  <c r="H61"/>
  <c r="F59"/>
  <c r="I59" s="1"/>
  <c r="I56"/>
  <c r="F56"/>
  <c r="H56" s="1"/>
  <c r="H55"/>
  <c r="F54"/>
  <c r="H54" s="1"/>
  <c r="F53"/>
  <c r="H53" s="1"/>
  <c r="F52"/>
  <c r="H52" s="1"/>
  <c r="F51"/>
  <c r="H51" s="1"/>
  <c r="F50"/>
  <c r="H50" s="1"/>
  <c r="F49"/>
  <c r="H49" s="1"/>
  <c r="F48"/>
  <c r="H48" s="1"/>
  <c r="F47"/>
  <c r="H47" s="1"/>
  <c r="I45"/>
  <c r="H45"/>
  <c r="F44"/>
  <c r="I44" s="1"/>
  <c r="F43"/>
  <c r="H43" s="1"/>
  <c r="F42"/>
  <c r="I42" s="1"/>
  <c r="H41"/>
  <c r="I40"/>
  <c r="H40"/>
  <c r="F39"/>
  <c r="I39" s="1"/>
  <c r="I38"/>
  <c r="H38"/>
  <c r="H36"/>
  <c r="H35"/>
  <c r="H34"/>
  <c r="F34"/>
  <c r="I34" s="1"/>
  <c r="F33"/>
  <c r="I33" s="1"/>
  <c r="F32"/>
  <c r="H32" s="1"/>
  <c r="F31"/>
  <c r="I31" s="1"/>
  <c r="F28"/>
  <c r="H28" s="1"/>
  <c r="F27"/>
  <c r="I27" s="1"/>
  <c r="F26"/>
  <c r="H26" s="1"/>
  <c r="H25"/>
  <c r="F24"/>
  <c r="H24" s="1"/>
  <c r="F23"/>
  <c r="H23" s="1"/>
  <c r="F22"/>
  <c r="H22" s="1"/>
  <c r="F21"/>
  <c r="H21" s="1"/>
  <c r="F20"/>
  <c r="H20" s="1"/>
  <c r="F19"/>
  <c r="H19" s="1"/>
  <c r="E18"/>
  <c r="F18" s="1"/>
  <c r="F17"/>
  <c r="I17" s="1"/>
  <c r="F16"/>
  <c r="H16" s="1"/>
  <c r="I83" i="20"/>
  <c r="H83"/>
  <c r="I84"/>
  <c r="E80"/>
  <c r="F80" s="1"/>
  <c r="F79"/>
  <c r="I79" s="1"/>
  <c r="H77"/>
  <c r="H75"/>
  <c r="H73"/>
  <c r="H72"/>
  <c r="H70"/>
  <c r="F69"/>
  <c r="H69" s="1"/>
  <c r="F68"/>
  <c r="H68" s="1"/>
  <c r="F67"/>
  <c r="H67" s="1"/>
  <c r="F66"/>
  <c r="H66" s="1"/>
  <c r="F65"/>
  <c r="H65" s="1"/>
  <c r="H64"/>
  <c r="H63"/>
  <c r="H61"/>
  <c r="F59"/>
  <c r="I59" s="1"/>
  <c r="I56"/>
  <c r="F56"/>
  <c r="H56" s="1"/>
  <c r="H55"/>
  <c r="F54"/>
  <c r="H54" s="1"/>
  <c r="F53"/>
  <c r="H53" s="1"/>
  <c r="F52"/>
  <c r="H52" s="1"/>
  <c r="F51"/>
  <c r="H51" s="1"/>
  <c r="F50"/>
  <c r="H50" s="1"/>
  <c r="F49"/>
  <c r="H49" s="1"/>
  <c r="F48"/>
  <c r="H48" s="1"/>
  <c r="F47"/>
  <c r="H47" s="1"/>
  <c r="I45"/>
  <c r="H45"/>
  <c r="F44"/>
  <c r="I44" s="1"/>
  <c r="F43"/>
  <c r="H43" s="1"/>
  <c r="F42"/>
  <c r="I42" s="1"/>
  <c r="H41"/>
  <c r="I40"/>
  <c r="H40"/>
  <c r="F39"/>
  <c r="I39" s="1"/>
  <c r="I38"/>
  <c r="H38"/>
  <c r="H36"/>
  <c r="H35"/>
  <c r="H34"/>
  <c r="F34"/>
  <c r="I34" s="1"/>
  <c r="F33"/>
  <c r="I33" s="1"/>
  <c r="F32"/>
  <c r="H32" s="1"/>
  <c r="F31"/>
  <c r="I31" s="1"/>
  <c r="F28"/>
  <c r="H28" s="1"/>
  <c r="F27"/>
  <c r="I27" s="1"/>
  <c r="F26"/>
  <c r="H26" s="1"/>
  <c r="H25"/>
  <c r="F24"/>
  <c r="H24" s="1"/>
  <c r="F23"/>
  <c r="H23" s="1"/>
  <c r="F22"/>
  <c r="H22" s="1"/>
  <c r="F21"/>
  <c r="H21" s="1"/>
  <c r="F20"/>
  <c r="H20" s="1"/>
  <c r="F19"/>
  <c r="H19" s="1"/>
  <c r="E18"/>
  <c r="F18" s="1"/>
  <c r="F17"/>
  <c r="I17" s="1"/>
  <c r="F16"/>
  <c r="H16" s="1"/>
  <c r="I83" i="19"/>
  <c r="H83"/>
  <c r="I84"/>
  <c r="E80"/>
  <c r="F80" s="1"/>
  <c r="F79"/>
  <c r="I79" s="1"/>
  <c r="H77"/>
  <c r="H75"/>
  <c r="H73"/>
  <c r="H72"/>
  <c r="H70"/>
  <c r="F69"/>
  <c r="H69" s="1"/>
  <c r="F68"/>
  <c r="H68" s="1"/>
  <c r="F67"/>
  <c r="H67" s="1"/>
  <c r="F66"/>
  <c r="H66" s="1"/>
  <c r="F65"/>
  <c r="H65" s="1"/>
  <c r="H64"/>
  <c r="H63"/>
  <c r="H61"/>
  <c r="F59"/>
  <c r="I59" s="1"/>
  <c r="I56"/>
  <c r="F56"/>
  <c r="H56" s="1"/>
  <c r="H55"/>
  <c r="F54"/>
  <c r="H54" s="1"/>
  <c r="F53"/>
  <c r="H53" s="1"/>
  <c r="F52"/>
  <c r="H52" s="1"/>
  <c r="F51"/>
  <c r="H51" s="1"/>
  <c r="F50"/>
  <c r="H50" s="1"/>
  <c r="F49"/>
  <c r="H49" s="1"/>
  <c r="F48"/>
  <c r="H48" s="1"/>
  <c r="F47"/>
  <c r="H47" s="1"/>
  <c r="I45"/>
  <c r="H45"/>
  <c r="F44"/>
  <c r="I44" s="1"/>
  <c r="F43"/>
  <c r="H43" s="1"/>
  <c r="F42"/>
  <c r="I42" s="1"/>
  <c r="H41"/>
  <c r="I40"/>
  <c r="H40"/>
  <c r="F39"/>
  <c r="I39" s="1"/>
  <c r="I38"/>
  <c r="H38"/>
  <c r="H36"/>
  <c r="H35"/>
  <c r="H34"/>
  <c r="F34"/>
  <c r="I34" s="1"/>
  <c r="F33"/>
  <c r="I33" s="1"/>
  <c r="F32"/>
  <c r="H32" s="1"/>
  <c r="F31"/>
  <c r="I31" s="1"/>
  <c r="F28"/>
  <c r="H28" s="1"/>
  <c r="F27"/>
  <c r="I27" s="1"/>
  <c r="F26"/>
  <c r="H26" s="1"/>
  <c r="H25"/>
  <c r="F24"/>
  <c r="H24" s="1"/>
  <c r="F23"/>
  <c r="H23" s="1"/>
  <c r="F22"/>
  <c r="H22" s="1"/>
  <c r="F21"/>
  <c r="H21" s="1"/>
  <c r="F20"/>
  <c r="H20" s="1"/>
  <c r="F19"/>
  <c r="H19" s="1"/>
  <c r="E18"/>
  <c r="F18" s="1"/>
  <c r="F17"/>
  <c r="I17" s="1"/>
  <c r="F16"/>
  <c r="H16" s="1"/>
  <c r="F89" i="18"/>
  <c r="H89" s="1"/>
  <c r="H88"/>
  <c r="H87"/>
  <c r="F86"/>
  <c r="H86" s="1"/>
  <c r="H85"/>
  <c r="H84"/>
  <c r="H83"/>
  <c r="I90"/>
  <c r="E80"/>
  <c r="F80" s="1"/>
  <c r="F79"/>
  <c r="I79" s="1"/>
  <c r="H77"/>
  <c r="H75"/>
  <c r="H73"/>
  <c r="H72"/>
  <c r="H70"/>
  <c r="F69"/>
  <c r="H69" s="1"/>
  <c r="F68"/>
  <c r="H68" s="1"/>
  <c r="F67"/>
  <c r="H67" s="1"/>
  <c r="F66"/>
  <c r="H66" s="1"/>
  <c r="F65"/>
  <c r="H65" s="1"/>
  <c r="H64"/>
  <c r="H63"/>
  <c r="H61"/>
  <c r="F59"/>
  <c r="I59" s="1"/>
  <c r="I56"/>
  <c r="F56"/>
  <c r="H56" s="1"/>
  <c r="H55"/>
  <c r="F54"/>
  <c r="H54" s="1"/>
  <c r="F53"/>
  <c r="H53" s="1"/>
  <c r="F52"/>
  <c r="H52" s="1"/>
  <c r="F51"/>
  <c r="H51" s="1"/>
  <c r="F50"/>
  <c r="H50" s="1"/>
  <c r="F49"/>
  <c r="H49" s="1"/>
  <c r="F48"/>
  <c r="H48" s="1"/>
  <c r="F47"/>
  <c r="H47" s="1"/>
  <c r="I45"/>
  <c r="H45"/>
  <c r="F44"/>
  <c r="I44" s="1"/>
  <c r="F43"/>
  <c r="H43" s="1"/>
  <c r="F42"/>
  <c r="I42" s="1"/>
  <c r="H41"/>
  <c r="I40"/>
  <c r="H40"/>
  <c r="F39"/>
  <c r="I39" s="1"/>
  <c r="I38"/>
  <c r="H38"/>
  <c r="H36"/>
  <c r="H35"/>
  <c r="H34"/>
  <c r="F34"/>
  <c r="I34" s="1"/>
  <c r="F33"/>
  <c r="I33" s="1"/>
  <c r="F32"/>
  <c r="H32" s="1"/>
  <c r="F31"/>
  <c r="I31" s="1"/>
  <c r="F28"/>
  <c r="H28" s="1"/>
  <c r="F27"/>
  <c r="I27" s="1"/>
  <c r="F26"/>
  <c r="H26" s="1"/>
  <c r="H25"/>
  <c r="F24"/>
  <c r="H24" s="1"/>
  <c r="F23"/>
  <c r="H23" s="1"/>
  <c r="F22"/>
  <c r="H22" s="1"/>
  <c r="F21"/>
  <c r="H21" s="1"/>
  <c r="F20"/>
  <c r="H20" s="1"/>
  <c r="F19"/>
  <c r="H19" s="1"/>
  <c r="E18"/>
  <c r="F18" s="1"/>
  <c r="F17"/>
  <c r="I17" s="1"/>
  <c r="F16"/>
  <c r="H16" s="1"/>
  <c r="I97" i="17"/>
  <c r="I81"/>
  <c r="F96"/>
  <c r="H96" s="1"/>
  <c r="H95"/>
  <c r="H94"/>
  <c r="F93"/>
  <c r="H93" s="1"/>
  <c r="H92"/>
  <c r="H91"/>
  <c r="H90"/>
  <c r="I89"/>
  <c r="H89"/>
  <c r="I88"/>
  <c r="F88"/>
  <c r="H88" s="1"/>
  <c r="I87"/>
  <c r="H87"/>
  <c r="I86"/>
  <c r="H86"/>
  <c r="I85"/>
  <c r="H85"/>
  <c r="I84"/>
  <c r="H84"/>
  <c r="I83"/>
  <c r="H83"/>
  <c r="E80"/>
  <c r="F79"/>
  <c r="I79" s="1"/>
  <c r="H77"/>
  <c r="H75"/>
  <c r="H73"/>
  <c r="H72"/>
  <c r="H70"/>
  <c r="F69"/>
  <c r="H69" s="1"/>
  <c r="F68"/>
  <c r="H68" s="1"/>
  <c r="F67"/>
  <c r="H67" s="1"/>
  <c r="F66"/>
  <c r="H66" s="1"/>
  <c r="F65"/>
  <c r="H65" s="1"/>
  <c r="H64"/>
  <c r="H63"/>
  <c r="H61"/>
  <c r="F59"/>
  <c r="I59" s="1"/>
  <c r="I56"/>
  <c r="F56"/>
  <c r="H56" s="1"/>
  <c r="H55"/>
  <c r="F54"/>
  <c r="H54" s="1"/>
  <c r="F53"/>
  <c r="H53" s="1"/>
  <c r="F52"/>
  <c r="I52" s="1"/>
  <c r="F51"/>
  <c r="H51" s="1"/>
  <c r="F50"/>
  <c r="H50" s="1"/>
  <c r="F49"/>
  <c r="H49" s="1"/>
  <c r="F48"/>
  <c r="H48" s="1"/>
  <c r="F47"/>
  <c r="H47" s="1"/>
  <c r="I45"/>
  <c r="H45"/>
  <c r="F44"/>
  <c r="I44" s="1"/>
  <c r="F43"/>
  <c r="H43" s="1"/>
  <c r="F42"/>
  <c r="I42" s="1"/>
  <c r="H41"/>
  <c r="I40"/>
  <c r="H40"/>
  <c r="F39"/>
  <c r="I39" s="1"/>
  <c r="I38"/>
  <c r="H38"/>
  <c r="F28"/>
  <c r="I28" s="1"/>
  <c r="H36"/>
  <c r="H35"/>
  <c r="F27"/>
  <c r="H27" s="1"/>
  <c r="H34"/>
  <c r="F34"/>
  <c r="I34" s="1"/>
  <c r="F33"/>
  <c r="H33" s="1"/>
  <c r="F32"/>
  <c r="H32" s="1"/>
  <c r="F31"/>
  <c r="H31" s="1"/>
  <c r="F26"/>
  <c r="H26" s="1"/>
  <c r="H25"/>
  <c r="F24"/>
  <c r="H24" s="1"/>
  <c r="F23"/>
  <c r="H23" s="1"/>
  <c r="F22"/>
  <c r="H22" s="1"/>
  <c r="F21"/>
  <c r="H21" s="1"/>
  <c r="F20"/>
  <c r="H20" s="1"/>
  <c r="F19"/>
  <c r="H19" s="1"/>
  <c r="E18"/>
  <c r="F18" s="1"/>
  <c r="F17"/>
  <c r="I17" s="1"/>
  <c r="F16"/>
  <c r="H16" s="1"/>
  <c r="I87" i="24" l="1"/>
  <c r="I18"/>
  <c r="H18"/>
  <c r="I16"/>
  <c r="H17"/>
  <c r="H27"/>
  <c r="I28"/>
  <c r="H31"/>
  <c r="I32"/>
  <c r="H33"/>
  <c r="H39"/>
  <c r="H42"/>
  <c r="I43"/>
  <c r="H44"/>
  <c r="I52"/>
  <c r="H59"/>
  <c r="H76" s="1"/>
  <c r="H79"/>
  <c r="H80"/>
  <c r="H81" s="1"/>
  <c r="H82" s="1"/>
  <c r="H59" i="23"/>
  <c r="H76" s="1"/>
  <c r="I18"/>
  <c r="H18"/>
  <c r="I80"/>
  <c r="H80"/>
  <c r="H81" s="1"/>
  <c r="H82" s="1"/>
  <c r="I16"/>
  <c r="H17"/>
  <c r="H27"/>
  <c r="I28"/>
  <c r="H31"/>
  <c r="I32"/>
  <c r="H33"/>
  <c r="H39"/>
  <c r="H42"/>
  <c r="I43"/>
  <c r="H44"/>
  <c r="I52"/>
  <c r="H79"/>
  <c r="I18" i="22"/>
  <c r="H18"/>
  <c r="I80"/>
  <c r="H80"/>
  <c r="H81" s="1"/>
  <c r="I16"/>
  <c r="H17"/>
  <c r="H27"/>
  <c r="I28"/>
  <c r="H31"/>
  <c r="I32"/>
  <c r="H33"/>
  <c r="H39"/>
  <c r="H42"/>
  <c r="I43"/>
  <c r="H44"/>
  <c r="I52"/>
  <c r="H59"/>
  <c r="H76" s="1"/>
  <c r="H79"/>
  <c r="I51" i="21"/>
  <c r="I49"/>
  <c r="I47"/>
  <c r="I65"/>
  <c r="I68"/>
  <c r="I66"/>
  <c r="I50"/>
  <c r="I48"/>
  <c r="I53"/>
  <c r="I54"/>
  <c r="I69"/>
  <c r="I67"/>
  <c r="H59"/>
  <c r="H76" s="1"/>
  <c r="I18"/>
  <c r="H18"/>
  <c r="I80"/>
  <c r="H80"/>
  <c r="H81" s="1"/>
  <c r="H82" s="1"/>
  <c r="I16"/>
  <c r="H17"/>
  <c r="H27"/>
  <c r="I28"/>
  <c r="H31"/>
  <c r="I32"/>
  <c r="H33"/>
  <c r="H39"/>
  <c r="H42"/>
  <c r="I43"/>
  <c r="H44"/>
  <c r="I52"/>
  <c r="H79"/>
  <c r="I80" i="20"/>
  <c r="H80"/>
  <c r="H81" s="1"/>
  <c r="I18"/>
  <c r="H18"/>
  <c r="I16"/>
  <c r="H17"/>
  <c r="H27"/>
  <c r="I28"/>
  <c r="H31"/>
  <c r="I32"/>
  <c r="H33"/>
  <c r="H39"/>
  <c r="H42"/>
  <c r="I43"/>
  <c r="H44"/>
  <c r="I52"/>
  <c r="H59"/>
  <c r="H76" s="1"/>
  <c r="H79"/>
  <c r="H17" i="19"/>
  <c r="H27"/>
  <c r="H33"/>
  <c r="H39"/>
  <c r="H44"/>
  <c r="H59"/>
  <c r="H76" s="1"/>
  <c r="H79"/>
  <c r="H31"/>
  <c r="H42"/>
  <c r="I80"/>
  <c r="H80"/>
  <c r="H81" s="1"/>
  <c r="I18"/>
  <c r="H18"/>
  <c r="I16"/>
  <c r="I81" s="1"/>
  <c r="I28"/>
  <c r="I32"/>
  <c r="I43"/>
  <c r="I52"/>
  <c r="I80" i="18"/>
  <c r="H80"/>
  <c r="H81" s="1"/>
  <c r="I18"/>
  <c r="H18"/>
  <c r="I16"/>
  <c r="H17"/>
  <c r="H27"/>
  <c r="I28"/>
  <c r="H31"/>
  <c r="I32"/>
  <c r="H33"/>
  <c r="H39"/>
  <c r="H42"/>
  <c r="I43"/>
  <c r="H44"/>
  <c r="I52"/>
  <c r="H59"/>
  <c r="H76" s="1"/>
  <c r="H79"/>
  <c r="I99" i="17"/>
  <c r="I33"/>
  <c r="I31"/>
  <c r="I32"/>
  <c r="H52"/>
  <c r="H17"/>
  <c r="H28"/>
  <c r="H39"/>
  <c r="H59"/>
  <c r="H76" s="1"/>
  <c r="H44"/>
  <c r="H79"/>
  <c r="H42"/>
  <c r="I18"/>
  <c r="H18"/>
  <c r="I16"/>
  <c r="I27"/>
  <c r="I43"/>
  <c r="F80"/>
  <c r="I81" i="24" l="1"/>
  <c r="I89"/>
  <c r="I81" i="23"/>
  <c r="I86"/>
  <c r="H82" i="22"/>
  <c r="I89"/>
  <c r="I88" i="21"/>
  <c r="I81" i="20"/>
  <c r="H82"/>
  <c r="I86"/>
  <c r="H82" i="19"/>
  <c r="I86"/>
  <c r="I81" i="18"/>
  <c r="I92"/>
  <c r="H82"/>
  <c r="H80" i="17"/>
  <c r="H81" s="1"/>
  <c r="H82" s="1"/>
  <c r="I80"/>
  <c r="G83" i="8" l="1"/>
  <c r="G76"/>
  <c r="G58"/>
  <c r="G54"/>
  <c r="E24"/>
  <c r="G79" i="16"/>
  <c r="G76"/>
  <c r="G58"/>
  <c r="G54"/>
  <c r="E24"/>
  <c r="G81" l="1"/>
  <c r="G85" i="8"/>
  <c r="G79" i="15"/>
  <c r="D77"/>
  <c r="G74"/>
  <c r="G81" s="1"/>
  <c r="G57"/>
  <c r="G54"/>
  <c r="E25"/>
  <c r="I27" l="1"/>
  <c r="H71" l="1"/>
  <c r="H75" s="1"/>
</calcChain>
</file>

<file path=xl/sharedStrings.xml><?xml version="1.0" encoding="utf-8"?>
<sst xmlns="http://schemas.openxmlformats.org/spreadsheetml/2006/main" count="2741" uniqueCount="281">
  <si>
    <t>№ позиции</t>
  </si>
  <si>
    <r>
      <t>Наименование вида работы (услуги)</t>
    </r>
    <r>
      <rPr>
        <vertAlign val="superscript"/>
        <sz val="10"/>
        <rFont val="Times New Roman"/>
        <family val="1"/>
        <charset val="204"/>
      </rPr>
      <t>2</t>
    </r>
  </si>
  <si>
    <t>Единица измерения работы (услуги)</t>
  </si>
  <si>
    <t>Цена выполненной работы  (оказанной услуги), в рублях</t>
  </si>
  <si>
    <t>I. Санитарное содержание помещений общего пользования</t>
  </si>
  <si>
    <t>Зимняя уборка</t>
  </si>
  <si>
    <t>(прописью)</t>
  </si>
  <si>
    <t>3. Работы (услуги) выполнены (оказаны) полностью, в установленные сроки, с надлежащим качеством.</t>
  </si>
  <si>
    <t>4. Претензий по выполнению условий Договора Стороны друг к другу не имеют.</t>
  </si>
  <si>
    <t>Подписи Сторон:</t>
  </si>
  <si>
    <t>Исполнитель -</t>
  </si>
  <si>
    <t>(должность, ФИО)</t>
  </si>
  <si>
    <t>(подпись)</t>
  </si>
  <si>
    <t>Заказчик -</t>
  </si>
  <si>
    <t>________________</t>
  </si>
  <si>
    <t>Примечания:</t>
  </si>
  <si>
    <r>
      <t>1</t>
    </r>
    <r>
      <rPr>
        <sz val="10"/>
        <rFont val="Times New Roman"/>
        <family val="1"/>
        <charset val="204"/>
      </rPr>
      <t> В соответствии с пунктом 4 части 8 статьи 161.1 Жилищного кодекса Российской Федерации (Собрание законодательства Российской Федерации, 2005, N 1, ст.14; 2011, N 23, ст.3263; 2014, N 30, ст.4264, 2015, N 27, ст.3967) председатель совета многоквартирного дома подписывает в том числе акты приемки оказанных услуг и (или) выполненных работ по содержанию и текущему ремонту общего имущества в многоквартирном доме.</t>
    </r>
  </si>
  <si>
    <r>
      <t>2</t>
    </r>
    <r>
      <rPr>
        <sz val="10"/>
        <rFont val="Times New Roman"/>
        <family val="1"/>
        <charset val="204"/>
      </rPr>
      <t> Минимальный перечень услуг и работ, необходимых для обеспечения надлежащего содержания общего имущества в многоквартирном доме, утвержден постановлением Правительства Российской Федерации от 3 апреля 2013 года N 290.</t>
    </r>
  </si>
  <si>
    <t>Периодичность</t>
  </si>
  <si>
    <t>Количественный показатель выполненной работы (оказанной услуги)</t>
  </si>
  <si>
    <t xml:space="preserve">Приказ Министерства строительства и жилищно - коммунального хозяйства Российской Федерации от 26 октября 2015г. № 761/пр. </t>
  </si>
  <si>
    <r>
      <t>4</t>
    </r>
    <r>
      <rPr>
        <sz val="10"/>
        <rFont val="Times New Roman"/>
        <family val="1"/>
        <charset val="204"/>
      </rPr>
      <t xml:space="preserve"> Сметная стоимость за единицу выполненной работы по договору </t>
    </r>
    <r>
      <rPr>
        <sz val="10"/>
        <color rgb="FFFF0000"/>
        <rFont val="Times New Roman"/>
        <family val="1"/>
        <charset val="204"/>
      </rPr>
      <t xml:space="preserve">подряда </t>
    </r>
    <r>
      <rPr>
        <sz val="10"/>
        <rFont val="Times New Roman"/>
        <family val="1"/>
        <charset val="204"/>
      </rPr>
      <t>по выполнению работ по ремонту общего имущества в многоквартирном доме.</t>
    </r>
  </si>
  <si>
    <r>
      <t>3</t>
    </r>
    <r>
      <rPr>
        <sz val="10"/>
        <rFont val="Times New Roman"/>
        <family val="1"/>
        <charset val="204"/>
      </rPr>
      <t xml:space="preserve"> Стоимость за единицу выполненной работы (оказанной услуги) </t>
    </r>
    <r>
      <rPr>
        <sz val="10"/>
        <color rgb="FFFF0000"/>
        <rFont val="Times New Roman"/>
        <family val="1"/>
        <charset val="204"/>
      </rPr>
      <t xml:space="preserve">по договору управления </t>
    </r>
    <r>
      <rPr>
        <sz val="10"/>
        <rFont val="Times New Roman"/>
        <family val="1"/>
        <charset val="204"/>
      </rPr>
      <t xml:space="preserve">многоквартирным домом или </t>
    </r>
    <r>
      <rPr>
        <sz val="10"/>
        <color rgb="FFFF0000"/>
        <rFont val="Times New Roman"/>
        <family val="1"/>
        <charset val="204"/>
      </rPr>
      <t>договору оказания услуг</t>
    </r>
    <r>
      <rPr>
        <sz val="10"/>
        <rFont val="Times New Roman"/>
        <family val="1"/>
        <charset val="204"/>
      </rPr>
      <t xml:space="preserve"> по содержанию и (или) выполнению работ по ремонту общего имущества в многоквартирном доме.</t>
    </r>
  </si>
  <si>
    <t>Стоимость выполненной работы (оказанной услуги)  за единицу</t>
  </si>
  <si>
    <t>Вывоз ТБО и КГО</t>
  </si>
  <si>
    <t xml:space="preserve">кв. м </t>
  </si>
  <si>
    <t>ежедневно</t>
  </si>
  <si>
    <t>м2</t>
  </si>
  <si>
    <t>по необходим-ти</t>
  </si>
  <si>
    <t>Механизированная уборка дворовой территории</t>
  </si>
  <si>
    <t>Уборка газонов сильной загрязненности</t>
  </si>
  <si>
    <t>Летняя уборка</t>
  </si>
  <si>
    <t>1000 м2</t>
  </si>
  <si>
    <t>шт.</t>
  </si>
  <si>
    <t>м/час</t>
  </si>
  <si>
    <t>м3</t>
  </si>
  <si>
    <t>Осмотр шиферной  кровли</t>
  </si>
  <si>
    <t>Осмотр деревянных конструкций стропил</t>
  </si>
  <si>
    <t>100 м3</t>
  </si>
  <si>
    <t>Осмотр деревянных заполнений проемов</t>
  </si>
  <si>
    <t>Осмотр внутренней и наружной отделки здания</t>
  </si>
  <si>
    <t>Осмотр каменных конструкций</t>
  </si>
  <si>
    <t>Осмотр электросетей, арматуры и электрообору- дования на чердаках, подвалах и техэтажах</t>
  </si>
  <si>
    <t>Осмотр электросетей,арматуры и электооборудо- вания на лестничных клетках</t>
  </si>
  <si>
    <t>100 лест.</t>
  </si>
  <si>
    <t>Осмотр вводных электрических щитков</t>
  </si>
  <si>
    <t>100 шт.</t>
  </si>
  <si>
    <t>Проверка  дымоходов</t>
  </si>
  <si>
    <t>Проверка вентканалов</t>
  </si>
  <si>
    <t>2 раза в год</t>
  </si>
  <si>
    <t>Кровля</t>
  </si>
  <si>
    <t>Чердак, подвал, технический этаж</t>
  </si>
  <si>
    <t>Очистка от мусора</t>
  </si>
  <si>
    <t>Отопление</t>
  </si>
  <si>
    <t>Ликвидация воздушных пробок в стояках</t>
  </si>
  <si>
    <t>Ликвидация воздушных пробок в радиаторах</t>
  </si>
  <si>
    <t xml:space="preserve">Промывка СО </t>
  </si>
  <si>
    <t>Спуск воды и наполнение системы без осмотра</t>
  </si>
  <si>
    <t>Гидравлическое испытание СО</t>
  </si>
  <si>
    <t>Визуальная проверка окраски и креплений наруж- ного (фасадного ) газопровода</t>
  </si>
  <si>
    <t>Итого текущий ремонт</t>
  </si>
  <si>
    <t>Итого годовые затраты</t>
  </si>
  <si>
    <t>100 м2</t>
  </si>
  <si>
    <t>1 раз в год</t>
  </si>
  <si>
    <t>1000 м3</t>
  </si>
  <si>
    <t>100 м</t>
  </si>
  <si>
    <t>Техническое обслуживание  наружных газопроводов</t>
  </si>
  <si>
    <t>10 м</t>
  </si>
  <si>
    <t>1 м2</t>
  </si>
  <si>
    <t>ежемесячно</t>
  </si>
  <si>
    <t>за период с 01.06.2016 г. по 30.06.2016 г.</t>
  </si>
  <si>
    <t xml:space="preserve">Осмотр СО </t>
  </si>
  <si>
    <t>Проверка на прогрев отопительных приборов</t>
  </si>
  <si>
    <t>прибор</t>
  </si>
  <si>
    <t>Обязательные работы по содержанию общего имущества собственников помещений в многоквартирном доме</t>
  </si>
  <si>
    <t xml:space="preserve"> Прочие услуги</t>
  </si>
  <si>
    <t>Работы по текущему ремонту и по заявкам</t>
  </si>
  <si>
    <t>весенне-осенний осмотр, 2 раза</t>
  </si>
  <si>
    <t>Содержание  общего  имущества  МКД</t>
  </si>
  <si>
    <t>5. Настоящий Акт составлен в 2 экземплярах, имеющих одинаковую юридическую силу, по одному для каждой из Сторон</t>
  </si>
  <si>
    <t>за период с 01.08.2016 г. по 31.08.2016 г.</t>
  </si>
  <si>
    <t>Проведение технических осмотров и мелкий ремонт</t>
  </si>
  <si>
    <t>пгт. Ярега</t>
  </si>
  <si>
    <t>Уборка газонов (дворовая территория)</t>
  </si>
  <si>
    <t xml:space="preserve">1 раз в год                      </t>
  </si>
  <si>
    <t>155 раз</t>
  </si>
  <si>
    <t>Подборка мусора на контейнерной площадке</t>
  </si>
  <si>
    <t xml:space="preserve">Погрузка травы, ветвей </t>
  </si>
  <si>
    <t>Вывоз смета, травы, ветвей и т.п.- м/ч</t>
  </si>
  <si>
    <t>по необходимости</t>
  </si>
  <si>
    <t xml:space="preserve">Сдвигание снега в дни снегопада </t>
  </si>
  <si>
    <t>18 раз за сезон</t>
  </si>
  <si>
    <t xml:space="preserve">Подметание снега с тротуара, крылец, конт. площадок </t>
  </si>
  <si>
    <t>70 раз за сезон</t>
  </si>
  <si>
    <t>Пескопосыпка территории: входные площадки</t>
  </si>
  <si>
    <t>45 раз за сезон</t>
  </si>
  <si>
    <t>Стоимость песка -100м2-0,002м3</t>
  </si>
  <si>
    <t>3 раза в год</t>
  </si>
  <si>
    <t>6 раз за сезон</t>
  </si>
  <si>
    <t>Вода для промывки системы отопления</t>
  </si>
  <si>
    <t>Спуск воды после промывки системы отопления в канализацию</t>
  </si>
  <si>
    <t>Электроснабжение</t>
  </si>
  <si>
    <t>Смена ламп накаливания</t>
  </si>
  <si>
    <t>Смена плавкой вставки в электрощите</t>
  </si>
  <si>
    <t>10 шт</t>
  </si>
  <si>
    <t>Вентканалы, дымоходы</t>
  </si>
  <si>
    <t xml:space="preserve"> - прочистка каналов</t>
  </si>
  <si>
    <t>100м</t>
  </si>
  <si>
    <t>Услуги по выпуску квитанций, сопровождение собраний, работа с должниками</t>
  </si>
  <si>
    <t xml:space="preserve">Непредвиденные расходы </t>
  </si>
  <si>
    <t>за период с 01.01.2016 г. по 31.01.2016 г.</t>
  </si>
  <si>
    <t>Осмотр и очистка оголовков дымоходов и вентканалов от наледи и снега (по необходимости) зимой</t>
  </si>
  <si>
    <t>2 раза в месяц</t>
  </si>
  <si>
    <t>Аварийное - диспетчерское обслуживание</t>
  </si>
  <si>
    <t>Ремонт групповых щитков на лестничной клетке без ремонта автоматов</t>
  </si>
  <si>
    <t>Итого:</t>
  </si>
  <si>
    <t>за период с 01.02.2016 г. по 29.02.2016 г.</t>
  </si>
  <si>
    <t>1 м</t>
  </si>
  <si>
    <t>Уборка контейнерной площадки (от 16 кв.м. 1/3=5,33 м2)</t>
  </si>
  <si>
    <t>за период с 01.03.2016 г. по 31.03.2016 г.</t>
  </si>
  <si>
    <t>за период с 01.04.2016 г. по 30.04.2016 г.</t>
  </si>
  <si>
    <t xml:space="preserve">Очистка края кровли, оголовков дымоходов, вентканалов  от слежавшегося снега со сбрасы- ванием сосулек (10% от S кровли) </t>
  </si>
  <si>
    <t>Подключение и отключение сварочного аппарата</t>
  </si>
  <si>
    <t>за период с 01.05.2016 г. по 31.05.2016 г.</t>
  </si>
  <si>
    <t>Осмотр СО</t>
  </si>
  <si>
    <t>генеральный директор  Куканова И.Ю.</t>
  </si>
  <si>
    <t>за период с 01.07.2016 г. по 31.07.2016 г.</t>
  </si>
  <si>
    <t>за период с 01.09.2016 г. по 30.09.2016 г.</t>
  </si>
  <si>
    <t>Очистка территории 1-го класса с усовершенствованным покрытием под скребок: ступеньки и площадки крылец, контейнерные площадки</t>
  </si>
  <si>
    <t>место</t>
  </si>
  <si>
    <t>II. Уборка земельного участка</t>
  </si>
  <si>
    <t xml:space="preserve">ежедневно </t>
  </si>
  <si>
    <t xml:space="preserve">II. Уборка земельного участка </t>
  </si>
  <si>
    <t>2 р. в неделю</t>
  </si>
  <si>
    <t>3 р. в неделю</t>
  </si>
  <si>
    <t xml:space="preserve">Подметание территории с усовершенствованным   покрытием </t>
  </si>
  <si>
    <t>ООО «Жилсервис»</t>
  </si>
  <si>
    <t>АКТ №11</t>
  </si>
  <si>
    <t xml:space="preserve">приемки оказанных услуг и выполненных работ по содержанию и текущему ремонту
общего имущества в многоквартирном доме № 37 по  ул.Октябрьская  пгт. Ярега
</t>
  </si>
  <si>
    <t>за период с 01.11.2016 г. по 30.11.2016 г.</t>
  </si>
  <si>
    <t>шт</t>
  </si>
  <si>
    <t>Разборка оснований покрытия полов - простильных полов</t>
  </si>
  <si>
    <t>Смена дверных приборов - пружины</t>
  </si>
  <si>
    <t>2. Всего за период с 01.11.2016 по 30.11.2016 выполнено работ (оказано услуг) на общую сумму:  7532,40 руб.</t>
  </si>
  <si>
    <t>(семь тысяч пятьсот тридцать два рубля 40 копеек)</t>
  </si>
  <si>
    <r>
      <t xml:space="preserve">    Собственники   помещений   в многоквартирном доме, расположенном по адресу: пгт.Ярега, ул.Октябрьская, д.39, именуемые в дальнейшем "Заказчик", в лице </t>
    </r>
    <r>
      <rPr>
        <u/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>, являющегося собственником квартиры №</t>
    </r>
    <r>
      <rPr>
        <u/>
        <sz val="12"/>
        <color theme="1"/>
        <rFont val="Times New Roman"/>
        <family val="1"/>
        <charset val="204"/>
      </rPr>
      <t xml:space="preserve">          </t>
    </r>
    <r>
      <rPr>
        <sz val="12"/>
        <color theme="1"/>
        <rFont val="Times New Roman"/>
        <family val="1"/>
        <charset val="204"/>
      </rPr>
      <t>, находящихся в данном    многоквартирном доме, действующего на основании решения от 01.09.2016г. стороны, и ООО «Жилсервис», именуемое в дальнейшем "Исполнитель", в лице генерального директора Куканова Юрия Леонидовича, действующего на основании Устава, с другой стороны, совместно именуемые "Стороны", составили настоящий Акт о нижеследующем:</t>
    </r>
  </si>
  <si>
    <r>
      <t xml:space="preserve">1. Исполнителем предъявлены к приемке следующие оказанные на основании Договора на содержание и ремонт многоквартирного дома  № </t>
    </r>
    <r>
      <rPr>
        <u/>
        <sz val="12"/>
        <rFont val="Times New Roman"/>
        <family val="1"/>
        <charset val="204"/>
      </rPr>
      <t xml:space="preserve">     </t>
    </r>
    <r>
      <rPr>
        <sz val="12"/>
        <rFont val="Times New Roman"/>
        <family val="1"/>
        <charset val="204"/>
      </rPr>
      <t xml:space="preserve"> от</t>
    </r>
    <r>
      <rPr>
        <u/>
        <sz val="12"/>
        <rFont val="Times New Roman"/>
        <family val="1"/>
        <charset val="204"/>
      </rPr>
      <t xml:space="preserve">             </t>
    </r>
    <r>
      <rPr>
        <sz val="12"/>
        <rFont val="Times New Roman"/>
        <family val="1"/>
        <charset val="204"/>
      </rPr>
      <t>20    г. (далее - "Договор") услуги и выполненные работы по содержанию и текущему ремонту общего имущества в многоквартирном доме, расположенном по адресу: г.Ухта, пгт.Ярега, ул.Октябрьская, д.39</t>
    </r>
  </si>
  <si>
    <t>Влажное подметание лестничных клеток 1 этажа</t>
  </si>
  <si>
    <t>100м2</t>
  </si>
  <si>
    <t>3 раза в неделю 156 раз в год</t>
  </si>
  <si>
    <t>Влажное подметание лестничных клеток 2-4 этажа</t>
  </si>
  <si>
    <t>2 раза в неделю 104 раза в год</t>
  </si>
  <si>
    <t>Мытье лестничных  площадок и маршей 1-4 этаж.</t>
  </si>
  <si>
    <t xml:space="preserve">2 раза в месяц 24 раза в год </t>
  </si>
  <si>
    <t>Осмотр электросетей, арматуры и электрооборудования на чердаках, подвалах и техэтажах</t>
  </si>
  <si>
    <t>Осмотр электросетей,арматуры и электооборудования на лестничных клетках</t>
  </si>
  <si>
    <t>Дератизация</t>
  </si>
  <si>
    <t>12 раз в год</t>
  </si>
  <si>
    <t>Техническое обслуживание наружных газопроводов</t>
  </si>
  <si>
    <t>ТО внутренних сетей водопровода и канализации</t>
  </si>
  <si>
    <t>руб/м2 в мес.</t>
  </si>
  <si>
    <t>Сдвигание снега в дни снегопада</t>
  </si>
  <si>
    <t>30 раз за сезон</t>
  </si>
  <si>
    <t>Вывоз снега с придомовой территории</t>
  </si>
  <si>
    <t>1м3</t>
  </si>
  <si>
    <t>155 раз за сезон</t>
  </si>
  <si>
    <t>1000м2</t>
  </si>
  <si>
    <t>35 раза за сезон</t>
  </si>
  <si>
    <t xml:space="preserve">Пескопосыпка территории: крыльца и тротуары </t>
  </si>
  <si>
    <t>20 раз за сезон</t>
  </si>
  <si>
    <t xml:space="preserve">Смена вентилей диаметром до 20 мм </t>
  </si>
  <si>
    <t>1 шт</t>
  </si>
  <si>
    <t>2. Всего за период с 01.11.2016 по 30.11.2016 выполнено работ (оказано услуг) на общую сумму: 40057,50 руб.</t>
  </si>
  <si>
    <t>(сорок тысяч пятьдесят семь рублей 50 копеек)</t>
  </si>
  <si>
    <t>АКТ №12</t>
  </si>
  <si>
    <t>за период с 01.12.2016 г. по 31.12.2016 г.</t>
  </si>
  <si>
    <t>Прочистка засоров ГВС, XВC</t>
  </si>
  <si>
    <t>3м</t>
  </si>
  <si>
    <t>Внеплановый осмотр электросетей, армазуры и электрооборудования на лестничных клетках</t>
  </si>
  <si>
    <t>Внеплановый осмотр вводных электрических щитков</t>
  </si>
  <si>
    <t>100шт</t>
  </si>
  <si>
    <r>
      <t>Наименование вида работы (услуги)</t>
    </r>
    <r>
      <rPr>
        <vertAlign val="superscript"/>
        <sz val="11"/>
        <rFont val="Times New Roman"/>
        <family val="1"/>
        <charset val="204"/>
      </rPr>
      <t>2</t>
    </r>
  </si>
  <si>
    <t>Ремонт и регулировка доводчика (со стоимостью доводчика)</t>
  </si>
  <si>
    <t>1шт.</t>
  </si>
  <si>
    <t>2. Всего за период с 01.12.2016 по 31.12.2016 выполнено работ (оказано услуг) на общую сумму: 43362,98 руб.</t>
  </si>
  <si>
    <t>(сорок три тысячи триста шестьдесят два рубля 98 копеек)</t>
  </si>
  <si>
    <t>III. Проведение технических осмотров</t>
  </si>
  <si>
    <t>IV. Содержание общего имущества МКД</t>
  </si>
  <si>
    <t>V. Прочие услуги</t>
  </si>
  <si>
    <r>
      <t xml:space="preserve">    Собственники помещений в многоквартирном доме, расположенном по адресу: пгт.Ярега, ул.Октябрьская, д.43, именуемые в дальнейшем "Заказчик", в лице </t>
    </r>
    <r>
      <rPr>
        <u/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>, являющегося собственником квартиры №</t>
    </r>
    <r>
      <rPr>
        <u/>
        <sz val="12"/>
        <color theme="1"/>
        <rFont val="Times New Roman"/>
        <family val="1"/>
        <charset val="204"/>
      </rPr>
      <t xml:space="preserve">          </t>
    </r>
    <r>
      <rPr>
        <sz val="12"/>
        <color theme="1"/>
        <rFont val="Times New Roman"/>
        <family val="1"/>
        <charset val="204"/>
      </rPr>
      <t>, находящихся в данном многоквартирном доме, действующего на основании решения от 15.08.2016г. стороны, и ООО «Жилсервис», именуемое в дальнейшем "Исполнитель", в лице генерального директора Куканова Юрия Леонидовича, действующего на основании Устава, с другой стороны, совместно именуемые "Стороны", составили настоящий Акт о нижеследующем:</t>
    </r>
  </si>
  <si>
    <r>
      <t xml:space="preserve">1. Исполнителем  предъявлены  к  приемке  следующие  оказанные  на  основании  Договора  на  содержание  и  ремонт  многоквартирного  дома  № </t>
    </r>
    <r>
      <rPr>
        <u/>
        <sz val="12"/>
        <rFont val="Times New Roman"/>
        <family val="1"/>
        <charset val="204"/>
      </rPr>
      <t xml:space="preserve"> 43 </t>
    </r>
    <r>
      <rPr>
        <sz val="12"/>
        <rFont val="Times New Roman"/>
        <family val="1"/>
        <charset val="204"/>
      </rPr>
      <t xml:space="preserve"> от</t>
    </r>
    <r>
      <rPr>
        <u/>
        <sz val="12"/>
        <rFont val="Times New Roman"/>
        <family val="1"/>
        <charset val="204"/>
      </rPr>
      <t xml:space="preserve">             </t>
    </r>
    <r>
      <rPr>
        <sz val="12"/>
        <rFont val="Times New Roman"/>
        <family val="1"/>
        <charset val="204"/>
      </rPr>
      <t>20    г. (далее - "Договор") услуги и выполненные работы по содержанию и текущему ремонту общего имущества в многоквартирном доме, расположенном по адресу: г.Ухта, пгт.Ярега, ул.Октябрьская, д.43</t>
    </r>
  </si>
  <si>
    <t>генеральный директор Куканов Ю.Л.</t>
  </si>
  <si>
    <t>АКТ №1</t>
  </si>
  <si>
    <t>Мытье окон</t>
  </si>
  <si>
    <t>10м2</t>
  </si>
  <si>
    <t xml:space="preserve">1 раз в год     </t>
  </si>
  <si>
    <t>Влажная протирка перил</t>
  </si>
  <si>
    <t>Влажная протирка почтовых ящиков</t>
  </si>
  <si>
    <t xml:space="preserve">Влажная уборка стен </t>
  </si>
  <si>
    <t>Влажная протирка дверей</t>
  </si>
  <si>
    <t>Влажная протирка подоконников</t>
  </si>
  <si>
    <t xml:space="preserve">1 раз в год  </t>
  </si>
  <si>
    <t>Влажная протирка шкафов для щитов и слаботочн. устройств</t>
  </si>
  <si>
    <t>Влажная протирка отопительных приборов</t>
  </si>
  <si>
    <t>2 раза в неделю 52 раза в сезон</t>
  </si>
  <si>
    <t>3 раза в неделю 78 раз за сезон</t>
  </si>
  <si>
    <t>ежедневно 365 раз</t>
  </si>
  <si>
    <t>Вывоз смета,травы,ветвей и т.п.- м/ч</t>
  </si>
  <si>
    <t xml:space="preserve"> </t>
  </si>
  <si>
    <t>Сдвигание снега в дни снегопада (проезды)</t>
  </si>
  <si>
    <t>12 раз за сезон</t>
  </si>
  <si>
    <t>Сдвигание снега в дни снегопада (крыльца, тротуары)</t>
  </si>
  <si>
    <t>24 раза за сезон</t>
  </si>
  <si>
    <t>Осмотр шиферной кровли</t>
  </si>
  <si>
    <t>Очистка края кровли от слежавшегося снега со сбрасыванием сосулек (10% от S кровли и козырьки)</t>
  </si>
  <si>
    <t xml:space="preserve">6 раз за сезон </t>
  </si>
  <si>
    <t>Очистка чердака, подвала от мусора</t>
  </si>
  <si>
    <t>100м3</t>
  </si>
  <si>
    <t>1000м3</t>
  </si>
  <si>
    <t>Вода для промывки СО</t>
  </si>
  <si>
    <t>Сброс воды после промывки СО в канализацию</t>
  </si>
  <si>
    <t>ТО внутридомового газ.оборудования</t>
  </si>
  <si>
    <t>Аварийно-диспетчерское обслуживание</t>
  </si>
  <si>
    <t>Смена трубопроводов на металл-полимерные трубы д=20</t>
  </si>
  <si>
    <t>Мелкий ремонт электропроводки</t>
  </si>
  <si>
    <t>Смена светильников с лампами накаливания</t>
  </si>
  <si>
    <t>Замена прокладки на задвижке диаметром 80мм</t>
  </si>
  <si>
    <t>Работа автовышки</t>
  </si>
  <si>
    <t>маш/час</t>
  </si>
  <si>
    <t>Устройство хомута диаметром до 50 мм</t>
  </si>
  <si>
    <t>Смена вентилей диаметром 25 мм (без материалов)</t>
  </si>
  <si>
    <t>Настройка таймера освещения ТО-2</t>
  </si>
  <si>
    <t>Смена арматуры - вентилей и клапанов обратных муфтовых диаметром до 20 мм (без материалов)</t>
  </si>
  <si>
    <t>Смена арматуры - вентилей и клапанов обратных муфтовых диаметром до 50 мм</t>
  </si>
  <si>
    <t>Ремонт отдельных мест покрытия из асбоцементных листов обыкновенного профиля</t>
  </si>
  <si>
    <t>10 м2</t>
  </si>
  <si>
    <t>Уборка газонов</t>
  </si>
  <si>
    <t>Подметание территории с усовершенствованным покрытием асф.: крыльца, контейнерн пл., проезд, тротуар</t>
  </si>
  <si>
    <t>Уборка контейнерной площадки (16 кв.м.)</t>
  </si>
  <si>
    <t>5 раз в год</t>
  </si>
  <si>
    <t>Прочистка каналов</t>
  </si>
  <si>
    <t>2. Всего за период с 01.01.2016 по 31.01.2016 выполнено работ (оказано услуг) на общую сумму: 46270,28 руб.</t>
  </si>
  <si>
    <t>(сорок шесть тысяч двести семьдесят рублей 28 копеек)</t>
  </si>
  <si>
    <t>АКТ №2</t>
  </si>
  <si>
    <t>2. Всего за период с 01.02.2016 по 29.02.2016 выполнено работ (оказано услуг) на общую сумму: 33731,00 руб.</t>
  </si>
  <si>
    <t>(тридцать три тысячи семьсот тридцать один рубль 00 копеек)</t>
  </si>
  <si>
    <r>
      <t xml:space="preserve">    Собственники помещений в многоквартирном доме, расположенном по адресу: пгт.Ярега, ул.Октябрьская, д.43, именуемые в дальнейшем "Заказчик", в лице </t>
    </r>
    <r>
      <rPr>
        <u/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>, являющегося собственником квартиры №</t>
    </r>
    <r>
      <rPr>
        <u/>
        <sz val="12"/>
        <color theme="1"/>
        <rFont val="Times New Roman"/>
        <family val="1"/>
        <charset val="204"/>
      </rPr>
      <t xml:space="preserve">          </t>
    </r>
    <r>
      <rPr>
        <sz val="12"/>
        <color theme="1"/>
        <rFont val="Times New Roman"/>
        <family val="1"/>
        <charset val="204"/>
      </rPr>
      <t>, находящихся в данном многоквартирном доме, действующего на основании решения от 05.03.2012г. стороны, и ООО «Жилсервис», именуемое в дальнейшем "Исполнитель", в лице генерального директора Куканова Юрия Леонидовича, действующего на основании Устава, с другой стороны, совместно именуемые "Стороны", составили настоящий Акт о нижеследующем:</t>
    </r>
  </si>
  <si>
    <t>АКТ №3</t>
  </si>
  <si>
    <t>III. Содержание общего имущества МКД</t>
  </si>
  <si>
    <t>IV. Прочие услуги</t>
  </si>
  <si>
    <t>2. Всего за период с 01.03.2016 по 31.03.2016 выполнено работ (оказано услуг) на общую сумму: 33570,81 руб.</t>
  </si>
  <si>
    <t>(тридцать три тысячи пятьсот семьдесят рублей 81 копейка)</t>
  </si>
  <si>
    <t>АКТ №4</t>
  </si>
  <si>
    <t>2. Всего за период с 01.04.2016 по 30.04.2016 выполнено работ (оказано услуг) на общую сумму: 38061,24 руб.</t>
  </si>
  <si>
    <t>(тридцать восемь тысяч шестьдесят один рубль 24 копейки)</t>
  </si>
  <si>
    <t>АКТ №5</t>
  </si>
  <si>
    <t>2. Всего за период с 01.05.2016 по 31.05.2016 выполнено работ (оказано услуг) на общую сумму: 87390,62 руб.</t>
  </si>
  <si>
    <t>(восемьдесят семь тысяч триста девяносто рублей 62 копейки)</t>
  </si>
  <si>
    <t>АКТ №6</t>
  </si>
  <si>
    <t>III. Прочие услуги</t>
  </si>
  <si>
    <t>2. Всего за период с 01.06.2016 по 30.06.2016 выполнено работ (оказано услуг) на общую сумму: 30049,77 руб.</t>
  </si>
  <si>
    <t>(тридцать тысяч сорок девять рублей 77 копеек)</t>
  </si>
  <si>
    <t>АКТ №7</t>
  </si>
  <si>
    <t>2. Всего за период с 01.07.2016 по 31.07.2016 выполнено работ (оказано услуг) на общую сумму: 26403,61 руб.</t>
  </si>
  <si>
    <t>(двадцать шесть тысяч четыреста три рубля 61 копейка)</t>
  </si>
  <si>
    <t>АКТ №8</t>
  </si>
  <si>
    <t>Смена трубопроводов на полипропиленовые трубы PN25 диаметром 25 мм</t>
  </si>
  <si>
    <t>Монтаж наружного светодиодного светильника</t>
  </si>
  <si>
    <t>тыс.руб.</t>
  </si>
  <si>
    <t>Выкашивание газонов газонокосилкой</t>
  </si>
  <si>
    <t>2. Всего за период с 01.08.2016 по 31.08.2016 выполнено работ (оказано услуг) на общую сумму: 45557,45 руб.</t>
  </si>
  <si>
    <t>(сорок пять тысяч пятьсот пятьдесят семь рублей 45 копеек)</t>
  </si>
  <si>
    <t>АКТ №9</t>
  </si>
  <si>
    <t>Ремонт цоколя</t>
  </si>
  <si>
    <t>2. Всего за период с 01.09.2016 по 30.09.2016 выполнено работ (оказано услуг) на общую сумму: 121215,32 руб.</t>
  </si>
  <si>
    <t>(сто двадцать одна тысяча двести пятнадцать рублей 32 копейки)</t>
  </si>
  <si>
    <t>АКТ №10</t>
  </si>
  <si>
    <t>за период с 01.10.2016 г. по 31.10.2016 г.</t>
  </si>
  <si>
    <t>2. Всего за период с 01.10.2016 по 31.10.2016 выполнено работ (оказано услуг) на общую сумму: 38451,75 руб.</t>
  </si>
  <si>
    <t>(тридцать восемь тысяч четыреста пятьдесят один рубль 75 копеек)</t>
  </si>
  <si>
    <t xml:space="preserve">приемки оказанных услуг и выполненных работ по содержанию и текущему ремонту
общего имущества в многоквартирном доме №43 по ул.Октябрьская пгт.Ярега
</t>
  </si>
</sst>
</file>

<file path=xl/styles.xml><?xml version="1.0" encoding="utf-8"?>
<styleSheet xmlns="http://schemas.openxmlformats.org/spreadsheetml/2006/main">
  <numFmts count="2">
    <numFmt numFmtId="164" formatCode="#,##0.000"/>
    <numFmt numFmtId="165" formatCode="0.0000"/>
  </numFmts>
  <fonts count="25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9"/>
      <name val="Times New Roman"/>
      <family val="1"/>
      <charset val="204"/>
    </font>
    <font>
      <u/>
      <sz val="12"/>
      <name val="Times New Roman"/>
      <family val="1"/>
      <charset val="204"/>
    </font>
    <font>
      <sz val="10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  <scheme val="minor"/>
    </font>
    <font>
      <sz val="11"/>
      <name val="Calibri"/>
      <family val="2"/>
      <charset val="204"/>
    </font>
    <font>
      <sz val="11"/>
      <color rgb="FFFF0000"/>
      <name val="Calibri"/>
      <family val="2"/>
      <charset val="204"/>
      <scheme val="minor"/>
    </font>
    <font>
      <sz val="10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u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vertAlign val="superscript"/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u/>
      <sz val="11"/>
      <color theme="1"/>
      <name val="Calibri"/>
      <family val="2"/>
      <charset val="204"/>
      <scheme val="minor"/>
    </font>
    <font>
      <sz val="11.5"/>
      <name val="Times New Roman"/>
      <family val="1"/>
      <charset val="204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51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4">
    <xf numFmtId="0" fontId="0" fillId="0" borderId="0"/>
    <xf numFmtId="0" fontId="7" fillId="0" borderId="0"/>
    <xf numFmtId="0" fontId="8" fillId="0" borderId="0"/>
    <xf numFmtId="0" fontId="8" fillId="0" borderId="0"/>
  </cellStyleXfs>
  <cellXfs count="206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 applyAlignment="1"/>
    <xf numFmtId="0" fontId="2" fillId="0" borderId="0" xfId="0" applyFont="1" applyBorder="1" applyAlignment="1">
      <alignment wrapText="1"/>
    </xf>
    <xf numFmtId="0" fontId="2" fillId="0" borderId="0" xfId="0" applyFont="1"/>
    <xf numFmtId="0" fontId="3" fillId="0" borderId="0" xfId="0" applyFont="1" applyBorder="1" applyAlignment="1">
      <alignment vertical="top" wrapText="1"/>
    </xf>
    <xf numFmtId="0" fontId="3" fillId="0" borderId="0" xfId="0" applyFont="1" applyAlignment="1">
      <alignment vertical="top" wrapText="1"/>
    </xf>
    <xf numFmtId="0" fontId="4" fillId="0" borderId="0" xfId="0" applyFont="1" applyAlignment="1"/>
    <xf numFmtId="0" fontId="5" fillId="0" borderId="3" xfId="0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0" fillId="0" borderId="0" xfId="0" applyFill="1"/>
    <xf numFmtId="0" fontId="0" fillId="0" borderId="0" xfId="0" applyBorder="1"/>
    <xf numFmtId="0" fontId="10" fillId="0" borderId="0" xfId="0" applyFont="1" applyAlignment="1">
      <alignment wrapText="1"/>
    </xf>
    <xf numFmtId="0" fontId="2" fillId="0" borderId="0" xfId="0" applyFont="1" applyAlignment="1">
      <alignment horizontal="justify"/>
    </xf>
    <xf numFmtId="0" fontId="2" fillId="0" borderId="0" xfId="0" applyFont="1" applyAlignment="1">
      <alignment horizontal="center" wrapText="1"/>
    </xf>
    <xf numFmtId="0" fontId="11" fillId="0" borderId="0" xfId="0" applyFont="1"/>
    <xf numFmtId="0" fontId="13" fillId="0" borderId="3" xfId="0" applyFont="1" applyFill="1" applyBorder="1" applyAlignment="1">
      <alignment horizontal="left"/>
    </xf>
    <xf numFmtId="0" fontId="13" fillId="0" borderId="3" xfId="0" applyFont="1" applyFill="1" applyBorder="1" applyAlignment="1">
      <alignment horizontal="center"/>
    </xf>
    <xf numFmtId="4" fontId="13" fillId="0" borderId="3" xfId="0" applyNumberFormat="1" applyFont="1" applyFill="1" applyBorder="1" applyAlignment="1">
      <alignment horizontal="center" wrapText="1"/>
    </xf>
    <xf numFmtId="4" fontId="13" fillId="0" borderId="3" xfId="0" applyNumberFormat="1" applyFont="1" applyFill="1" applyBorder="1" applyAlignment="1">
      <alignment horizontal="center" vertical="center"/>
    </xf>
    <xf numFmtId="4" fontId="13" fillId="0" borderId="3" xfId="0" applyNumberFormat="1" applyFont="1" applyFill="1" applyBorder="1" applyAlignment="1">
      <alignment horizontal="center"/>
    </xf>
    <xf numFmtId="0" fontId="13" fillId="0" borderId="3" xfId="0" applyFont="1" applyFill="1" applyBorder="1" applyAlignment="1">
      <alignment horizontal="left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/>
    </xf>
    <xf numFmtId="164" fontId="13" fillId="0" borderId="3" xfId="0" applyNumberFormat="1" applyFont="1" applyFill="1" applyBorder="1" applyAlignment="1">
      <alignment horizontal="center" vertical="center"/>
    </xf>
    <xf numFmtId="4" fontId="13" fillId="2" borderId="3" xfId="0" applyNumberFormat="1" applyFont="1" applyFill="1" applyBorder="1" applyAlignment="1">
      <alignment horizontal="center" vertical="center" wrapText="1"/>
    </xf>
    <xf numFmtId="4" fontId="13" fillId="0" borderId="3" xfId="0" applyNumberFormat="1" applyFont="1" applyFill="1" applyBorder="1" applyAlignment="1">
      <alignment horizontal="center" vertical="center" wrapText="1"/>
    </xf>
    <xf numFmtId="2" fontId="13" fillId="0" borderId="3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left" vertical="center" wrapText="1"/>
    </xf>
    <xf numFmtId="0" fontId="13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left" vertical="center" wrapText="1"/>
    </xf>
    <xf numFmtId="0" fontId="13" fillId="0" borderId="7" xfId="0" applyFont="1" applyFill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2" fontId="0" fillId="0" borderId="0" xfId="0" applyNumberFormat="1"/>
    <xf numFmtId="4" fontId="0" fillId="0" borderId="0" xfId="0" applyNumberFormat="1"/>
    <xf numFmtId="164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17" fillId="0" borderId="0" xfId="0" applyFont="1" applyAlignment="1">
      <alignment horizontal="right" vertical="center"/>
    </xf>
    <xf numFmtId="0" fontId="17" fillId="0" borderId="0" xfId="0" applyFont="1" applyAlignment="1">
      <alignment vertical="center"/>
    </xf>
    <xf numFmtId="0" fontId="17" fillId="0" borderId="0" xfId="0" applyFont="1"/>
    <xf numFmtId="0" fontId="13" fillId="0" borderId="3" xfId="0" applyFont="1" applyFill="1" applyBorder="1" applyAlignment="1">
      <alignment horizontal="center" vertical="center" wrapText="1"/>
    </xf>
    <xf numFmtId="14" fontId="2" fillId="0" borderId="0" xfId="0" applyNumberFormat="1" applyFont="1" applyAlignment="1">
      <alignment wrapText="1"/>
    </xf>
    <xf numFmtId="0" fontId="0" fillId="0" borderId="0" xfId="0" applyFill="1" applyAlignment="1">
      <alignment horizontal="center"/>
    </xf>
    <xf numFmtId="0" fontId="3" fillId="0" borderId="0" xfId="0" applyFont="1" applyAlignment="1">
      <alignment horizontal="center" vertical="top" wrapText="1"/>
    </xf>
    <xf numFmtId="0" fontId="9" fillId="0" borderId="3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left" vertical="center" wrapText="1"/>
    </xf>
    <xf numFmtId="165" fontId="0" fillId="0" borderId="0" xfId="0" applyNumberFormat="1" applyFill="1"/>
    <xf numFmtId="0" fontId="13" fillId="0" borderId="0" xfId="0" applyFont="1" applyFill="1" applyBorder="1" applyAlignment="1">
      <alignment horizontal="center" vertical="center" wrapText="1"/>
    </xf>
    <xf numFmtId="4" fontId="15" fillId="0" borderId="3" xfId="0" applyNumberFormat="1" applyFont="1" applyFill="1" applyBorder="1" applyAlignment="1">
      <alignment horizontal="center" vertical="center" wrapText="1"/>
    </xf>
    <xf numFmtId="4" fontId="13" fillId="2" borderId="9" xfId="0" applyNumberFormat="1" applyFont="1" applyFill="1" applyBorder="1" applyAlignment="1">
      <alignment horizontal="center" vertical="center" wrapText="1"/>
    </xf>
    <xf numFmtId="4" fontId="13" fillId="2" borderId="9" xfId="0" applyNumberFormat="1" applyFont="1" applyFill="1" applyBorder="1" applyAlignment="1">
      <alignment horizontal="center" vertical="center"/>
    </xf>
    <xf numFmtId="0" fontId="13" fillId="2" borderId="9" xfId="0" applyFont="1" applyFill="1" applyBorder="1" applyAlignment="1">
      <alignment horizontal="left" vertical="center" wrapText="1"/>
    </xf>
    <xf numFmtId="0" fontId="16" fillId="0" borderId="3" xfId="0" applyFont="1" applyBorder="1" applyAlignment="1">
      <alignment horizontal="center" vertical="center"/>
    </xf>
    <xf numFmtId="0" fontId="13" fillId="3" borderId="9" xfId="0" applyFont="1" applyFill="1" applyBorder="1" applyAlignment="1">
      <alignment horizontal="left" vertical="center" wrapText="1"/>
    </xf>
    <xf numFmtId="4" fontId="13" fillId="3" borderId="9" xfId="0" applyNumberFormat="1" applyFont="1" applyFill="1" applyBorder="1" applyAlignment="1">
      <alignment horizontal="center" vertical="center"/>
    </xf>
    <xf numFmtId="0" fontId="16" fillId="0" borderId="3" xfId="0" applyFont="1" applyBorder="1"/>
    <xf numFmtId="0" fontId="16" fillId="0" borderId="3" xfId="0" applyFont="1" applyFill="1" applyBorder="1"/>
    <xf numFmtId="4" fontId="13" fillId="2" borderId="3" xfId="0" applyNumberFormat="1" applyFont="1" applyFill="1" applyBorder="1" applyAlignment="1">
      <alignment horizontal="center" vertical="center"/>
    </xf>
    <xf numFmtId="4" fontId="13" fillId="3" borderId="3" xfId="0" applyNumberFormat="1" applyFont="1" applyFill="1" applyBorder="1" applyAlignment="1">
      <alignment horizontal="center" vertical="center"/>
    </xf>
    <xf numFmtId="4" fontId="13" fillId="4" borderId="3" xfId="0" applyNumberFormat="1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left" vertical="center" wrapText="1"/>
    </xf>
    <xf numFmtId="0" fontId="13" fillId="2" borderId="3" xfId="0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horizontal="left" vertical="center"/>
    </xf>
    <xf numFmtId="0" fontId="13" fillId="3" borderId="3" xfId="0" applyFont="1" applyFill="1" applyBorder="1" applyAlignment="1">
      <alignment horizontal="center" vertical="center"/>
    </xf>
    <xf numFmtId="4" fontId="15" fillId="2" borderId="3" xfId="0" applyNumberFormat="1" applyFont="1" applyFill="1" applyBorder="1" applyAlignment="1">
      <alignment horizontal="left" vertical="center"/>
    </xf>
    <xf numFmtId="0" fontId="13" fillId="2" borderId="9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wrapText="1"/>
    </xf>
    <xf numFmtId="1" fontId="13" fillId="0" borderId="3" xfId="0" applyNumberFormat="1" applyFont="1" applyBorder="1" applyAlignment="1">
      <alignment horizontal="center" vertical="center" wrapText="1"/>
    </xf>
    <xf numFmtId="0" fontId="13" fillId="0" borderId="3" xfId="3" applyFont="1" applyBorder="1" applyAlignment="1">
      <alignment horizontal="center" vertical="center"/>
    </xf>
    <xf numFmtId="4" fontId="15" fillId="2" borderId="3" xfId="0" applyNumberFormat="1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left" wrapText="1"/>
    </xf>
    <xf numFmtId="0" fontId="15" fillId="0" borderId="3" xfId="0" applyFont="1" applyFill="1" applyBorder="1" applyAlignment="1">
      <alignment horizontal="left"/>
    </xf>
    <xf numFmtId="0" fontId="15" fillId="0" borderId="3" xfId="0" applyFont="1" applyFill="1" applyBorder="1" applyAlignment="1">
      <alignment horizontal="center" wrapText="1"/>
    </xf>
    <xf numFmtId="0" fontId="15" fillId="2" borderId="3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/>
    </xf>
    <xf numFmtId="0" fontId="15" fillId="0" borderId="3" xfId="0" applyFont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left" vertical="center"/>
    </xf>
    <xf numFmtId="0" fontId="13" fillId="2" borderId="12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 wrapText="1"/>
    </xf>
    <xf numFmtId="0" fontId="16" fillId="3" borderId="3" xfId="0" applyFont="1" applyFill="1" applyBorder="1" applyAlignment="1">
      <alignment horizontal="left" vertical="center" wrapText="1"/>
    </xf>
    <xf numFmtId="0" fontId="14" fillId="0" borderId="3" xfId="0" applyFont="1" applyFill="1" applyBorder="1" applyAlignment="1">
      <alignment horizontal="center" wrapText="1"/>
    </xf>
    <xf numFmtId="0" fontId="13" fillId="0" borderId="3" xfId="0" applyFont="1" applyBorder="1"/>
    <xf numFmtId="0" fontId="2" fillId="0" borderId="0" xfId="0" applyFont="1" applyAlignment="1">
      <alignment horizontal="left" wrapText="1"/>
    </xf>
    <xf numFmtId="0" fontId="3" fillId="0" borderId="2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0" xfId="0" applyFont="1" applyBorder="1" applyAlignment="1">
      <alignment horizontal="left" wrapText="1"/>
    </xf>
    <xf numFmtId="0" fontId="15" fillId="0" borderId="3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left" wrapText="1"/>
    </xf>
    <xf numFmtId="0" fontId="13" fillId="0" borderId="3" xfId="0" applyNumberFormat="1" applyFont="1" applyFill="1" applyBorder="1" applyAlignment="1" applyProtection="1">
      <alignment horizontal="left" vertical="center" wrapText="1"/>
    </xf>
    <xf numFmtId="0" fontId="13" fillId="0" borderId="3" xfId="0" applyNumberFormat="1" applyFont="1" applyFill="1" applyBorder="1" applyAlignment="1" applyProtection="1">
      <alignment horizontal="center" vertical="center" wrapText="1"/>
    </xf>
    <xf numFmtId="0" fontId="13" fillId="2" borderId="3" xfId="0" applyNumberFormat="1" applyFont="1" applyFill="1" applyBorder="1" applyAlignment="1" applyProtection="1">
      <alignment horizontal="left" vertical="center" wrapText="1"/>
    </xf>
    <xf numFmtId="0" fontId="13" fillId="2" borderId="3" xfId="0" applyNumberFormat="1" applyFont="1" applyFill="1" applyBorder="1" applyAlignment="1" applyProtection="1">
      <alignment horizontal="center" vertical="center" wrapText="1"/>
    </xf>
    <xf numFmtId="0" fontId="13" fillId="2" borderId="3" xfId="0" applyNumberFormat="1" applyFont="1" applyFill="1" applyBorder="1" applyAlignment="1" applyProtection="1">
      <alignment horizontal="left" vertical="center"/>
    </xf>
    <xf numFmtId="0" fontId="13" fillId="3" borderId="3" xfId="0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left" vertical="center" wrapText="1"/>
    </xf>
    <xf numFmtId="0" fontId="15" fillId="0" borderId="3" xfId="0" applyFont="1" applyFill="1" applyBorder="1" applyAlignment="1">
      <alignment wrapText="1"/>
    </xf>
    <xf numFmtId="4" fontId="13" fillId="0" borderId="6" xfId="0" applyNumberFormat="1" applyFont="1" applyFill="1" applyBorder="1" applyAlignment="1">
      <alignment horizontal="center" wrapText="1"/>
    </xf>
    <xf numFmtId="0" fontId="13" fillId="2" borderId="12" xfId="0" applyFont="1" applyFill="1" applyBorder="1" applyAlignment="1">
      <alignment horizontal="left" vertical="center" wrapText="1"/>
    </xf>
    <xf numFmtId="0" fontId="13" fillId="2" borderId="12" xfId="0" applyFont="1" applyFill="1" applyBorder="1" applyAlignment="1">
      <alignment horizontal="center" vertical="center" wrapText="1"/>
    </xf>
    <xf numFmtId="0" fontId="13" fillId="3" borderId="9" xfId="0" applyFont="1" applyFill="1" applyBorder="1" applyAlignment="1">
      <alignment horizontal="center" vertical="center"/>
    </xf>
    <xf numFmtId="4" fontId="15" fillId="2" borderId="3" xfId="0" applyNumberFormat="1" applyFont="1" applyFill="1" applyBorder="1" applyAlignment="1">
      <alignment horizontal="center" vertical="center"/>
    </xf>
    <xf numFmtId="2" fontId="13" fillId="0" borderId="3" xfId="0" applyNumberFormat="1" applyFont="1" applyFill="1" applyBorder="1" applyAlignment="1">
      <alignment horizontal="center" vertical="center" wrapText="1"/>
    </xf>
    <xf numFmtId="0" fontId="13" fillId="0" borderId="3" xfId="1" applyFont="1" applyBorder="1" applyAlignment="1">
      <alignment horizontal="center" vertical="center" wrapText="1"/>
    </xf>
    <xf numFmtId="0" fontId="13" fillId="2" borderId="15" xfId="0" applyNumberFormat="1" applyFont="1" applyFill="1" applyBorder="1" applyAlignment="1" applyProtection="1">
      <alignment horizontal="left" vertical="center" wrapText="1"/>
    </xf>
    <xf numFmtId="0" fontId="13" fillId="2" borderId="15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2" fillId="0" borderId="0" xfId="0" applyFont="1" applyBorder="1" applyAlignment="1">
      <alignment horizontal="left" wrapText="1"/>
    </xf>
    <xf numFmtId="0" fontId="13" fillId="0" borderId="3" xfId="0" applyFont="1" applyFill="1" applyBorder="1" applyAlignment="1">
      <alignment horizontal="left" wrapText="1"/>
    </xf>
    <xf numFmtId="0" fontId="13" fillId="0" borderId="16" xfId="0" applyFont="1" applyFill="1" applyBorder="1" applyAlignment="1">
      <alignment horizontal="center" vertical="center" wrapText="1"/>
    </xf>
    <xf numFmtId="0" fontId="21" fillId="2" borderId="3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15" fillId="0" borderId="4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5" fillId="0" borderId="3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4" fontId="13" fillId="2" borderId="0" xfId="0" applyNumberFormat="1" applyFont="1" applyFill="1" applyBorder="1" applyAlignment="1">
      <alignment horizontal="center" vertical="center" wrapText="1"/>
    </xf>
    <xf numFmtId="4" fontId="13" fillId="0" borderId="0" xfId="0" applyNumberFormat="1" applyFont="1" applyFill="1" applyBorder="1" applyAlignment="1">
      <alignment horizontal="center" vertical="center"/>
    </xf>
    <xf numFmtId="0" fontId="23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4" fontId="13" fillId="2" borderId="0" xfId="0" applyNumberFormat="1" applyFont="1" applyFill="1" applyBorder="1" applyAlignment="1">
      <alignment horizontal="center" vertical="center"/>
    </xf>
    <xf numFmtId="4" fontId="13" fillId="3" borderId="0" xfId="0" applyNumberFormat="1" applyFont="1" applyFill="1" applyBorder="1" applyAlignment="1">
      <alignment horizontal="center" vertical="center"/>
    </xf>
    <xf numFmtId="0" fontId="16" fillId="0" borderId="0" xfId="0" applyFont="1" applyBorder="1" applyAlignment="1">
      <alignment wrapText="1"/>
    </xf>
    <xf numFmtId="4" fontId="24" fillId="2" borderId="17" xfId="0" applyNumberFormat="1" applyFont="1" applyFill="1" applyBorder="1" applyAlignment="1">
      <alignment horizontal="center" vertical="center"/>
    </xf>
    <xf numFmtId="4" fontId="24" fillId="2" borderId="5" xfId="0" applyNumberFormat="1" applyFont="1" applyFill="1" applyBorder="1" applyAlignment="1">
      <alignment horizontal="center" vertical="center"/>
    </xf>
    <xf numFmtId="4" fontId="24" fillId="0" borderId="5" xfId="0" applyNumberFormat="1" applyFont="1" applyFill="1" applyBorder="1" applyAlignment="1">
      <alignment horizontal="center" vertical="center"/>
    </xf>
    <xf numFmtId="4" fontId="20" fillId="2" borderId="9" xfId="0" applyNumberFormat="1" applyFont="1" applyFill="1" applyBorder="1" applyAlignment="1">
      <alignment horizontal="center" vertical="center" wrapText="1"/>
    </xf>
    <xf numFmtId="0" fontId="21" fillId="0" borderId="3" xfId="0" applyFont="1" applyFill="1" applyBorder="1" applyAlignment="1">
      <alignment horizontal="left" vertical="center" wrapText="1"/>
    </xf>
    <xf numFmtId="4" fontId="13" fillId="0" borderId="5" xfId="0" applyNumberFormat="1" applyFont="1" applyFill="1" applyBorder="1" applyAlignment="1">
      <alignment horizontal="center" vertical="center"/>
    </xf>
    <xf numFmtId="0" fontId="13" fillId="0" borderId="3" xfId="0" applyNumberFormat="1" applyFont="1" applyFill="1" applyBorder="1" applyAlignment="1" applyProtection="1">
      <alignment horizontal="center" vertical="center"/>
    </xf>
    <xf numFmtId="0" fontId="13" fillId="0" borderId="9" xfId="0" applyFont="1" applyFill="1" applyBorder="1" applyAlignment="1">
      <alignment horizontal="left" vertical="center" wrapText="1"/>
    </xf>
    <xf numFmtId="0" fontId="13" fillId="0" borderId="9" xfId="0" applyFont="1" applyFill="1" applyBorder="1" applyAlignment="1">
      <alignment horizontal="center" vertical="center"/>
    </xf>
    <xf numFmtId="4" fontId="13" fillId="0" borderId="9" xfId="0" applyNumberFormat="1" applyFont="1" applyFill="1" applyBorder="1" applyAlignment="1">
      <alignment horizontal="center" vertical="center" wrapText="1"/>
    </xf>
    <xf numFmtId="4" fontId="13" fillId="0" borderId="9" xfId="0" applyNumberFormat="1" applyFont="1" applyFill="1" applyBorder="1" applyAlignment="1">
      <alignment horizontal="center" vertical="center"/>
    </xf>
    <xf numFmtId="4" fontId="13" fillId="0" borderId="17" xfId="0" applyNumberFormat="1" applyFont="1" applyFill="1" applyBorder="1" applyAlignment="1">
      <alignment horizontal="center" vertical="center"/>
    </xf>
    <xf numFmtId="4" fontId="13" fillId="0" borderId="18" xfId="0" applyNumberFormat="1" applyFont="1" applyFill="1" applyBorder="1" applyAlignment="1">
      <alignment horizontal="center" vertical="center" wrapText="1"/>
    </xf>
    <xf numFmtId="4" fontId="15" fillId="0" borderId="3" xfId="0" applyNumberFormat="1" applyFont="1" applyFill="1" applyBorder="1" applyAlignment="1">
      <alignment horizontal="center" vertical="center"/>
    </xf>
    <xf numFmtId="4" fontId="20" fillId="0" borderId="9" xfId="0" applyNumberFormat="1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left" vertical="center"/>
    </xf>
    <xf numFmtId="4" fontId="13" fillId="0" borderId="19" xfId="0" applyNumberFormat="1" applyFont="1" applyFill="1" applyBorder="1" applyAlignment="1">
      <alignment horizontal="center" vertical="center"/>
    </xf>
    <xf numFmtId="0" fontId="13" fillId="0" borderId="12" xfId="0" applyFont="1" applyFill="1" applyBorder="1" applyAlignment="1">
      <alignment horizontal="center" vertical="center"/>
    </xf>
    <xf numFmtId="0" fontId="13" fillId="0" borderId="12" xfId="0" applyFont="1" applyFill="1" applyBorder="1" applyAlignment="1">
      <alignment horizontal="left" vertical="center" wrapText="1"/>
    </xf>
    <xf numFmtId="4" fontId="13" fillId="0" borderId="12" xfId="0" applyNumberFormat="1" applyFont="1" applyFill="1" applyBorder="1" applyAlignment="1">
      <alignment horizontal="center" vertical="center" wrapText="1"/>
    </xf>
    <xf numFmtId="4" fontId="13" fillId="0" borderId="12" xfId="0" applyNumberFormat="1" applyFont="1" applyFill="1" applyBorder="1" applyAlignment="1">
      <alignment horizontal="center" vertical="center"/>
    </xf>
    <xf numFmtId="4" fontId="13" fillId="0" borderId="20" xfId="0" applyNumberFormat="1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left" vertical="center" wrapText="1"/>
    </xf>
    <xf numFmtId="0" fontId="15" fillId="0" borderId="3" xfId="0" applyFont="1" applyFill="1" applyBorder="1" applyAlignment="1">
      <alignment horizontal="left" vertical="center"/>
    </xf>
    <xf numFmtId="0" fontId="15" fillId="0" borderId="3" xfId="0" applyFont="1" applyFill="1" applyBorder="1" applyAlignment="1">
      <alignment horizontal="center" vertical="center"/>
    </xf>
    <xf numFmtId="4" fontId="15" fillId="0" borderId="5" xfId="0" applyNumberFormat="1" applyFont="1" applyFill="1" applyBorder="1" applyAlignment="1">
      <alignment horizontal="center" vertical="center"/>
    </xf>
    <xf numFmtId="4" fontId="13" fillId="0" borderId="0" xfId="0" applyNumberFormat="1" applyFont="1" applyFill="1" applyBorder="1" applyAlignment="1">
      <alignment horizontal="center" vertical="center" wrapText="1"/>
    </xf>
    <xf numFmtId="1" fontId="13" fillId="0" borderId="3" xfId="0" applyNumberFormat="1" applyFont="1" applyFill="1" applyBorder="1" applyAlignment="1">
      <alignment horizontal="left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0" fontId="13" fillId="0" borderId="14" xfId="0" applyFont="1" applyFill="1" applyBorder="1" applyAlignment="1">
      <alignment horizontal="left" vertical="center" wrapText="1"/>
    </xf>
    <xf numFmtId="4" fontId="13" fillId="0" borderId="7" xfId="0" applyNumberFormat="1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vertical="center" wrapText="1"/>
    </xf>
    <xf numFmtId="4" fontId="24" fillId="4" borderId="3" xfId="0" applyNumberFormat="1" applyFont="1" applyFill="1" applyBorder="1" applyAlignment="1">
      <alignment horizontal="center" vertical="center"/>
    </xf>
    <xf numFmtId="0" fontId="13" fillId="0" borderId="3" xfId="0" applyFont="1" applyBorder="1" applyAlignment="1">
      <alignment horizontal="left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/>
    <xf numFmtId="0" fontId="17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5" fillId="0" borderId="0" xfId="0" applyFont="1" applyAlignment="1">
      <alignment horizontal="left"/>
    </xf>
    <xf numFmtId="0" fontId="2" fillId="0" borderId="2" xfId="0" applyFont="1" applyBorder="1" applyAlignment="1">
      <alignment horizontal="left" wrapText="1"/>
    </xf>
    <xf numFmtId="0" fontId="16" fillId="0" borderId="1" xfId="0" applyFont="1" applyBorder="1" applyAlignment="1">
      <alignment wrapText="1"/>
    </xf>
    <xf numFmtId="0" fontId="3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0" fontId="14" fillId="0" borderId="8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14" fillId="0" borderId="13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23" fillId="0" borderId="1" xfId="0" applyFont="1" applyBorder="1" applyAlignment="1">
      <alignment horizontal="center" wrapText="1"/>
    </xf>
    <xf numFmtId="0" fontId="14" fillId="0" borderId="5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11" xfId="0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wrapText="1"/>
    </xf>
    <xf numFmtId="0" fontId="1" fillId="0" borderId="0" xfId="0" applyFont="1" applyAlignment="1">
      <alignment vertical="center" wrapText="1"/>
    </xf>
  </cellXfs>
  <cellStyles count="4">
    <cellStyle name="Обычный" xfId="0" builtinId="0"/>
    <cellStyle name="Обычный 2" xfId="2"/>
    <cellStyle name="Обычный 2 2" xfId="3"/>
    <cellStyle name="Обычный_Соддома № 13 по ул.Чибьюская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94"/>
  <sheetViews>
    <sheetView tabSelected="1" workbookViewId="0">
      <selection activeCell="A3" sqref="A3:I3"/>
    </sheetView>
  </sheetViews>
  <sheetFormatPr defaultRowHeight="15"/>
  <cols>
    <col min="1" max="1" width="6.42578125" customWidth="1"/>
    <col min="2" max="2" width="53.140625" customWidth="1"/>
    <col min="3" max="3" width="18.5703125" customWidth="1"/>
    <col min="4" max="4" width="18.28515625" customWidth="1"/>
    <col min="5" max="6" width="0" hidden="1" customWidth="1"/>
    <col min="7" max="7" width="22.5703125" customWidth="1"/>
    <col min="8" max="8" width="22.5703125" hidden="1" customWidth="1"/>
    <col min="9" max="9" width="22.5703125" customWidth="1"/>
  </cols>
  <sheetData>
    <row r="1" spans="1:9" ht="15.75">
      <c r="A1" s="42" t="s">
        <v>136</v>
      </c>
      <c r="I1" s="41"/>
    </row>
    <row r="2" spans="1:9" ht="15.75">
      <c r="A2" s="43" t="s">
        <v>82</v>
      </c>
    </row>
    <row r="3" spans="1:9" ht="15.75">
      <c r="A3" s="172" t="s">
        <v>192</v>
      </c>
      <c r="B3" s="172"/>
      <c r="C3" s="172"/>
      <c r="D3" s="172"/>
      <c r="E3" s="172"/>
      <c r="F3" s="172"/>
      <c r="G3" s="172"/>
      <c r="H3" s="172"/>
      <c r="I3" s="172"/>
    </row>
    <row r="4" spans="1:9" ht="31.5" customHeight="1">
      <c r="A4" s="173" t="s">
        <v>280</v>
      </c>
      <c r="B4" s="173"/>
      <c r="C4" s="173"/>
      <c r="D4" s="173"/>
      <c r="E4" s="173"/>
      <c r="F4" s="173"/>
      <c r="G4" s="173"/>
      <c r="H4" s="173"/>
      <c r="I4" s="173"/>
    </row>
    <row r="5" spans="1:9" ht="15.75">
      <c r="A5" s="172" t="s">
        <v>110</v>
      </c>
      <c r="B5" s="174"/>
      <c r="C5" s="174"/>
      <c r="D5" s="174"/>
      <c r="E5" s="174"/>
      <c r="F5" s="174"/>
      <c r="G5" s="174"/>
      <c r="H5" s="174"/>
      <c r="I5" s="174"/>
    </row>
    <row r="6" spans="1:9" ht="15.75">
      <c r="A6" s="2"/>
      <c r="B6" s="112"/>
      <c r="C6" s="112"/>
      <c r="D6" s="112"/>
      <c r="E6" s="112"/>
      <c r="F6" s="112"/>
      <c r="G6" s="112"/>
      <c r="H6" s="112"/>
      <c r="I6" s="45">
        <v>42400</v>
      </c>
    </row>
    <row r="7" spans="1:9" ht="15.75">
      <c r="B7" s="114"/>
      <c r="C7" s="114"/>
      <c r="D7" s="114"/>
      <c r="E7" s="3"/>
      <c r="F7" s="3"/>
      <c r="G7" s="3"/>
      <c r="H7" s="3"/>
    </row>
    <row r="8" spans="1:9" ht="78.75" customHeight="1">
      <c r="A8" s="175" t="s">
        <v>246</v>
      </c>
      <c r="B8" s="175"/>
      <c r="C8" s="175"/>
      <c r="D8" s="175"/>
      <c r="E8" s="175"/>
      <c r="F8" s="175"/>
      <c r="G8" s="175"/>
      <c r="H8" s="175"/>
      <c r="I8" s="175"/>
    </row>
    <row r="9" spans="1:9" ht="15.75">
      <c r="A9" s="4"/>
    </row>
    <row r="10" spans="1:9" ht="47.25" customHeight="1">
      <c r="A10" s="176" t="s">
        <v>190</v>
      </c>
      <c r="B10" s="176"/>
      <c r="C10" s="176"/>
      <c r="D10" s="176"/>
      <c r="E10" s="176"/>
      <c r="F10" s="176"/>
      <c r="G10" s="176"/>
      <c r="H10" s="176"/>
      <c r="I10" s="176"/>
    </row>
    <row r="11" spans="1:9" ht="15.75">
      <c r="A11" s="4"/>
    </row>
    <row r="12" spans="1:9" ht="47.25" customHeight="1">
      <c r="A12" s="8" t="s">
        <v>0</v>
      </c>
      <c r="B12" s="8" t="s">
        <v>1</v>
      </c>
      <c r="C12" s="8" t="s">
        <v>2</v>
      </c>
      <c r="D12" s="8" t="s">
        <v>18</v>
      </c>
      <c r="E12" s="8" t="s">
        <v>19</v>
      </c>
      <c r="F12" s="8"/>
      <c r="G12" s="8" t="s">
        <v>23</v>
      </c>
      <c r="H12" s="8"/>
      <c r="I12" s="8" t="s">
        <v>3</v>
      </c>
    </row>
    <row r="13" spans="1:9">
      <c r="A13" s="9">
        <v>1</v>
      </c>
      <c r="B13" s="9">
        <v>2</v>
      </c>
      <c r="C13" s="9">
        <v>3</v>
      </c>
      <c r="D13" s="9">
        <v>4</v>
      </c>
      <c r="E13" s="9">
        <v>5</v>
      </c>
      <c r="F13" s="9"/>
      <c r="G13" s="9">
        <v>5</v>
      </c>
      <c r="H13" s="9"/>
      <c r="I13" s="9">
        <v>6</v>
      </c>
    </row>
    <row r="14" spans="1:9" ht="15" customHeight="1">
      <c r="A14" s="177" t="s">
        <v>74</v>
      </c>
      <c r="B14" s="177"/>
      <c r="C14" s="177"/>
      <c r="D14" s="177"/>
      <c r="E14" s="177"/>
      <c r="F14" s="177"/>
      <c r="G14" s="177"/>
      <c r="H14" s="177"/>
      <c r="I14" s="177"/>
    </row>
    <row r="15" spans="1:9" ht="15" customHeight="1">
      <c r="A15" s="171" t="s">
        <v>4</v>
      </c>
      <c r="B15" s="171"/>
      <c r="C15" s="171"/>
      <c r="D15" s="171"/>
      <c r="E15" s="171"/>
      <c r="F15" s="171"/>
      <c r="G15" s="171"/>
      <c r="H15" s="171"/>
      <c r="I15" s="171"/>
    </row>
    <row r="16" spans="1:9" ht="31.5" customHeight="1">
      <c r="A16" s="44">
        <v>1</v>
      </c>
      <c r="B16" s="143" t="s">
        <v>147</v>
      </c>
      <c r="C16" s="144" t="s">
        <v>148</v>
      </c>
      <c r="D16" s="143" t="s">
        <v>149</v>
      </c>
      <c r="E16" s="145">
        <v>38.1</v>
      </c>
      <c r="F16" s="146">
        <f>SUM(E16*156/100)</f>
        <v>59.436000000000007</v>
      </c>
      <c r="G16" s="146">
        <v>187.48</v>
      </c>
      <c r="H16" s="147">
        <f t="shared" ref="H16:H26" si="0">SUM(F16*G16/1000)</f>
        <v>11.14306128</v>
      </c>
      <c r="I16" s="19">
        <f>F16/12*G16</f>
        <v>928.58843999999999</v>
      </c>
    </row>
    <row r="17" spans="1:9" ht="31.5" customHeight="1">
      <c r="A17" s="44">
        <v>2</v>
      </c>
      <c r="B17" s="143" t="s">
        <v>150</v>
      </c>
      <c r="C17" s="144" t="s">
        <v>148</v>
      </c>
      <c r="D17" s="143" t="s">
        <v>151</v>
      </c>
      <c r="E17" s="145">
        <v>114.4</v>
      </c>
      <c r="F17" s="146">
        <f>SUM(E17*104/100)</f>
        <v>118.976</v>
      </c>
      <c r="G17" s="146">
        <v>187.48</v>
      </c>
      <c r="H17" s="147">
        <f t="shared" si="0"/>
        <v>22.305620479999998</v>
      </c>
      <c r="I17" s="19">
        <f>F17/12*G17</f>
        <v>1858.8017066666666</v>
      </c>
    </row>
    <row r="18" spans="1:9" ht="31.5" customHeight="1">
      <c r="A18" s="44">
        <v>3</v>
      </c>
      <c r="B18" s="143" t="s">
        <v>152</v>
      </c>
      <c r="C18" s="144" t="s">
        <v>148</v>
      </c>
      <c r="D18" s="143" t="s">
        <v>153</v>
      </c>
      <c r="E18" s="145">
        <f>SUM(E16+E17)</f>
        <v>152.5</v>
      </c>
      <c r="F18" s="146">
        <f>SUM(E18*24/100)</f>
        <v>36.6</v>
      </c>
      <c r="G18" s="146">
        <v>539.30999999999995</v>
      </c>
      <c r="H18" s="147">
        <f t="shared" si="0"/>
        <v>19.738745999999999</v>
      </c>
      <c r="I18" s="19">
        <f>F18/12*G18</f>
        <v>1644.8955000000001</v>
      </c>
    </row>
    <row r="19" spans="1:9" ht="15.75" hidden="1" customHeight="1">
      <c r="A19" s="44">
        <v>4</v>
      </c>
      <c r="B19" s="143" t="s">
        <v>193</v>
      </c>
      <c r="C19" s="144" t="s">
        <v>194</v>
      </c>
      <c r="D19" s="143" t="s">
        <v>195</v>
      </c>
      <c r="E19" s="145">
        <v>32.4</v>
      </c>
      <c r="F19" s="146">
        <f>SUM(E19/10)</f>
        <v>3.2399999999999998</v>
      </c>
      <c r="G19" s="146">
        <v>181.91</v>
      </c>
      <c r="H19" s="147">
        <f t="shared" si="0"/>
        <v>0.58938839999999992</v>
      </c>
      <c r="I19" s="19">
        <v>0</v>
      </c>
    </row>
    <row r="20" spans="1:9" ht="15.75" hidden="1" customHeight="1">
      <c r="A20" s="44">
        <v>5</v>
      </c>
      <c r="B20" s="143" t="s">
        <v>196</v>
      </c>
      <c r="C20" s="144" t="s">
        <v>148</v>
      </c>
      <c r="D20" s="143" t="s">
        <v>49</v>
      </c>
      <c r="E20" s="145">
        <v>12.24</v>
      </c>
      <c r="F20" s="146">
        <f>SUM(E20*2/100)</f>
        <v>0.24480000000000002</v>
      </c>
      <c r="G20" s="146">
        <v>232.92</v>
      </c>
      <c r="H20" s="147">
        <f t="shared" si="0"/>
        <v>5.7018816E-2</v>
      </c>
      <c r="I20" s="19">
        <v>0</v>
      </c>
    </row>
    <row r="21" spans="1:9" ht="15.75" hidden="1" customHeight="1">
      <c r="A21" s="44">
        <v>6</v>
      </c>
      <c r="B21" s="143" t="s">
        <v>197</v>
      </c>
      <c r="C21" s="144" t="s">
        <v>148</v>
      </c>
      <c r="D21" s="143" t="s">
        <v>49</v>
      </c>
      <c r="E21" s="145">
        <v>10.08</v>
      </c>
      <c r="F21" s="146">
        <f>SUM(E21*2/100)</f>
        <v>0.2016</v>
      </c>
      <c r="G21" s="146">
        <v>231.03</v>
      </c>
      <c r="H21" s="147">
        <f t="shared" si="0"/>
        <v>4.6575648000000004E-2</v>
      </c>
      <c r="I21" s="19">
        <v>0</v>
      </c>
    </row>
    <row r="22" spans="1:9" ht="15.75" hidden="1" customHeight="1">
      <c r="A22" s="44">
        <v>7</v>
      </c>
      <c r="B22" s="143" t="s">
        <v>198</v>
      </c>
      <c r="C22" s="144" t="s">
        <v>62</v>
      </c>
      <c r="D22" s="143" t="s">
        <v>195</v>
      </c>
      <c r="E22" s="145">
        <v>293.76</v>
      </c>
      <c r="F22" s="146">
        <f>SUM(E22/100)</f>
        <v>2.9375999999999998</v>
      </c>
      <c r="G22" s="146">
        <v>287.83999999999997</v>
      </c>
      <c r="H22" s="147">
        <f t="shared" si="0"/>
        <v>0.84555878399999984</v>
      </c>
      <c r="I22" s="19">
        <v>0</v>
      </c>
    </row>
    <row r="23" spans="1:9" ht="15.75" hidden="1" customHeight="1">
      <c r="A23" s="44">
        <v>8</v>
      </c>
      <c r="B23" s="143" t="s">
        <v>199</v>
      </c>
      <c r="C23" s="144" t="s">
        <v>62</v>
      </c>
      <c r="D23" s="143" t="s">
        <v>195</v>
      </c>
      <c r="E23" s="148">
        <v>17.64</v>
      </c>
      <c r="F23" s="146">
        <f>SUM(E23/100)</f>
        <v>0.1764</v>
      </c>
      <c r="G23" s="146">
        <v>47.34</v>
      </c>
      <c r="H23" s="147">
        <f t="shared" si="0"/>
        <v>8.3507760000000007E-3</v>
      </c>
      <c r="I23" s="19">
        <v>0</v>
      </c>
    </row>
    <row r="24" spans="1:9" ht="15.75" hidden="1" customHeight="1">
      <c r="A24" s="44">
        <v>9</v>
      </c>
      <c r="B24" s="143" t="s">
        <v>200</v>
      </c>
      <c r="C24" s="144" t="s">
        <v>62</v>
      </c>
      <c r="D24" s="143" t="s">
        <v>201</v>
      </c>
      <c r="E24" s="145">
        <v>10.8</v>
      </c>
      <c r="F24" s="146">
        <f>E24/100</f>
        <v>0.10800000000000001</v>
      </c>
      <c r="G24" s="146">
        <v>416.62</v>
      </c>
      <c r="H24" s="147">
        <f t="shared" si="0"/>
        <v>4.4994960000000007E-2</v>
      </c>
      <c r="I24" s="19">
        <v>0</v>
      </c>
    </row>
    <row r="25" spans="1:9" ht="15.75" hidden="1" customHeight="1">
      <c r="A25" s="44">
        <v>10</v>
      </c>
      <c r="B25" s="143" t="s">
        <v>202</v>
      </c>
      <c r="C25" s="144" t="s">
        <v>62</v>
      </c>
      <c r="D25" s="143" t="s">
        <v>63</v>
      </c>
      <c r="E25" s="145">
        <v>12.6</v>
      </c>
      <c r="F25" s="146">
        <v>0.13</v>
      </c>
      <c r="G25" s="146">
        <v>231.03</v>
      </c>
      <c r="H25" s="147">
        <f>G25*F25/1000</f>
        <v>3.0033900000000002E-2</v>
      </c>
      <c r="I25" s="19">
        <v>0</v>
      </c>
    </row>
    <row r="26" spans="1:9" ht="15.75" hidden="1" customHeight="1">
      <c r="A26" s="44">
        <v>11</v>
      </c>
      <c r="B26" s="143" t="s">
        <v>203</v>
      </c>
      <c r="C26" s="144" t="s">
        <v>62</v>
      </c>
      <c r="D26" s="143" t="s">
        <v>195</v>
      </c>
      <c r="E26" s="145">
        <v>14.4</v>
      </c>
      <c r="F26" s="146">
        <f>SUM(E26/100)</f>
        <v>0.14400000000000002</v>
      </c>
      <c r="G26" s="146">
        <v>556.74</v>
      </c>
      <c r="H26" s="147">
        <f t="shared" si="0"/>
        <v>8.0170560000000016E-2</v>
      </c>
      <c r="I26" s="19">
        <v>0</v>
      </c>
    </row>
    <row r="27" spans="1:9" ht="15.75" customHeight="1">
      <c r="A27" s="44">
        <v>4</v>
      </c>
      <c r="B27" s="143" t="s">
        <v>86</v>
      </c>
      <c r="C27" s="144" t="s">
        <v>35</v>
      </c>
      <c r="D27" s="143" t="s">
        <v>206</v>
      </c>
      <c r="E27" s="145">
        <v>0.1</v>
      </c>
      <c r="F27" s="146">
        <f>SUM(E27*365)</f>
        <v>36.5</v>
      </c>
      <c r="G27" s="146">
        <v>157.18</v>
      </c>
      <c r="H27" s="147">
        <f>SUM(F27*G27/1000)</f>
        <v>5.737070000000001</v>
      </c>
      <c r="I27" s="19">
        <f>F27/12*G27</f>
        <v>478.08916666666664</v>
      </c>
    </row>
    <row r="28" spans="1:9" ht="15.75" customHeight="1">
      <c r="A28" s="44">
        <v>5</v>
      </c>
      <c r="B28" s="151" t="s">
        <v>24</v>
      </c>
      <c r="C28" s="144" t="s">
        <v>25</v>
      </c>
      <c r="D28" s="151" t="s">
        <v>208</v>
      </c>
      <c r="E28" s="145">
        <v>2062.5</v>
      </c>
      <c r="F28" s="146">
        <f>SUM(E28*12)</f>
        <v>24750</v>
      </c>
      <c r="G28" s="146">
        <v>5.53</v>
      </c>
      <c r="H28" s="147">
        <f>SUM(F28*G28/1000)</f>
        <v>136.86750000000001</v>
      </c>
      <c r="I28" s="19">
        <f>F28/12*G28</f>
        <v>11405.625</v>
      </c>
    </row>
    <row r="29" spans="1:9" ht="15.75" customHeight="1">
      <c r="A29" s="186" t="s">
        <v>130</v>
      </c>
      <c r="B29" s="187"/>
      <c r="C29" s="187"/>
      <c r="D29" s="187"/>
      <c r="E29" s="187"/>
      <c r="F29" s="187"/>
      <c r="G29" s="187"/>
      <c r="H29" s="187"/>
      <c r="I29" s="188"/>
    </row>
    <row r="30" spans="1:9" ht="15.75" hidden="1" customHeight="1">
      <c r="A30" s="44"/>
      <c r="B30" s="164" t="s">
        <v>31</v>
      </c>
      <c r="C30" s="144"/>
      <c r="D30" s="143"/>
      <c r="E30" s="145"/>
      <c r="F30" s="146"/>
      <c r="G30" s="146"/>
      <c r="H30" s="147"/>
      <c r="I30" s="19"/>
    </row>
    <row r="31" spans="1:9" ht="31.5" hidden="1" customHeight="1">
      <c r="A31" s="44">
        <v>6</v>
      </c>
      <c r="B31" s="143" t="s">
        <v>236</v>
      </c>
      <c r="C31" s="144" t="s">
        <v>166</v>
      </c>
      <c r="D31" s="143" t="s">
        <v>204</v>
      </c>
      <c r="E31" s="146">
        <v>652.9</v>
      </c>
      <c r="F31" s="146">
        <f>SUM(E31*52/1000)</f>
        <v>33.950799999999994</v>
      </c>
      <c r="G31" s="146">
        <v>166.65</v>
      </c>
      <c r="H31" s="147">
        <f t="shared" ref="H31:H36" si="1">SUM(F31*G31/1000)</f>
        <v>5.6579008199999992</v>
      </c>
      <c r="I31" s="19">
        <f>F31/6*G31</f>
        <v>942.9834699999999</v>
      </c>
    </row>
    <row r="32" spans="1:9" ht="31.5" hidden="1" customHeight="1">
      <c r="A32" s="44">
        <v>7</v>
      </c>
      <c r="B32" s="143" t="s">
        <v>237</v>
      </c>
      <c r="C32" s="144" t="s">
        <v>166</v>
      </c>
      <c r="D32" s="143" t="s">
        <v>205</v>
      </c>
      <c r="E32" s="146">
        <v>63.5</v>
      </c>
      <c r="F32" s="146">
        <f>SUM(E32*78/1000)</f>
        <v>4.9530000000000003</v>
      </c>
      <c r="G32" s="146">
        <v>276.48</v>
      </c>
      <c r="H32" s="147">
        <f t="shared" si="1"/>
        <v>1.3694054400000002</v>
      </c>
      <c r="I32" s="19">
        <f t="shared" ref="I32:I34" si="2">F32/6*G32</f>
        <v>228.23424000000003</v>
      </c>
    </row>
    <row r="33" spans="1:9" ht="15.75" hidden="1" customHeight="1">
      <c r="A33" s="44">
        <v>8</v>
      </c>
      <c r="B33" s="143" t="s">
        <v>30</v>
      </c>
      <c r="C33" s="144" t="s">
        <v>166</v>
      </c>
      <c r="D33" s="143" t="s">
        <v>63</v>
      </c>
      <c r="E33" s="146">
        <v>652.9</v>
      </c>
      <c r="F33" s="146">
        <f>SUM(E33/1000)</f>
        <v>0.65289999999999992</v>
      </c>
      <c r="G33" s="146">
        <v>3228.73</v>
      </c>
      <c r="H33" s="147">
        <f t="shared" si="1"/>
        <v>2.108037817</v>
      </c>
      <c r="I33" s="19">
        <f>F33*G33</f>
        <v>2108.0378169999999</v>
      </c>
    </row>
    <row r="34" spans="1:9" ht="15.75" hidden="1" customHeight="1">
      <c r="A34" s="44">
        <v>8</v>
      </c>
      <c r="B34" s="143" t="s">
        <v>238</v>
      </c>
      <c r="C34" s="144" t="s">
        <v>33</v>
      </c>
      <c r="D34" s="143" t="s">
        <v>85</v>
      </c>
      <c r="E34" s="150">
        <v>0.33333333333333331</v>
      </c>
      <c r="F34" s="146">
        <f>155/3</f>
        <v>51.666666666666664</v>
      </c>
      <c r="G34" s="146">
        <v>60.6</v>
      </c>
      <c r="H34" s="147">
        <f>SUM(G34*155/3/1000)</f>
        <v>3.1309999999999998</v>
      </c>
      <c r="I34" s="19">
        <f t="shared" si="2"/>
        <v>521.83333333333337</v>
      </c>
    </row>
    <row r="35" spans="1:9" ht="15.75" hidden="1" customHeight="1">
      <c r="A35" s="44"/>
      <c r="B35" s="143" t="s">
        <v>87</v>
      </c>
      <c r="C35" s="144" t="s">
        <v>35</v>
      </c>
      <c r="D35" s="143" t="s">
        <v>89</v>
      </c>
      <c r="E35" s="145"/>
      <c r="F35" s="146">
        <v>2</v>
      </c>
      <c r="G35" s="146">
        <v>204.52</v>
      </c>
      <c r="H35" s="147">
        <f t="shared" si="1"/>
        <v>0.40904000000000001</v>
      </c>
      <c r="I35" s="19">
        <v>0</v>
      </c>
    </row>
    <row r="36" spans="1:9" ht="15.75" hidden="1" customHeight="1">
      <c r="A36" s="44"/>
      <c r="B36" s="143" t="s">
        <v>207</v>
      </c>
      <c r="C36" s="144" t="s">
        <v>34</v>
      </c>
      <c r="D36" s="143" t="s">
        <v>89</v>
      </c>
      <c r="E36" s="145"/>
      <c r="F36" s="146">
        <v>1</v>
      </c>
      <c r="G36" s="146">
        <v>1214.74</v>
      </c>
      <c r="H36" s="147">
        <f t="shared" si="1"/>
        <v>1.2147399999999999</v>
      </c>
      <c r="I36" s="19">
        <v>0</v>
      </c>
    </row>
    <row r="37" spans="1:9" ht="15.75" customHeight="1">
      <c r="A37" s="44"/>
      <c r="B37" s="164" t="s">
        <v>5</v>
      </c>
      <c r="C37" s="144"/>
      <c r="D37" s="143"/>
      <c r="E37" s="145"/>
      <c r="F37" s="146"/>
      <c r="G37" s="146"/>
      <c r="H37" s="147" t="s">
        <v>208</v>
      </c>
      <c r="I37" s="19"/>
    </row>
    <row r="38" spans="1:9" ht="15.75" customHeight="1">
      <c r="A38" s="44">
        <v>6</v>
      </c>
      <c r="B38" s="143" t="s">
        <v>29</v>
      </c>
      <c r="C38" s="144" t="s">
        <v>34</v>
      </c>
      <c r="D38" s="143"/>
      <c r="E38" s="145"/>
      <c r="F38" s="146">
        <v>10</v>
      </c>
      <c r="G38" s="146">
        <v>1632.6</v>
      </c>
      <c r="H38" s="147">
        <f t="shared" ref="H38:H45" si="3">SUM(F38*G38/1000)</f>
        <v>16.326000000000001</v>
      </c>
      <c r="I38" s="19">
        <f>F38/6*G38</f>
        <v>2721</v>
      </c>
    </row>
    <row r="39" spans="1:9" ht="15.75" customHeight="1">
      <c r="A39" s="44">
        <v>7</v>
      </c>
      <c r="B39" s="143" t="s">
        <v>209</v>
      </c>
      <c r="C39" s="144" t="s">
        <v>32</v>
      </c>
      <c r="D39" s="143" t="s">
        <v>210</v>
      </c>
      <c r="E39" s="146">
        <v>172.55</v>
      </c>
      <c r="F39" s="146">
        <f>SUM(E39*12/1000)</f>
        <v>2.0706000000000002</v>
      </c>
      <c r="G39" s="146">
        <v>2247.8000000000002</v>
      </c>
      <c r="H39" s="147">
        <f t="shared" si="3"/>
        <v>4.6542946800000005</v>
      </c>
      <c r="I39" s="19">
        <f>F39/6*G39</f>
        <v>775.71578000000011</v>
      </c>
    </row>
    <row r="40" spans="1:9" ht="15.75" customHeight="1">
      <c r="A40" s="44">
        <v>8</v>
      </c>
      <c r="B40" s="143" t="s">
        <v>211</v>
      </c>
      <c r="C40" s="144" t="s">
        <v>32</v>
      </c>
      <c r="D40" s="143" t="s">
        <v>162</v>
      </c>
      <c r="E40" s="145">
        <v>63.5</v>
      </c>
      <c r="F40" s="146">
        <v>1.91</v>
      </c>
      <c r="G40" s="146">
        <v>2247.8000000000002</v>
      </c>
      <c r="H40" s="147">
        <f>G40*F40/1000</f>
        <v>4.2932980000000001</v>
      </c>
      <c r="I40" s="19">
        <f>F40/6*G40</f>
        <v>715.54966666666667</v>
      </c>
    </row>
    <row r="41" spans="1:9" ht="15.75" hidden="1" customHeight="1">
      <c r="A41" s="44"/>
      <c r="B41" s="143" t="s">
        <v>163</v>
      </c>
      <c r="C41" s="144" t="s">
        <v>164</v>
      </c>
      <c r="D41" s="143" t="s">
        <v>89</v>
      </c>
      <c r="E41" s="145"/>
      <c r="F41" s="146">
        <v>75</v>
      </c>
      <c r="G41" s="146">
        <v>213.2</v>
      </c>
      <c r="H41" s="147">
        <f>G41*F41/1000</f>
        <v>15.99</v>
      </c>
      <c r="I41" s="19">
        <v>0</v>
      </c>
    </row>
    <row r="42" spans="1:9" ht="15.75" customHeight="1">
      <c r="A42" s="44">
        <v>9</v>
      </c>
      <c r="B42" s="143" t="s">
        <v>92</v>
      </c>
      <c r="C42" s="144" t="s">
        <v>32</v>
      </c>
      <c r="D42" s="143" t="s">
        <v>165</v>
      </c>
      <c r="E42" s="146">
        <v>63.5</v>
      </c>
      <c r="F42" s="146">
        <f>SUM(E42*155/1000)</f>
        <v>9.8424999999999994</v>
      </c>
      <c r="G42" s="146">
        <v>374.95</v>
      </c>
      <c r="H42" s="147">
        <f t="shared" si="3"/>
        <v>3.6904453749999999</v>
      </c>
      <c r="I42" s="19">
        <f>F42/6*G42</f>
        <v>615.07422916666667</v>
      </c>
    </row>
    <row r="43" spans="1:9" ht="15.75" customHeight="1">
      <c r="A43" s="44">
        <v>10</v>
      </c>
      <c r="B43" s="143" t="s">
        <v>128</v>
      </c>
      <c r="C43" s="144" t="s">
        <v>166</v>
      </c>
      <c r="D43" s="143" t="s">
        <v>212</v>
      </c>
      <c r="E43" s="146">
        <v>63.5</v>
      </c>
      <c r="F43" s="146">
        <f>SUM(E43*24/1000)</f>
        <v>1.524</v>
      </c>
      <c r="G43" s="146">
        <v>6203.7</v>
      </c>
      <c r="H43" s="147">
        <f t="shared" si="3"/>
        <v>9.4544388000000001</v>
      </c>
      <c r="I43" s="19">
        <f>F43/6*G43</f>
        <v>1575.7398000000001</v>
      </c>
    </row>
    <row r="44" spans="1:9" ht="15.75" customHeight="1">
      <c r="A44" s="44">
        <v>11</v>
      </c>
      <c r="B44" s="143" t="s">
        <v>168</v>
      </c>
      <c r="C44" s="144" t="s">
        <v>166</v>
      </c>
      <c r="D44" s="143" t="s">
        <v>95</v>
      </c>
      <c r="E44" s="146">
        <v>63.5</v>
      </c>
      <c r="F44" s="146">
        <f>SUM(E44*45/1000)</f>
        <v>2.8574999999999999</v>
      </c>
      <c r="G44" s="146">
        <v>458.28</v>
      </c>
      <c r="H44" s="147">
        <f t="shared" si="3"/>
        <v>1.3095350999999997</v>
      </c>
      <c r="I44" s="19">
        <f>F44/6*G44</f>
        <v>218.25584999999998</v>
      </c>
    </row>
    <row r="45" spans="1:9" ht="15.75" customHeight="1">
      <c r="A45" s="44">
        <v>12</v>
      </c>
      <c r="B45" s="143" t="s">
        <v>96</v>
      </c>
      <c r="C45" s="144" t="s">
        <v>35</v>
      </c>
      <c r="D45" s="143"/>
      <c r="E45" s="145"/>
      <c r="F45" s="146">
        <v>0.9</v>
      </c>
      <c r="G45" s="146">
        <v>853.06</v>
      </c>
      <c r="H45" s="147">
        <f t="shared" si="3"/>
        <v>0.76775400000000005</v>
      </c>
      <c r="I45" s="19">
        <f>F45/6*G45</f>
        <v>127.95899999999999</v>
      </c>
    </row>
    <row r="46" spans="1:9" ht="15.75" customHeight="1">
      <c r="A46" s="186" t="s">
        <v>186</v>
      </c>
      <c r="B46" s="187"/>
      <c r="C46" s="187"/>
      <c r="D46" s="187"/>
      <c r="E46" s="187"/>
      <c r="F46" s="187"/>
      <c r="G46" s="187"/>
      <c r="H46" s="187"/>
      <c r="I46" s="188"/>
    </row>
    <row r="47" spans="1:9" ht="15.75" hidden="1" customHeight="1">
      <c r="A47" s="44"/>
      <c r="B47" s="143" t="s">
        <v>213</v>
      </c>
      <c r="C47" s="144" t="s">
        <v>166</v>
      </c>
      <c r="D47" s="143" t="s">
        <v>49</v>
      </c>
      <c r="E47" s="145">
        <v>881.3</v>
      </c>
      <c r="F47" s="146">
        <f>SUM(E47*2/1000)</f>
        <v>1.7625999999999999</v>
      </c>
      <c r="G47" s="19">
        <v>865.61</v>
      </c>
      <c r="H47" s="147">
        <f t="shared" ref="H47:H56" si="4">SUM(F47*G47/1000)</f>
        <v>1.5257241859999999</v>
      </c>
      <c r="I47" s="19">
        <v>0</v>
      </c>
    </row>
    <row r="48" spans="1:9" ht="15.75" hidden="1" customHeight="1">
      <c r="A48" s="44"/>
      <c r="B48" s="143" t="s">
        <v>39</v>
      </c>
      <c r="C48" s="144" t="s">
        <v>166</v>
      </c>
      <c r="D48" s="143" t="s">
        <v>49</v>
      </c>
      <c r="E48" s="145">
        <v>48</v>
      </c>
      <c r="F48" s="146">
        <f>SUM(E48*2/1000)</f>
        <v>9.6000000000000002E-2</v>
      </c>
      <c r="G48" s="19">
        <v>619.46</v>
      </c>
      <c r="H48" s="147">
        <f t="shared" si="4"/>
        <v>5.9468160000000006E-2</v>
      </c>
      <c r="I48" s="19">
        <v>0</v>
      </c>
    </row>
    <row r="49" spans="1:9" ht="15.75" hidden="1" customHeight="1">
      <c r="A49" s="44"/>
      <c r="B49" s="143" t="s">
        <v>40</v>
      </c>
      <c r="C49" s="144" t="s">
        <v>166</v>
      </c>
      <c r="D49" s="143" t="s">
        <v>49</v>
      </c>
      <c r="E49" s="145">
        <v>939.64</v>
      </c>
      <c r="F49" s="146">
        <f>SUM(E49*2/1000)</f>
        <v>1.8792800000000001</v>
      </c>
      <c r="G49" s="19">
        <v>619.46</v>
      </c>
      <c r="H49" s="147">
        <f t="shared" si="4"/>
        <v>1.1641387888000001</v>
      </c>
      <c r="I49" s="19">
        <v>0</v>
      </c>
    </row>
    <row r="50" spans="1:9" ht="15.75" hidden="1" customHeight="1">
      <c r="A50" s="44"/>
      <c r="B50" s="143" t="s">
        <v>41</v>
      </c>
      <c r="C50" s="144" t="s">
        <v>166</v>
      </c>
      <c r="D50" s="143" t="s">
        <v>49</v>
      </c>
      <c r="E50" s="145">
        <v>1247.3699999999999</v>
      </c>
      <c r="F50" s="146">
        <f>SUM(E50*2/1000)</f>
        <v>2.4947399999999997</v>
      </c>
      <c r="G50" s="19">
        <v>648.64</v>
      </c>
      <c r="H50" s="147">
        <f t="shared" si="4"/>
        <v>1.6181881535999998</v>
      </c>
      <c r="I50" s="19">
        <v>0</v>
      </c>
    </row>
    <row r="51" spans="1:9" ht="15.75" hidden="1" customHeight="1">
      <c r="A51" s="44"/>
      <c r="B51" s="143" t="s">
        <v>37</v>
      </c>
      <c r="C51" s="144" t="s">
        <v>38</v>
      </c>
      <c r="D51" s="143" t="s">
        <v>49</v>
      </c>
      <c r="E51" s="145">
        <v>65.03</v>
      </c>
      <c r="F51" s="146">
        <f>SUM(E51*2/100)</f>
        <v>1.3006</v>
      </c>
      <c r="G51" s="19">
        <v>77.84</v>
      </c>
      <c r="H51" s="147">
        <f t="shared" si="4"/>
        <v>0.101238704</v>
      </c>
      <c r="I51" s="19">
        <v>0</v>
      </c>
    </row>
    <row r="52" spans="1:9" ht="15.75" customHeight="1">
      <c r="A52" s="44">
        <v>13</v>
      </c>
      <c r="B52" s="143" t="s">
        <v>71</v>
      </c>
      <c r="C52" s="144" t="s">
        <v>166</v>
      </c>
      <c r="D52" s="143" t="s">
        <v>239</v>
      </c>
      <c r="E52" s="145">
        <v>702</v>
      </c>
      <c r="F52" s="146">
        <f>SUM(E52*5/1000)</f>
        <v>3.51</v>
      </c>
      <c r="G52" s="19">
        <v>1297.28</v>
      </c>
      <c r="H52" s="147">
        <f t="shared" si="4"/>
        <v>4.5534527999999996</v>
      </c>
      <c r="I52" s="19">
        <f>F52/5*G52</f>
        <v>910.69055999999989</v>
      </c>
    </row>
    <row r="53" spans="1:9" ht="31.5" hidden="1" customHeight="1">
      <c r="A53" s="44"/>
      <c r="B53" s="143" t="s">
        <v>154</v>
      </c>
      <c r="C53" s="144" t="s">
        <v>166</v>
      </c>
      <c r="D53" s="143" t="s">
        <v>49</v>
      </c>
      <c r="E53" s="145">
        <v>702</v>
      </c>
      <c r="F53" s="146">
        <f>SUM(E53*2/1000)</f>
        <v>1.4039999999999999</v>
      </c>
      <c r="G53" s="19">
        <v>1297.28</v>
      </c>
      <c r="H53" s="147">
        <f t="shared" si="4"/>
        <v>1.8213811199999999</v>
      </c>
      <c r="I53" s="19">
        <v>0</v>
      </c>
    </row>
    <row r="54" spans="1:9" ht="31.5" hidden="1" customHeight="1">
      <c r="A54" s="44"/>
      <c r="B54" s="143" t="s">
        <v>155</v>
      </c>
      <c r="C54" s="144" t="s">
        <v>44</v>
      </c>
      <c r="D54" s="143" t="s">
        <v>49</v>
      </c>
      <c r="E54" s="145">
        <v>12</v>
      </c>
      <c r="F54" s="146">
        <f>SUM(E54*2/100)</f>
        <v>0.24</v>
      </c>
      <c r="G54" s="19">
        <v>2918.89</v>
      </c>
      <c r="H54" s="147">
        <f t="shared" si="4"/>
        <v>0.70053359999999998</v>
      </c>
      <c r="I54" s="19">
        <v>0</v>
      </c>
    </row>
    <row r="55" spans="1:9" ht="15.75" hidden="1" customHeight="1">
      <c r="A55" s="44"/>
      <c r="B55" s="143" t="s">
        <v>45</v>
      </c>
      <c r="C55" s="144" t="s">
        <v>46</v>
      </c>
      <c r="D55" s="143" t="s">
        <v>49</v>
      </c>
      <c r="E55" s="145">
        <v>1</v>
      </c>
      <c r="F55" s="146">
        <v>0.02</v>
      </c>
      <c r="G55" s="19">
        <v>6042.12</v>
      </c>
      <c r="H55" s="147">
        <f t="shared" si="4"/>
        <v>0.1208424</v>
      </c>
      <c r="I55" s="19">
        <v>0</v>
      </c>
    </row>
    <row r="56" spans="1:9" ht="15.75" customHeight="1">
      <c r="A56" s="44">
        <v>14</v>
      </c>
      <c r="B56" s="143" t="s">
        <v>48</v>
      </c>
      <c r="C56" s="144" t="s">
        <v>140</v>
      </c>
      <c r="D56" s="143" t="s">
        <v>97</v>
      </c>
      <c r="E56" s="145">
        <v>72</v>
      </c>
      <c r="F56" s="146">
        <f>SUM(E56)*3</f>
        <v>216</v>
      </c>
      <c r="G56" s="19">
        <v>70.209999999999994</v>
      </c>
      <c r="H56" s="147">
        <f t="shared" si="4"/>
        <v>15.165359999999998</v>
      </c>
      <c r="I56" s="19">
        <f>E56*G56</f>
        <v>5055.12</v>
      </c>
    </row>
    <row r="57" spans="1:9" ht="15.75" customHeight="1">
      <c r="A57" s="186" t="s">
        <v>187</v>
      </c>
      <c r="B57" s="187"/>
      <c r="C57" s="187"/>
      <c r="D57" s="187"/>
      <c r="E57" s="187"/>
      <c r="F57" s="187"/>
      <c r="G57" s="187"/>
      <c r="H57" s="187"/>
      <c r="I57" s="188"/>
    </row>
    <row r="58" spans="1:9" ht="15.75" customHeight="1">
      <c r="A58" s="44"/>
      <c r="B58" s="164" t="s">
        <v>50</v>
      </c>
      <c r="C58" s="144"/>
      <c r="D58" s="143"/>
      <c r="E58" s="145"/>
      <c r="F58" s="146"/>
      <c r="G58" s="146"/>
      <c r="H58" s="147"/>
      <c r="I58" s="19"/>
    </row>
    <row r="59" spans="1:9" ht="31.5" customHeight="1">
      <c r="A59" s="44">
        <v>15</v>
      </c>
      <c r="B59" s="143" t="s">
        <v>214</v>
      </c>
      <c r="C59" s="144" t="s">
        <v>148</v>
      </c>
      <c r="D59" s="143" t="s">
        <v>215</v>
      </c>
      <c r="E59" s="145">
        <v>106.13</v>
      </c>
      <c r="F59" s="146">
        <f>SUM(E59*6/100)</f>
        <v>6.3677999999999999</v>
      </c>
      <c r="G59" s="19">
        <v>1456.95</v>
      </c>
      <c r="H59" s="147">
        <f>SUM(F59*G59/1000)</f>
        <v>9.2775662100000016</v>
      </c>
      <c r="I59" s="19">
        <f>F59/6*G59</f>
        <v>1546.261035</v>
      </c>
    </row>
    <row r="60" spans="1:9" ht="15.75" hidden="1" customHeight="1">
      <c r="A60" s="44"/>
      <c r="B60" s="164" t="s">
        <v>51</v>
      </c>
      <c r="C60" s="144"/>
      <c r="D60" s="143"/>
      <c r="E60" s="145"/>
      <c r="F60" s="146"/>
      <c r="G60" s="130"/>
      <c r="H60" s="147"/>
      <c r="I60" s="19"/>
    </row>
    <row r="61" spans="1:9" ht="15.75" hidden="1" customHeight="1">
      <c r="A61" s="44"/>
      <c r="B61" s="143" t="s">
        <v>216</v>
      </c>
      <c r="C61" s="144"/>
      <c r="D61" s="143" t="s">
        <v>63</v>
      </c>
      <c r="E61" s="145">
        <v>1036</v>
      </c>
      <c r="F61" s="147">
        <v>10.36</v>
      </c>
      <c r="G61" s="19">
        <v>848.37</v>
      </c>
      <c r="H61" s="152">
        <f>F61*G61/1000</f>
        <v>8.7891131999999992</v>
      </c>
      <c r="I61" s="19">
        <v>0</v>
      </c>
    </row>
    <row r="62" spans="1:9" ht="15.75" hidden="1" customHeight="1">
      <c r="A62" s="44"/>
      <c r="B62" s="165" t="s">
        <v>53</v>
      </c>
      <c r="C62" s="153"/>
      <c r="D62" s="154"/>
      <c r="E62" s="155"/>
      <c r="F62" s="156"/>
      <c r="G62" s="156"/>
      <c r="H62" s="157" t="s">
        <v>208</v>
      </c>
      <c r="I62" s="19"/>
    </row>
    <row r="63" spans="1:9" ht="15.75" hidden="1" customHeight="1">
      <c r="A63" s="44"/>
      <c r="B63" s="21" t="s">
        <v>54</v>
      </c>
      <c r="C63" s="23" t="s">
        <v>140</v>
      </c>
      <c r="D63" s="21" t="s">
        <v>89</v>
      </c>
      <c r="E63" s="26">
        <v>10</v>
      </c>
      <c r="F63" s="146">
        <v>10</v>
      </c>
      <c r="G63" s="19">
        <v>237.74</v>
      </c>
      <c r="H63" s="141">
        <f t="shared" ref="H63:H75" si="5">SUM(F63*G63/1000)</f>
        <v>2.3774000000000002</v>
      </c>
      <c r="I63" s="19">
        <v>0</v>
      </c>
    </row>
    <row r="64" spans="1:9" ht="15.75" hidden="1" customHeight="1">
      <c r="A64" s="44"/>
      <c r="B64" s="21" t="s">
        <v>55</v>
      </c>
      <c r="C64" s="23" t="s">
        <v>140</v>
      </c>
      <c r="D64" s="21" t="s">
        <v>89</v>
      </c>
      <c r="E64" s="26">
        <v>5</v>
      </c>
      <c r="F64" s="146">
        <v>5</v>
      </c>
      <c r="G64" s="19">
        <v>81.510000000000005</v>
      </c>
      <c r="H64" s="141">
        <f t="shared" si="5"/>
        <v>0.40755000000000002</v>
      </c>
      <c r="I64" s="19">
        <v>0</v>
      </c>
    </row>
    <row r="65" spans="1:9" ht="15.75" hidden="1" customHeight="1">
      <c r="A65" s="44"/>
      <c r="B65" s="21" t="s">
        <v>56</v>
      </c>
      <c r="C65" s="23" t="s">
        <v>217</v>
      </c>
      <c r="D65" s="21" t="s">
        <v>63</v>
      </c>
      <c r="E65" s="145">
        <v>8607</v>
      </c>
      <c r="F65" s="19">
        <f>SUM(E65/100)</f>
        <v>86.07</v>
      </c>
      <c r="G65" s="19">
        <v>226.79</v>
      </c>
      <c r="H65" s="141">
        <f t="shared" si="5"/>
        <v>19.519815299999998</v>
      </c>
      <c r="I65" s="19">
        <v>0</v>
      </c>
    </row>
    <row r="66" spans="1:9" ht="15.75" hidden="1" customHeight="1">
      <c r="A66" s="44"/>
      <c r="B66" s="21" t="s">
        <v>57</v>
      </c>
      <c r="C66" s="23" t="s">
        <v>218</v>
      </c>
      <c r="D66" s="21"/>
      <c r="E66" s="145">
        <v>8607</v>
      </c>
      <c r="F66" s="19">
        <f>SUM(E66/1000)</f>
        <v>8.6069999999999993</v>
      </c>
      <c r="G66" s="19">
        <v>176.61</v>
      </c>
      <c r="H66" s="141">
        <f t="shared" si="5"/>
        <v>1.5200822700000001</v>
      </c>
      <c r="I66" s="19">
        <v>0</v>
      </c>
    </row>
    <row r="67" spans="1:9" ht="15.75" hidden="1" customHeight="1">
      <c r="A67" s="44"/>
      <c r="B67" s="21" t="s">
        <v>58</v>
      </c>
      <c r="C67" s="23" t="s">
        <v>107</v>
      </c>
      <c r="D67" s="21" t="s">
        <v>63</v>
      </c>
      <c r="E67" s="145">
        <v>1370</v>
      </c>
      <c r="F67" s="19">
        <f>SUM(E67/100)</f>
        <v>13.7</v>
      </c>
      <c r="G67" s="19">
        <v>2217.7800000000002</v>
      </c>
      <c r="H67" s="141">
        <f t="shared" si="5"/>
        <v>30.383586000000005</v>
      </c>
      <c r="I67" s="19">
        <v>0</v>
      </c>
    </row>
    <row r="68" spans="1:9" ht="15.75" hidden="1" customHeight="1">
      <c r="A68" s="44"/>
      <c r="B68" s="158" t="s">
        <v>219</v>
      </c>
      <c r="C68" s="23" t="s">
        <v>35</v>
      </c>
      <c r="D68" s="21"/>
      <c r="E68" s="145">
        <v>7.8</v>
      </c>
      <c r="F68" s="19">
        <f>SUM(E68)</f>
        <v>7.8</v>
      </c>
      <c r="G68" s="19">
        <v>42.67</v>
      </c>
      <c r="H68" s="141">
        <f t="shared" si="5"/>
        <v>0.33282600000000001</v>
      </c>
      <c r="I68" s="19">
        <v>0</v>
      </c>
    </row>
    <row r="69" spans="1:9" ht="15.75" hidden="1" customHeight="1">
      <c r="A69" s="44"/>
      <c r="B69" s="158" t="s">
        <v>220</v>
      </c>
      <c r="C69" s="23" t="s">
        <v>35</v>
      </c>
      <c r="D69" s="21"/>
      <c r="E69" s="145">
        <v>7.8</v>
      </c>
      <c r="F69" s="19">
        <f>SUM(E69)</f>
        <v>7.8</v>
      </c>
      <c r="G69" s="19">
        <v>39.81</v>
      </c>
      <c r="H69" s="141">
        <f t="shared" si="5"/>
        <v>0.31051800000000002</v>
      </c>
      <c r="I69" s="19">
        <v>0</v>
      </c>
    </row>
    <row r="70" spans="1:9" ht="15.75" hidden="1" customHeight="1">
      <c r="A70" s="44"/>
      <c r="B70" s="21" t="s">
        <v>72</v>
      </c>
      <c r="C70" s="23" t="s">
        <v>73</v>
      </c>
      <c r="D70" s="21" t="s">
        <v>63</v>
      </c>
      <c r="E70" s="26">
        <v>3</v>
      </c>
      <c r="F70" s="146">
        <v>3</v>
      </c>
      <c r="G70" s="19">
        <v>53.32</v>
      </c>
      <c r="H70" s="141">
        <f t="shared" si="5"/>
        <v>0.15996000000000002</v>
      </c>
      <c r="I70" s="19">
        <v>0</v>
      </c>
    </row>
    <row r="71" spans="1:9" ht="15.75" hidden="1" customHeight="1">
      <c r="A71" s="44"/>
      <c r="B71" s="127" t="s">
        <v>101</v>
      </c>
      <c r="C71" s="23"/>
      <c r="D71" s="21"/>
      <c r="E71" s="26"/>
      <c r="F71" s="19"/>
      <c r="G71" s="19"/>
      <c r="H71" s="141" t="s">
        <v>208</v>
      </c>
      <c r="I71" s="19"/>
    </row>
    <row r="72" spans="1:9" ht="15.75" hidden="1" customHeight="1">
      <c r="A72" s="44"/>
      <c r="B72" s="21" t="s">
        <v>102</v>
      </c>
      <c r="C72" s="23" t="s">
        <v>104</v>
      </c>
      <c r="D72" s="21"/>
      <c r="E72" s="26">
        <v>2</v>
      </c>
      <c r="F72" s="19">
        <v>0.2</v>
      </c>
      <c r="G72" s="19">
        <v>536.23</v>
      </c>
      <c r="H72" s="141">
        <f t="shared" si="5"/>
        <v>0.10724600000000001</v>
      </c>
      <c r="I72" s="19">
        <v>0</v>
      </c>
    </row>
    <row r="73" spans="1:9" ht="15.75" hidden="1" customHeight="1">
      <c r="A73" s="44"/>
      <c r="B73" s="21" t="s">
        <v>103</v>
      </c>
      <c r="C73" s="23" t="s">
        <v>33</v>
      </c>
      <c r="D73" s="21"/>
      <c r="E73" s="26">
        <v>1</v>
      </c>
      <c r="F73" s="130">
        <v>1</v>
      </c>
      <c r="G73" s="19">
        <v>911.85</v>
      </c>
      <c r="H73" s="141">
        <f>F73*G73/1000</f>
        <v>0.91185000000000005</v>
      </c>
      <c r="I73" s="19">
        <v>0</v>
      </c>
    </row>
    <row r="74" spans="1:9" ht="15.75" hidden="1" customHeight="1">
      <c r="A74" s="44"/>
      <c r="B74" s="160" t="s">
        <v>105</v>
      </c>
      <c r="C74" s="23"/>
      <c r="D74" s="21"/>
      <c r="E74" s="26"/>
      <c r="F74" s="19"/>
      <c r="G74" s="19" t="s">
        <v>208</v>
      </c>
      <c r="H74" s="141" t="s">
        <v>208</v>
      </c>
      <c r="I74" s="19"/>
    </row>
    <row r="75" spans="1:9" ht="15.75" hidden="1" customHeight="1">
      <c r="A75" s="44"/>
      <c r="B75" s="81" t="s">
        <v>240</v>
      </c>
      <c r="C75" s="23" t="s">
        <v>107</v>
      </c>
      <c r="D75" s="21"/>
      <c r="E75" s="26"/>
      <c r="F75" s="19">
        <v>1</v>
      </c>
      <c r="G75" s="19">
        <v>2831.38</v>
      </c>
      <c r="H75" s="141">
        <f t="shared" si="5"/>
        <v>2.8313800000000002</v>
      </c>
      <c r="I75" s="19">
        <v>0</v>
      </c>
    </row>
    <row r="76" spans="1:9" ht="15.75" hidden="1" customHeight="1">
      <c r="A76" s="44"/>
      <c r="B76" s="168" t="s">
        <v>158</v>
      </c>
      <c r="C76" s="168"/>
      <c r="D76" s="168"/>
      <c r="E76" s="168"/>
      <c r="F76" s="168"/>
      <c r="G76" s="149"/>
      <c r="H76" s="161">
        <f>SUM(H59:H75)</f>
        <v>76.928892980000001</v>
      </c>
      <c r="I76" s="149"/>
    </row>
    <row r="77" spans="1:9" ht="15.75" hidden="1" customHeight="1">
      <c r="A77" s="44"/>
      <c r="B77" s="166" t="s">
        <v>221</v>
      </c>
      <c r="C77" s="32"/>
      <c r="D77" s="31"/>
      <c r="E77" s="162"/>
      <c r="F77" s="167">
        <v>1</v>
      </c>
      <c r="G77" s="19">
        <v>7528.4</v>
      </c>
      <c r="H77" s="141">
        <f>G77*F77/1000</f>
        <v>7.5283999999999995</v>
      </c>
      <c r="I77" s="19">
        <v>0</v>
      </c>
    </row>
    <row r="78" spans="1:9" ht="15.75" customHeight="1">
      <c r="A78" s="186" t="s">
        <v>188</v>
      </c>
      <c r="B78" s="187"/>
      <c r="C78" s="187"/>
      <c r="D78" s="187"/>
      <c r="E78" s="187"/>
      <c r="F78" s="187"/>
      <c r="G78" s="187"/>
      <c r="H78" s="187"/>
      <c r="I78" s="188"/>
    </row>
    <row r="79" spans="1:9" ht="15.75" customHeight="1">
      <c r="A79" s="44">
        <v>16</v>
      </c>
      <c r="B79" s="143" t="s">
        <v>222</v>
      </c>
      <c r="C79" s="23" t="s">
        <v>68</v>
      </c>
      <c r="D79" s="163" t="s">
        <v>69</v>
      </c>
      <c r="E79" s="19">
        <v>2062.5</v>
      </c>
      <c r="F79" s="19">
        <f>SUM(E79*12)</f>
        <v>24750</v>
      </c>
      <c r="G79" s="19">
        <v>2.2400000000000002</v>
      </c>
      <c r="H79" s="141">
        <f>SUM(F79*G79/1000)</f>
        <v>55.440000000000005</v>
      </c>
      <c r="I79" s="19">
        <f>F79/12*G79</f>
        <v>4620</v>
      </c>
    </row>
    <row r="80" spans="1:9" ht="31.5" customHeight="1">
      <c r="A80" s="44">
        <v>17</v>
      </c>
      <c r="B80" s="21" t="s">
        <v>108</v>
      </c>
      <c r="C80" s="23"/>
      <c r="D80" s="163" t="s">
        <v>69</v>
      </c>
      <c r="E80" s="145">
        <f>E79</f>
        <v>2062.5</v>
      </c>
      <c r="F80" s="19">
        <f>E80*12</f>
        <v>24750</v>
      </c>
      <c r="G80" s="19">
        <v>1.74</v>
      </c>
      <c r="H80" s="141">
        <f>F80*G80/1000</f>
        <v>43.064999999999998</v>
      </c>
      <c r="I80" s="19">
        <f>F80/12*G80</f>
        <v>3588.75</v>
      </c>
    </row>
    <row r="81" spans="1:9" ht="15.75" customHeight="1">
      <c r="A81" s="44"/>
      <c r="B81" s="68" t="s">
        <v>115</v>
      </c>
      <c r="C81" s="160"/>
      <c r="D81" s="159"/>
      <c r="E81" s="149"/>
      <c r="F81" s="149"/>
      <c r="G81" s="149"/>
      <c r="H81" s="161">
        <f>H80</f>
        <v>43.064999999999998</v>
      </c>
      <c r="I81" s="149">
        <f>I16+I17+I18+I27+I28+I38+I39+I40+I42+I43+I44+I45+I52+I56+I59+I79+I80</f>
        <v>38786.115734166669</v>
      </c>
    </row>
    <row r="82" spans="1:9" ht="15.75" customHeight="1">
      <c r="A82" s="44"/>
      <c r="B82" s="102" t="s">
        <v>76</v>
      </c>
      <c r="C82" s="23"/>
      <c r="D82" s="81"/>
      <c r="E82" s="19"/>
      <c r="F82" s="19"/>
      <c r="G82" s="19"/>
      <c r="H82" s="161" t="e">
        <f>SUM(H81+#REF!+H76+H57+H46+#REF!+H29)</f>
        <v>#REF!</v>
      </c>
      <c r="I82" s="19"/>
    </row>
    <row r="83" spans="1:9" ht="31.5" customHeight="1">
      <c r="A83" s="44">
        <v>18</v>
      </c>
      <c r="B83" s="140" t="s">
        <v>182</v>
      </c>
      <c r="C83" s="44" t="s">
        <v>183</v>
      </c>
      <c r="D83" s="81"/>
      <c r="E83" s="19"/>
      <c r="F83" s="19">
        <v>1</v>
      </c>
      <c r="G83" s="19">
        <v>1835.8</v>
      </c>
      <c r="H83" s="141">
        <f t="shared" ref="H83:H96" si="6">G83*F83/1000</f>
        <v>1.8357999999999999</v>
      </c>
      <c r="I83" s="19">
        <f>G83</f>
        <v>1835.8</v>
      </c>
    </row>
    <row r="84" spans="1:9" ht="15.75" customHeight="1">
      <c r="A84" s="44">
        <v>19</v>
      </c>
      <c r="B84" s="95" t="s">
        <v>223</v>
      </c>
      <c r="C84" s="96" t="s">
        <v>117</v>
      </c>
      <c r="D84" s="81"/>
      <c r="E84" s="19"/>
      <c r="F84" s="19">
        <v>1.5</v>
      </c>
      <c r="G84" s="19">
        <v>2057</v>
      </c>
      <c r="H84" s="141">
        <f t="shared" si="6"/>
        <v>3.0855000000000001</v>
      </c>
      <c r="I84" s="19">
        <f>G84*1.5</f>
        <v>3085.5</v>
      </c>
    </row>
    <row r="85" spans="1:9" ht="31.5" customHeight="1">
      <c r="A85" s="44">
        <v>20</v>
      </c>
      <c r="B85" s="95" t="s">
        <v>114</v>
      </c>
      <c r="C85" s="96" t="s">
        <v>140</v>
      </c>
      <c r="D85" s="81"/>
      <c r="E85" s="19"/>
      <c r="F85" s="19">
        <v>2</v>
      </c>
      <c r="G85" s="19">
        <v>79.09</v>
      </c>
      <c r="H85" s="141">
        <f t="shared" si="6"/>
        <v>0.15818000000000002</v>
      </c>
      <c r="I85" s="19">
        <f>G85</f>
        <v>79.09</v>
      </c>
    </row>
    <row r="86" spans="1:9" ht="15.75" customHeight="1">
      <c r="A86" s="44">
        <v>21</v>
      </c>
      <c r="B86" s="95" t="s">
        <v>224</v>
      </c>
      <c r="C86" s="142" t="s">
        <v>117</v>
      </c>
      <c r="D86" s="81"/>
      <c r="E86" s="19"/>
      <c r="F86" s="19">
        <v>1</v>
      </c>
      <c r="G86" s="19">
        <v>18</v>
      </c>
      <c r="H86" s="141">
        <f t="shared" si="6"/>
        <v>1.7999999999999999E-2</v>
      </c>
      <c r="I86" s="19">
        <f>G86</f>
        <v>18</v>
      </c>
    </row>
    <row r="87" spans="1:9" ht="15.75" customHeight="1">
      <c r="A87" s="44">
        <v>22</v>
      </c>
      <c r="B87" s="95" t="s">
        <v>225</v>
      </c>
      <c r="C87" s="96" t="s">
        <v>140</v>
      </c>
      <c r="D87" s="81"/>
      <c r="E87" s="19"/>
      <c r="F87" s="19">
        <v>2</v>
      </c>
      <c r="G87" s="19">
        <v>1072.21</v>
      </c>
      <c r="H87" s="141">
        <f t="shared" si="6"/>
        <v>2.1444200000000002</v>
      </c>
      <c r="I87" s="19">
        <f>G87*2</f>
        <v>2144.42</v>
      </c>
    </row>
    <row r="88" spans="1:9" ht="15.75" customHeight="1">
      <c r="A88" s="44">
        <v>23</v>
      </c>
      <c r="B88" s="95" t="s">
        <v>179</v>
      </c>
      <c r="C88" s="96" t="s">
        <v>180</v>
      </c>
      <c r="D88" s="81"/>
      <c r="E88" s="19"/>
      <c r="F88" s="19">
        <f>1/100</f>
        <v>0.01</v>
      </c>
      <c r="G88" s="19">
        <v>7033.13</v>
      </c>
      <c r="H88" s="141">
        <f t="shared" si="6"/>
        <v>7.0331299999999999E-2</v>
      </c>
      <c r="I88" s="19">
        <f>G88*0.01</f>
        <v>70.331299999999999</v>
      </c>
    </row>
    <row r="89" spans="1:9" ht="15.75" customHeight="1">
      <c r="A89" s="44">
        <v>24</v>
      </c>
      <c r="B89" s="95" t="s">
        <v>226</v>
      </c>
      <c r="C89" s="96" t="s">
        <v>171</v>
      </c>
      <c r="D89" s="81"/>
      <c r="E89" s="19"/>
      <c r="F89" s="19">
        <v>1</v>
      </c>
      <c r="G89" s="19">
        <v>251.02</v>
      </c>
      <c r="H89" s="141">
        <f t="shared" si="6"/>
        <v>0.25102000000000002</v>
      </c>
      <c r="I89" s="19">
        <f>G89</f>
        <v>251.02</v>
      </c>
    </row>
    <row r="90" spans="1:9" ht="15.75" hidden="1" customHeight="1">
      <c r="A90" s="44"/>
      <c r="B90" s="95" t="s">
        <v>227</v>
      </c>
      <c r="C90" s="96" t="s">
        <v>228</v>
      </c>
      <c r="D90" s="81"/>
      <c r="E90" s="19"/>
      <c r="F90" s="19">
        <v>1.5</v>
      </c>
      <c r="G90" s="19">
        <v>1501</v>
      </c>
      <c r="H90" s="141">
        <f>G90*F90/1000</f>
        <v>2.2515000000000001</v>
      </c>
      <c r="I90" s="19">
        <v>0</v>
      </c>
    </row>
    <row r="91" spans="1:9" ht="15.75" hidden="1" customHeight="1">
      <c r="A91" s="44"/>
      <c r="B91" s="95" t="s">
        <v>229</v>
      </c>
      <c r="C91" s="96" t="s">
        <v>129</v>
      </c>
      <c r="D91" s="81"/>
      <c r="E91" s="19"/>
      <c r="F91" s="19">
        <v>3</v>
      </c>
      <c r="G91" s="19">
        <v>185.81</v>
      </c>
      <c r="H91" s="141">
        <f>G91*F91/1000</f>
        <v>0.55743000000000009</v>
      </c>
      <c r="I91" s="19">
        <v>0</v>
      </c>
    </row>
    <row r="92" spans="1:9" ht="15.75" hidden="1" customHeight="1">
      <c r="A92" s="44"/>
      <c r="B92" s="95" t="s">
        <v>230</v>
      </c>
      <c r="C92" s="96" t="s">
        <v>171</v>
      </c>
      <c r="D92" s="81"/>
      <c r="E92" s="19"/>
      <c r="F92" s="19">
        <v>1</v>
      </c>
      <c r="G92" s="19">
        <v>625.07000000000005</v>
      </c>
      <c r="H92" s="141">
        <f>G92*F92/1000</f>
        <v>0.62507000000000001</v>
      </c>
      <c r="I92" s="19">
        <v>0</v>
      </c>
    </row>
    <row r="93" spans="1:9" ht="15.75" hidden="1" customHeight="1">
      <c r="A93" s="44"/>
      <c r="B93" s="95" t="s">
        <v>231</v>
      </c>
      <c r="C93" s="96" t="s">
        <v>180</v>
      </c>
      <c r="D93" s="81"/>
      <c r="E93" s="19"/>
      <c r="F93" s="19">
        <f>1/100</f>
        <v>0.01</v>
      </c>
      <c r="G93" s="19">
        <v>7033.13</v>
      </c>
      <c r="H93" s="141">
        <f t="shared" ref="H93" si="7">G93*F93/1000</f>
        <v>7.0331299999999999E-2</v>
      </c>
      <c r="I93" s="19">
        <v>0</v>
      </c>
    </row>
    <row r="94" spans="1:9" ht="30.75" hidden="1" customHeight="1">
      <c r="A94" s="44"/>
      <c r="B94" s="95" t="s">
        <v>232</v>
      </c>
      <c r="C94" s="96" t="s">
        <v>171</v>
      </c>
      <c r="D94" s="81"/>
      <c r="E94" s="19"/>
      <c r="F94" s="19">
        <v>1</v>
      </c>
      <c r="G94" s="19">
        <v>476.76</v>
      </c>
      <c r="H94" s="141">
        <f t="shared" si="6"/>
        <v>0.47676000000000002</v>
      </c>
      <c r="I94" s="19">
        <v>0</v>
      </c>
    </row>
    <row r="95" spans="1:9" ht="30.75" hidden="1" customHeight="1">
      <c r="A95" s="44"/>
      <c r="B95" s="95" t="s">
        <v>233</v>
      </c>
      <c r="C95" s="96" t="s">
        <v>171</v>
      </c>
      <c r="D95" s="81"/>
      <c r="E95" s="19"/>
      <c r="F95" s="19">
        <v>1</v>
      </c>
      <c r="G95" s="19">
        <v>968.53</v>
      </c>
      <c r="H95" s="141">
        <f t="shared" si="6"/>
        <v>0.96853</v>
      </c>
      <c r="I95" s="19">
        <v>0</v>
      </c>
    </row>
    <row r="96" spans="1:9" ht="30.75" hidden="1" customHeight="1">
      <c r="A96" s="44"/>
      <c r="B96" s="95" t="s">
        <v>234</v>
      </c>
      <c r="C96" s="96" t="s">
        <v>235</v>
      </c>
      <c r="D96" s="81"/>
      <c r="E96" s="19"/>
      <c r="F96" s="19">
        <f>1.57/10</f>
        <v>0.157</v>
      </c>
      <c r="G96" s="19">
        <v>5641.28</v>
      </c>
      <c r="H96" s="141">
        <f t="shared" si="6"/>
        <v>0.88568095999999996</v>
      </c>
      <c r="I96" s="19">
        <v>0</v>
      </c>
    </row>
    <row r="97" spans="1:9" ht="15.75" customHeight="1">
      <c r="A97" s="44"/>
      <c r="B97" s="75" t="s">
        <v>60</v>
      </c>
      <c r="C97" s="71"/>
      <c r="D97" s="85"/>
      <c r="E97" s="71">
        <v>1</v>
      </c>
      <c r="F97" s="71"/>
      <c r="G97" s="71"/>
      <c r="H97" s="71"/>
      <c r="I97" s="52">
        <f>SUM(I83:I96)</f>
        <v>7484.1613000000007</v>
      </c>
    </row>
    <row r="98" spans="1:9">
      <c r="A98" s="44"/>
      <c r="B98" s="81" t="s">
        <v>109</v>
      </c>
      <c r="C98" s="22"/>
      <c r="D98" s="22"/>
      <c r="E98" s="72"/>
      <c r="F98" s="72"/>
      <c r="G98" s="73"/>
      <c r="H98" s="73"/>
      <c r="I98" s="25">
        <v>0</v>
      </c>
    </row>
    <row r="99" spans="1:9">
      <c r="A99" s="86"/>
      <c r="B99" s="76" t="s">
        <v>61</v>
      </c>
      <c r="C99" s="59"/>
      <c r="D99" s="59"/>
      <c r="E99" s="59"/>
      <c r="F99" s="59"/>
      <c r="G99" s="59"/>
      <c r="H99" s="59"/>
      <c r="I99" s="74">
        <f>I81+I97</f>
        <v>46270.277034166669</v>
      </c>
    </row>
    <row r="100" spans="1:9" ht="15.75" customHeight="1">
      <c r="A100" s="181" t="s">
        <v>241</v>
      </c>
      <c r="B100" s="181"/>
      <c r="C100" s="181"/>
      <c r="D100" s="181"/>
      <c r="E100" s="181"/>
      <c r="F100" s="181"/>
      <c r="G100" s="181"/>
      <c r="H100" s="181"/>
      <c r="I100" s="181"/>
    </row>
    <row r="101" spans="1:9" ht="15.75">
      <c r="A101" s="117"/>
      <c r="B101" s="182" t="s">
        <v>242</v>
      </c>
      <c r="C101" s="182"/>
      <c r="D101" s="182"/>
      <c r="E101" s="182"/>
      <c r="F101" s="182"/>
      <c r="G101" s="182"/>
      <c r="H101" s="135"/>
      <c r="I101" s="3"/>
    </row>
    <row r="102" spans="1:9">
      <c r="A102" s="116"/>
      <c r="B102" s="183" t="s">
        <v>6</v>
      </c>
      <c r="C102" s="183"/>
      <c r="D102" s="183"/>
      <c r="E102" s="183"/>
      <c r="F102" s="183"/>
      <c r="G102" s="183"/>
      <c r="H102" s="39"/>
      <c r="I102" s="5"/>
    </row>
    <row r="103" spans="1:9">
      <c r="A103" s="12"/>
      <c r="B103" s="12"/>
      <c r="C103" s="12"/>
      <c r="D103" s="12"/>
      <c r="E103" s="12"/>
      <c r="F103" s="12"/>
      <c r="G103" s="12"/>
      <c r="H103" s="12"/>
      <c r="I103" s="12"/>
    </row>
    <row r="104" spans="1:9" ht="15.75">
      <c r="A104" s="184" t="s">
        <v>7</v>
      </c>
      <c r="B104" s="184"/>
      <c r="C104" s="184"/>
      <c r="D104" s="184"/>
      <c r="E104" s="184"/>
      <c r="F104" s="184"/>
      <c r="G104" s="184"/>
      <c r="H104" s="184"/>
      <c r="I104" s="184"/>
    </row>
    <row r="105" spans="1:9" ht="15.75">
      <c r="A105" s="184" t="s">
        <v>8</v>
      </c>
      <c r="B105" s="184"/>
      <c r="C105" s="184"/>
      <c r="D105" s="184"/>
      <c r="E105" s="184"/>
      <c r="F105" s="184"/>
      <c r="G105" s="184"/>
      <c r="H105" s="184"/>
      <c r="I105" s="184"/>
    </row>
    <row r="106" spans="1:9" ht="15.75" customHeight="1">
      <c r="A106" s="185" t="s">
        <v>79</v>
      </c>
      <c r="B106" s="185"/>
      <c r="C106" s="185"/>
      <c r="D106" s="185"/>
      <c r="E106" s="185"/>
      <c r="F106" s="185"/>
      <c r="G106" s="185"/>
      <c r="H106" s="185"/>
      <c r="I106" s="185"/>
    </row>
    <row r="107" spans="1:9" ht="15.75">
      <c r="A107" s="13"/>
    </row>
    <row r="108" spans="1:9" ht="15.75">
      <c r="A108" s="191" t="s">
        <v>9</v>
      </c>
      <c r="B108" s="191"/>
      <c r="C108" s="191"/>
      <c r="D108" s="191"/>
      <c r="E108" s="191"/>
      <c r="F108" s="191"/>
      <c r="G108" s="191"/>
      <c r="H108" s="191"/>
      <c r="I108" s="191"/>
    </row>
    <row r="109" spans="1:9" ht="15.75">
      <c r="A109" s="4"/>
    </row>
    <row r="110" spans="1:9" ht="15.75" customHeight="1">
      <c r="B110" s="114" t="s">
        <v>10</v>
      </c>
      <c r="C110" s="192" t="s">
        <v>191</v>
      </c>
      <c r="D110" s="192"/>
      <c r="E110" s="192"/>
      <c r="F110" s="131"/>
      <c r="I110" s="115"/>
    </row>
    <row r="111" spans="1:9">
      <c r="A111" s="116"/>
      <c r="C111" s="183" t="s">
        <v>11</v>
      </c>
      <c r="D111" s="183"/>
      <c r="E111" s="183"/>
      <c r="F111" s="39"/>
      <c r="I111" s="113" t="s">
        <v>12</v>
      </c>
    </row>
    <row r="112" spans="1:9" ht="15.75">
      <c r="A112" s="40"/>
      <c r="C112" s="14"/>
      <c r="D112" s="14"/>
      <c r="G112" s="14"/>
      <c r="H112" s="14"/>
    </row>
    <row r="113" spans="1:9" ht="15.75" customHeight="1">
      <c r="B113" s="114" t="s">
        <v>13</v>
      </c>
      <c r="C113" s="178"/>
      <c r="D113" s="178"/>
      <c r="E113" s="178"/>
      <c r="F113" s="132"/>
      <c r="I113" s="115"/>
    </row>
    <row r="114" spans="1:9">
      <c r="A114" s="116"/>
      <c r="C114" s="179" t="s">
        <v>11</v>
      </c>
      <c r="D114" s="179"/>
      <c r="E114" s="179"/>
      <c r="F114" s="116"/>
      <c r="I114" s="113" t="s">
        <v>12</v>
      </c>
    </row>
    <row r="115" spans="1:9" ht="15.75">
      <c r="A115" s="4" t="s">
        <v>14</v>
      </c>
    </row>
    <row r="116" spans="1:9">
      <c r="A116" s="180" t="s">
        <v>15</v>
      </c>
      <c r="B116" s="180"/>
      <c r="C116" s="180"/>
      <c r="D116" s="180"/>
      <c r="E116" s="180"/>
      <c r="F116" s="180"/>
      <c r="G116" s="180"/>
      <c r="H116" s="180"/>
      <c r="I116" s="180"/>
    </row>
    <row r="117" spans="1:9" ht="45" customHeight="1">
      <c r="A117" s="190" t="s">
        <v>16</v>
      </c>
      <c r="B117" s="190"/>
      <c r="C117" s="190"/>
      <c r="D117" s="190"/>
      <c r="E117" s="190"/>
      <c r="F117" s="190"/>
      <c r="G117" s="190"/>
      <c r="H117" s="190"/>
      <c r="I117" s="190"/>
    </row>
    <row r="118" spans="1:9" ht="30" customHeight="1">
      <c r="A118" s="190" t="s">
        <v>17</v>
      </c>
      <c r="B118" s="190"/>
      <c r="C118" s="190"/>
      <c r="D118" s="190"/>
      <c r="E118" s="190"/>
      <c r="F118" s="190"/>
      <c r="G118" s="190"/>
      <c r="H118" s="190"/>
      <c r="I118" s="190"/>
    </row>
    <row r="119" spans="1:9" ht="30" customHeight="1">
      <c r="A119" s="190" t="s">
        <v>22</v>
      </c>
      <c r="B119" s="190"/>
      <c r="C119" s="190"/>
      <c r="D119" s="190"/>
      <c r="E119" s="190"/>
      <c r="F119" s="190"/>
      <c r="G119" s="190"/>
      <c r="H119" s="190"/>
      <c r="I119" s="190"/>
    </row>
    <row r="120" spans="1:9" ht="15" customHeight="1">
      <c r="A120" s="190" t="s">
        <v>21</v>
      </c>
      <c r="B120" s="190"/>
      <c r="C120" s="190"/>
      <c r="D120" s="190"/>
      <c r="E120" s="190"/>
      <c r="F120" s="190"/>
      <c r="G120" s="190"/>
      <c r="H120" s="190"/>
      <c r="I120" s="190"/>
    </row>
    <row r="187" spans="1:9" ht="15.75">
      <c r="A187" s="4" t="s">
        <v>14</v>
      </c>
    </row>
    <row r="188" spans="1:9">
      <c r="A188" s="180" t="s">
        <v>15</v>
      </c>
      <c r="B188" s="180"/>
      <c r="C188" s="180"/>
      <c r="D188" s="180"/>
      <c r="E188" s="180"/>
      <c r="F188" s="180"/>
      <c r="G188" s="180"/>
      <c r="H188" s="180"/>
      <c r="I188" s="180"/>
    </row>
    <row r="189" spans="1:9" ht="16.5" customHeight="1">
      <c r="A189" s="189" t="s">
        <v>16</v>
      </c>
      <c r="B189" s="189"/>
      <c r="C189" s="189"/>
      <c r="D189" s="189"/>
      <c r="E189" s="189"/>
      <c r="F189" s="189"/>
      <c r="G189" s="189"/>
      <c r="H189" s="189"/>
      <c r="I189" s="189"/>
    </row>
    <row r="190" spans="1:9" ht="16.5" customHeight="1">
      <c r="A190" s="189" t="s">
        <v>17</v>
      </c>
      <c r="B190" s="189"/>
      <c r="C190" s="189"/>
      <c r="D190" s="189"/>
      <c r="E190" s="189"/>
      <c r="F190" s="189"/>
      <c r="G190" s="189"/>
      <c r="H190" s="189"/>
      <c r="I190" s="189"/>
    </row>
    <row r="191" spans="1:9" ht="16.5" customHeight="1">
      <c r="A191" s="189" t="s">
        <v>22</v>
      </c>
      <c r="B191" s="189"/>
      <c r="C191" s="189"/>
      <c r="D191" s="189"/>
      <c r="E191" s="189"/>
      <c r="F191" s="189"/>
      <c r="G191" s="189"/>
      <c r="H191" s="189"/>
      <c r="I191" s="189"/>
    </row>
    <row r="192" spans="1:9" ht="16.5" customHeight="1">
      <c r="A192" s="189" t="s">
        <v>21</v>
      </c>
      <c r="B192" s="189"/>
      <c r="C192" s="189"/>
      <c r="D192" s="189"/>
      <c r="E192" s="189"/>
      <c r="F192" s="189"/>
      <c r="G192" s="189"/>
      <c r="H192" s="189"/>
      <c r="I192" s="189"/>
    </row>
    <row r="194" spans="1:8">
      <c r="A194" s="15" t="s">
        <v>20</v>
      </c>
      <c r="B194" s="15"/>
      <c r="C194" s="15"/>
      <c r="D194" s="15"/>
      <c r="E194" s="15"/>
      <c r="F194" s="15"/>
      <c r="G194" s="15"/>
      <c r="H194" s="15"/>
    </row>
  </sheetData>
  <mergeCells count="32">
    <mergeCell ref="A78:I78"/>
    <mergeCell ref="A190:I190"/>
    <mergeCell ref="A191:I191"/>
    <mergeCell ref="A192:I192"/>
    <mergeCell ref="A29:I29"/>
    <mergeCell ref="A46:I46"/>
    <mergeCell ref="A57:I57"/>
    <mergeCell ref="A117:I117"/>
    <mergeCell ref="A118:I118"/>
    <mergeCell ref="A119:I119"/>
    <mergeCell ref="A120:I120"/>
    <mergeCell ref="A188:I188"/>
    <mergeCell ref="A189:I189"/>
    <mergeCell ref="A108:I108"/>
    <mergeCell ref="C110:E110"/>
    <mergeCell ref="C111:E111"/>
    <mergeCell ref="C113:E113"/>
    <mergeCell ref="C114:E114"/>
    <mergeCell ref="A116:I116"/>
    <mergeCell ref="A100:I100"/>
    <mergeCell ref="B101:G101"/>
    <mergeCell ref="B102:G102"/>
    <mergeCell ref="A104:I104"/>
    <mergeCell ref="A105:I105"/>
    <mergeCell ref="A106:I106"/>
    <mergeCell ref="A15:I15"/>
    <mergeCell ref="A3:I3"/>
    <mergeCell ref="A4:I4"/>
    <mergeCell ref="A5:I5"/>
    <mergeCell ref="A8:I8"/>
    <mergeCell ref="A10:I10"/>
    <mergeCell ref="A14:I14"/>
  </mergeCells>
  <pageMargins left="0.70866141732283472" right="0.70866141732283472" top="0.27559055118110237" bottom="0.27559055118110237" header="0.31496062992125984" footer="0.31496062992125984"/>
  <pageSetup paperSize="9" scale="60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V100"/>
  <sheetViews>
    <sheetView workbookViewId="0">
      <selection activeCell="A4" sqref="A4:I4"/>
    </sheetView>
  </sheetViews>
  <sheetFormatPr defaultRowHeight="15"/>
  <cols>
    <col min="1" max="1" width="6.42578125" customWidth="1"/>
    <col min="2" max="2" width="53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42" t="s">
        <v>136</v>
      </c>
      <c r="I1" s="41"/>
      <c r="J1" s="1"/>
      <c r="K1" s="1"/>
      <c r="L1" s="1"/>
      <c r="M1" s="1"/>
    </row>
    <row r="2" spans="1:13" ht="15.75">
      <c r="A2" s="43" t="s">
        <v>82</v>
      </c>
      <c r="J2" s="2"/>
      <c r="K2" s="2"/>
      <c r="L2" s="2"/>
      <c r="M2" s="2"/>
    </row>
    <row r="3" spans="1:13" ht="15.75" customHeight="1">
      <c r="A3" s="172" t="s">
        <v>276</v>
      </c>
      <c r="B3" s="172"/>
      <c r="C3" s="172"/>
      <c r="D3" s="172"/>
      <c r="E3" s="172"/>
      <c r="F3" s="172"/>
      <c r="G3" s="172"/>
      <c r="H3" s="172"/>
      <c r="I3" s="172"/>
      <c r="J3" s="3"/>
      <c r="K3" s="3"/>
      <c r="L3" s="3"/>
    </row>
    <row r="4" spans="1:13" ht="31.5" customHeight="1">
      <c r="A4" s="173" t="s">
        <v>280</v>
      </c>
      <c r="B4" s="173"/>
      <c r="C4" s="173"/>
      <c r="D4" s="173"/>
      <c r="E4" s="173"/>
      <c r="F4" s="173"/>
      <c r="G4" s="173"/>
      <c r="H4" s="173"/>
      <c r="I4" s="173"/>
    </row>
    <row r="5" spans="1:13" ht="15.75">
      <c r="A5" s="172" t="s">
        <v>277</v>
      </c>
      <c r="B5" s="174"/>
      <c r="C5" s="174"/>
      <c r="D5" s="174"/>
      <c r="E5" s="174"/>
      <c r="F5" s="174"/>
      <c r="G5" s="174"/>
      <c r="H5" s="174"/>
      <c r="I5" s="174"/>
      <c r="J5" s="2"/>
      <c r="K5" s="2"/>
      <c r="L5" s="2"/>
      <c r="M5" s="2"/>
    </row>
    <row r="6" spans="1:13" ht="15.75">
      <c r="A6" s="2"/>
      <c r="B6" s="126"/>
      <c r="C6" s="126"/>
      <c r="D6" s="126"/>
      <c r="E6" s="126"/>
      <c r="F6" s="126"/>
      <c r="G6" s="126"/>
      <c r="H6" s="126"/>
      <c r="I6" s="45">
        <v>42674</v>
      </c>
      <c r="J6" s="2"/>
      <c r="K6" s="2"/>
      <c r="L6" s="2"/>
      <c r="M6" s="2"/>
    </row>
    <row r="7" spans="1:13" ht="15.75">
      <c r="B7" s="122"/>
      <c r="C7" s="122"/>
      <c r="D7" s="122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175" t="s">
        <v>189</v>
      </c>
      <c r="B8" s="175"/>
      <c r="C8" s="175"/>
      <c r="D8" s="175"/>
      <c r="E8" s="175"/>
      <c r="F8" s="175"/>
      <c r="G8" s="175"/>
      <c r="H8" s="175"/>
      <c r="I8" s="175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76" t="s">
        <v>190</v>
      </c>
      <c r="B10" s="176"/>
      <c r="C10" s="176"/>
      <c r="D10" s="176"/>
      <c r="E10" s="176"/>
      <c r="F10" s="176"/>
      <c r="G10" s="176"/>
      <c r="H10" s="176"/>
      <c r="I10" s="176"/>
      <c r="J10" s="2"/>
      <c r="K10" s="2"/>
      <c r="L10" s="2"/>
      <c r="M10" s="2"/>
    </row>
    <row r="11" spans="1:13" ht="15.75">
      <c r="A11" s="4"/>
    </row>
    <row r="12" spans="1:13" ht="75">
      <c r="A12" s="22" t="s">
        <v>0</v>
      </c>
      <c r="B12" s="22" t="s">
        <v>181</v>
      </c>
      <c r="C12" s="22" t="s">
        <v>2</v>
      </c>
      <c r="D12" s="22" t="s">
        <v>18</v>
      </c>
      <c r="E12" s="22" t="s">
        <v>19</v>
      </c>
      <c r="F12" s="22"/>
      <c r="G12" s="22" t="s">
        <v>23</v>
      </c>
      <c r="H12" s="22"/>
      <c r="I12" s="22" t="s">
        <v>3</v>
      </c>
    </row>
    <row r="13" spans="1:13">
      <c r="A13" s="109">
        <v>1</v>
      </c>
      <c r="B13" s="109">
        <v>2</v>
      </c>
      <c r="C13" s="109">
        <v>3</v>
      </c>
      <c r="D13" s="109">
        <v>4</v>
      </c>
      <c r="E13" s="109">
        <v>5</v>
      </c>
      <c r="F13" s="109"/>
      <c r="G13" s="109">
        <v>5</v>
      </c>
      <c r="H13" s="109"/>
      <c r="I13" s="109">
        <v>6</v>
      </c>
      <c r="J13" s="10"/>
      <c r="K13" s="10"/>
      <c r="L13" s="10"/>
      <c r="M13" s="10"/>
    </row>
    <row r="14" spans="1:13" ht="15" customHeight="1">
      <c r="A14" s="177" t="s">
        <v>74</v>
      </c>
      <c r="B14" s="177"/>
      <c r="C14" s="177"/>
      <c r="D14" s="177"/>
      <c r="E14" s="177"/>
      <c r="F14" s="177"/>
      <c r="G14" s="177"/>
      <c r="H14" s="177"/>
      <c r="I14" s="177"/>
      <c r="J14" s="10"/>
      <c r="K14" s="10"/>
      <c r="L14" s="10"/>
      <c r="M14" s="10"/>
    </row>
    <row r="15" spans="1:13">
      <c r="A15" s="171" t="s">
        <v>4</v>
      </c>
      <c r="B15" s="171"/>
      <c r="C15" s="171"/>
      <c r="D15" s="171"/>
      <c r="E15" s="171"/>
      <c r="F15" s="171"/>
      <c r="G15" s="171"/>
      <c r="H15" s="171"/>
      <c r="I15" s="171"/>
      <c r="J15" s="10"/>
      <c r="K15" s="10"/>
      <c r="L15" s="10"/>
      <c r="M15" s="10"/>
    </row>
    <row r="16" spans="1:13" ht="30">
      <c r="A16" s="44">
        <v>1</v>
      </c>
      <c r="B16" s="55" t="s">
        <v>147</v>
      </c>
      <c r="C16" s="69" t="s">
        <v>148</v>
      </c>
      <c r="D16" s="55" t="s">
        <v>149</v>
      </c>
      <c r="E16" s="44"/>
      <c r="F16" s="51"/>
      <c r="G16" s="54">
        <v>218.21</v>
      </c>
      <c r="H16" s="133"/>
      <c r="I16" s="44">
        <v>1080.79</v>
      </c>
      <c r="J16" s="36"/>
      <c r="K16" s="10"/>
      <c r="L16" s="10"/>
      <c r="M16" s="10"/>
    </row>
    <row r="17" spans="1:13" ht="31.5" customHeight="1">
      <c r="A17" s="44">
        <v>2</v>
      </c>
      <c r="B17" s="55" t="s">
        <v>150</v>
      </c>
      <c r="C17" s="69" t="s">
        <v>148</v>
      </c>
      <c r="D17" s="55" t="s">
        <v>151</v>
      </c>
      <c r="E17" s="44"/>
      <c r="F17" s="51"/>
      <c r="G17" s="54">
        <v>218.21</v>
      </c>
      <c r="H17" s="133"/>
      <c r="I17" s="44">
        <v>2163.48</v>
      </c>
      <c r="J17" s="37"/>
      <c r="K17" s="10"/>
      <c r="L17" s="10"/>
      <c r="M17" s="10"/>
    </row>
    <row r="18" spans="1:13" ht="31.5" customHeight="1">
      <c r="A18" s="44">
        <v>3</v>
      </c>
      <c r="B18" s="55" t="s">
        <v>152</v>
      </c>
      <c r="C18" s="69" t="s">
        <v>148</v>
      </c>
      <c r="D18" s="55" t="s">
        <v>153</v>
      </c>
      <c r="E18" s="44"/>
      <c r="F18" s="51"/>
      <c r="G18" s="54">
        <v>627.77</v>
      </c>
      <c r="H18" s="133"/>
      <c r="I18" s="108">
        <v>1914.7</v>
      </c>
      <c r="J18" s="37"/>
      <c r="K18" s="10"/>
      <c r="L18" s="10"/>
      <c r="M18" s="10"/>
    </row>
    <row r="19" spans="1:13" ht="15.75" customHeight="1">
      <c r="A19" s="70">
        <v>4</v>
      </c>
      <c r="B19" s="64" t="s">
        <v>86</v>
      </c>
      <c r="C19" s="65" t="s">
        <v>35</v>
      </c>
      <c r="D19" s="64" t="s">
        <v>26</v>
      </c>
      <c r="E19" s="25">
        <v>506.1</v>
      </c>
      <c r="F19" s="129"/>
      <c r="G19" s="54">
        <v>182.96</v>
      </c>
      <c r="H19" s="133"/>
      <c r="I19" s="26">
        <v>556.5</v>
      </c>
      <c r="J19" s="37"/>
      <c r="K19" s="10"/>
      <c r="L19" s="10"/>
      <c r="M19" s="10"/>
    </row>
    <row r="20" spans="1:13" ht="15.75" customHeight="1">
      <c r="A20" s="70">
        <v>5</v>
      </c>
      <c r="B20" s="16" t="s">
        <v>24</v>
      </c>
      <c r="C20" s="17" t="s">
        <v>25</v>
      </c>
      <c r="D20" s="44"/>
      <c r="E20" s="25">
        <v>506.1</v>
      </c>
      <c r="F20" s="129"/>
      <c r="G20" s="54">
        <v>3.43</v>
      </c>
      <c r="H20" s="133"/>
      <c r="I20" s="26">
        <v>7074.38</v>
      </c>
      <c r="J20" s="37"/>
      <c r="K20" s="10"/>
      <c r="L20" s="10"/>
      <c r="M20" s="10"/>
    </row>
    <row r="21" spans="1:13" ht="15.75" customHeight="1">
      <c r="A21" s="171" t="s">
        <v>130</v>
      </c>
      <c r="B21" s="171"/>
      <c r="C21" s="171"/>
      <c r="D21" s="171"/>
      <c r="E21" s="171"/>
      <c r="F21" s="171"/>
      <c r="G21" s="171"/>
      <c r="H21" s="171"/>
      <c r="I21" s="171"/>
      <c r="J21" s="37"/>
      <c r="K21" s="10"/>
      <c r="L21" s="10"/>
      <c r="M21" s="10"/>
    </row>
    <row r="22" spans="1:13" ht="15.75" customHeight="1">
      <c r="A22" s="70"/>
      <c r="B22" s="80" t="s">
        <v>31</v>
      </c>
      <c r="C22" s="80"/>
      <c r="D22" s="80"/>
      <c r="E22" s="80"/>
      <c r="F22" s="80"/>
      <c r="G22" s="80"/>
      <c r="H22" s="80"/>
      <c r="I22" s="26"/>
      <c r="J22" s="37"/>
      <c r="K22" s="10"/>
      <c r="L22" s="10"/>
      <c r="M22" s="10"/>
    </row>
    <row r="23" spans="1:13" ht="31.5" customHeight="1">
      <c r="A23" s="70">
        <v>6</v>
      </c>
      <c r="B23" s="55" t="s">
        <v>236</v>
      </c>
      <c r="C23" s="69" t="s">
        <v>166</v>
      </c>
      <c r="D23" s="55" t="s">
        <v>204</v>
      </c>
      <c r="E23" s="54">
        <v>52.9</v>
      </c>
      <c r="F23" s="54">
        <f>SUM(E23*52/1000)</f>
        <v>2.7507999999999999</v>
      </c>
      <c r="G23" s="54">
        <v>193.97</v>
      </c>
      <c r="H23" s="136">
        <f t="shared" ref="H23:H28" si="0">SUM(F23*G23/1000)</f>
        <v>0.53357267600000002</v>
      </c>
      <c r="I23" s="108">
        <f>G23/6*F23</f>
        <v>88.928779333333324</v>
      </c>
      <c r="J23" s="37"/>
      <c r="K23" s="10"/>
      <c r="L23" s="10"/>
      <c r="M23" s="10"/>
    </row>
    <row r="24" spans="1:13" ht="31.5" customHeight="1">
      <c r="A24" s="70">
        <v>7</v>
      </c>
      <c r="B24" s="55" t="s">
        <v>237</v>
      </c>
      <c r="C24" s="69" t="s">
        <v>166</v>
      </c>
      <c r="D24" s="55" t="s">
        <v>205</v>
      </c>
      <c r="E24" s="54">
        <v>58.2</v>
      </c>
      <c r="F24" s="54">
        <f>SUM(E24*78/1000)</f>
        <v>4.5396000000000001</v>
      </c>
      <c r="G24" s="54">
        <v>321.82</v>
      </c>
      <c r="H24" s="136">
        <f t="shared" si="0"/>
        <v>1.4609340719999999</v>
      </c>
      <c r="I24" s="108">
        <f t="shared" ref="I24:I26" si="1">G24/6*F24</f>
        <v>243.489012</v>
      </c>
      <c r="J24" s="37"/>
      <c r="K24" s="10"/>
      <c r="L24" s="10"/>
      <c r="M24" s="10"/>
    </row>
    <row r="25" spans="1:13" hidden="1">
      <c r="A25" s="70">
        <v>4</v>
      </c>
      <c r="B25" s="55" t="s">
        <v>30</v>
      </c>
      <c r="C25" s="69" t="s">
        <v>166</v>
      </c>
      <c r="D25" s="55" t="s">
        <v>63</v>
      </c>
      <c r="E25" s="54">
        <v>52.9</v>
      </c>
      <c r="F25" s="54">
        <f>SUM(E25/1000)</f>
        <v>5.2899999999999996E-2</v>
      </c>
      <c r="G25" s="54">
        <v>3758.28</v>
      </c>
      <c r="H25" s="136">
        <f t="shared" si="0"/>
        <v>0.19881301199999998</v>
      </c>
      <c r="I25" s="108">
        <f>G25*F25</f>
        <v>198.81301199999999</v>
      </c>
      <c r="J25" s="37"/>
      <c r="K25" s="10"/>
      <c r="L25" s="10"/>
      <c r="M25" s="10"/>
    </row>
    <row r="26" spans="1:13" ht="16.5" customHeight="1">
      <c r="A26" s="70">
        <v>8</v>
      </c>
      <c r="B26" s="55" t="s">
        <v>238</v>
      </c>
      <c r="C26" s="69" t="s">
        <v>33</v>
      </c>
      <c r="D26" s="55" t="s">
        <v>85</v>
      </c>
      <c r="E26" s="139">
        <f>1/3</f>
        <v>0.33333333333333331</v>
      </c>
      <c r="F26" s="54">
        <f>155/3</f>
        <v>51.666666666666664</v>
      </c>
      <c r="G26" s="54">
        <v>70.540000000000006</v>
      </c>
      <c r="H26" s="136">
        <f t="shared" si="0"/>
        <v>3.6445666666666665</v>
      </c>
      <c r="I26" s="108">
        <f t="shared" si="1"/>
        <v>607.42777777777781</v>
      </c>
      <c r="J26" s="37"/>
      <c r="K26" s="10"/>
      <c r="L26" s="10"/>
      <c r="M26" s="10"/>
    </row>
    <row r="27" spans="1:13" ht="16.5" hidden="1" customHeight="1">
      <c r="A27" s="70">
        <v>4</v>
      </c>
      <c r="B27" s="55" t="s">
        <v>87</v>
      </c>
      <c r="C27" s="69" t="s">
        <v>35</v>
      </c>
      <c r="D27" s="55" t="s">
        <v>89</v>
      </c>
      <c r="E27" s="53"/>
      <c r="F27" s="54">
        <v>1</v>
      </c>
      <c r="G27" s="54">
        <v>238.07</v>
      </c>
      <c r="H27" s="136">
        <f t="shared" si="0"/>
        <v>0.23807</v>
      </c>
      <c r="I27" s="19">
        <v>0</v>
      </c>
      <c r="J27" s="37"/>
      <c r="K27" s="10"/>
      <c r="L27" s="10"/>
      <c r="M27" s="10"/>
    </row>
    <row r="28" spans="1:13" ht="16.5" hidden="1" customHeight="1">
      <c r="A28" s="44">
        <v>7</v>
      </c>
      <c r="B28" s="55" t="s">
        <v>207</v>
      </c>
      <c r="C28" s="69" t="s">
        <v>34</v>
      </c>
      <c r="D28" s="55" t="s">
        <v>89</v>
      </c>
      <c r="E28" s="53"/>
      <c r="F28" s="54">
        <v>1</v>
      </c>
      <c r="G28" s="54">
        <v>1413.96</v>
      </c>
      <c r="H28" s="136">
        <f t="shared" si="0"/>
        <v>1.4139600000000001</v>
      </c>
      <c r="I28" s="19">
        <v>0</v>
      </c>
      <c r="J28" s="37"/>
      <c r="K28" s="10"/>
      <c r="L28" s="10"/>
      <c r="M28" s="10"/>
    </row>
    <row r="29" spans="1:13" hidden="1">
      <c r="A29" s="70"/>
      <c r="B29" s="78" t="s">
        <v>5</v>
      </c>
      <c r="C29" s="78"/>
      <c r="D29" s="78"/>
      <c r="E29" s="19"/>
      <c r="F29" s="19"/>
      <c r="G29" s="20"/>
      <c r="H29" s="20"/>
      <c r="I29" s="26"/>
      <c r="J29" s="37"/>
      <c r="K29" s="10"/>
      <c r="L29" s="10"/>
      <c r="M29" s="10"/>
    </row>
    <row r="30" spans="1:13" ht="13.5" hidden="1" customHeight="1">
      <c r="A30" s="56">
        <v>6</v>
      </c>
      <c r="B30" s="57" t="s">
        <v>29</v>
      </c>
      <c r="C30" s="69" t="s">
        <v>34</v>
      </c>
      <c r="D30" s="55"/>
      <c r="E30" s="19">
        <v>0</v>
      </c>
      <c r="F30" s="130"/>
      <c r="G30" s="54">
        <v>1900.37</v>
      </c>
      <c r="H30" s="133"/>
      <c r="I30" s="19">
        <v>1583.64</v>
      </c>
      <c r="J30" s="37"/>
      <c r="K30" s="10"/>
      <c r="L30" s="10"/>
      <c r="M30" s="10"/>
    </row>
    <row r="31" spans="1:13" hidden="1">
      <c r="A31" s="56">
        <v>7</v>
      </c>
      <c r="B31" s="57" t="s">
        <v>161</v>
      </c>
      <c r="C31" s="106" t="s">
        <v>32</v>
      </c>
      <c r="D31" s="57" t="s">
        <v>162</v>
      </c>
      <c r="E31" s="19">
        <v>0</v>
      </c>
      <c r="F31" s="130"/>
      <c r="G31" s="58">
        <v>2616.4899999999998</v>
      </c>
      <c r="H31" s="134"/>
      <c r="I31" s="19">
        <v>761.4</v>
      </c>
      <c r="J31" s="37"/>
      <c r="K31" s="10"/>
      <c r="L31" s="10"/>
      <c r="M31" s="10"/>
    </row>
    <row r="32" spans="1:13" ht="15" hidden="1" customHeight="1">
      <c r="A32" s="56">
        <v>5</v>
      </c>
      <c r="B32" s="55" t="s">
        <v>163</v>
      </c>
      <c r="C32" s="69" t="s">
        <v>164</v>
      </c>
      <c r="D32" s="55" t="s">
        <v>89</v>
      </c>
      <c r="E32" s="19">
        <v>0</v>
      </c>
      <c r="F32" s="130"/>
      <c r="G32" s="54">
        <v>226.84</v>
      </c>
      <c r="H32" s="133"/>
      <c r="I32" s="19">
        <v>0</v>
      </c>
      <c r="J32" s="37"/>
      <c r="K32" s="10"/>
      <c r="L32" s="10"/>
      <c r="M32" s="10"/>
    </row>
    <row r="33" spans="1:14" ht="15" hidden="1" customHeight="1">
      <c r="A33" s="56">
        <v>8</v>
      </c>
      <c r="B33" s="55" t="s">
        <v>92</v>
      </c>
      <c r="C33" s="69" t="s">
        <v>32</v>
      </c>
      <c r="D33" s="55" t="s">
        <v>165</v>
      </c>
      <c r="E33" s="19">
        <v>0</v>
      </c>
      <c r="F33" s="130"/>
      <c r="G33" s="54">
        <v>436.45</v>
      </c>
      <c r="H33" s="133"/>
      <c r="I33" s="19">
        <v>656.2</v>
      </c>
      <c r="J33" s="37"/>
      <c r="K33" s="10"/>
    </row>
    <row r="34" spans="1:14" ht="45" hidden="1" customHeight="1">
      <c r="A34" s="56">
        <v>9</v>
      </c>
      <c r="B34" s="55" t="s">
        <v>128</v>
      </c>
      <c r="C34" s="69" t="s">
        <v>166</v>
      </c>
      <c r="D34" s="55" t="s">
        <v>167</v>
      </c>
      <c r="E34" s="19">
        <v>0</v>
      </c>
      <c r="F34" s="130"/>
      <c r="G34" s="54">
        <v>7221.21</v>
      </c>
      <c r="H34" s="133"/>
      <c r="I34" s="19">
        <v>1061.52</v>
      </c>
      <c r="J34" s="38"/>
    </row>
    <row r="35" spans="1:14" ht="15.75" hidden="1" customHeight="1">
      <c r="A35" s="56">
        <v>10</v>
      </c>
      <c r="B35" s="55" t="s">
        <v>168</v>
      </c>
      <c r="C35" s="69" t="s">
        <v>166</v>
      </c>
      <c r="D35" s="55" t="s">
        <v>169</v>
      </c>
      <c r="E35" s="19"/>
      <c r="F35" s="130"/>
      <c r="G35" s="54">
        <v>533.45000000000005</v>
      </c>
      <c r="H35" s="133"/>
      <c r="I35" s="19">
        <v>103.49</v>
      </c>
      <c r="J35" s="38"/>
    </row>
    <row r="36" spans="1:14" ht="15.75" hidden="1" customHeight="1">
      <c r="A36" s="56">
        <v>11</v>
      </c>
      <c r="B36" s="57" t="s">
        <v>96</v>
      </c>
      <c r="C36" s="106" t="s">
        <v>35</v>
      </c>
      <c r="D36" s="57"/>
      <c r="E36" s="19">
        <v>0</v>
      </c>
      <c r="F36" s="130"/>
      <c r="G36" s="58">
        <v>992.97</v>
      </c>
      <c r="H36" s="134"/>
      <c r="I36" s="19">
        <v>148.94999999999999</v>
      </c>
      <c r="J36" s="38"/>
    </row>
    <row r="37" spans="1:14" ht="15.75" hidden="1" customHeight="1">
      <c r="A37" s="196" t="s">
        <v>186</v>
      </c>
      <c r="B37" s="197"/>
      <c r="C37" s="197"/>
      <c r="D37" s="197"/>
      <c r="E37" s="197"/>
      <c r="F37" s="197"/>
      <c r="G37" s="197"/>
      <c r="H37" s="197"/>
      <c r="I37" s="198"/>
      <c r="J37" s="38"/>
    </row>
    <row r="38" spans="1:14" ht="23.25" hidden="1" customHeight="1">
      <c r="A38" s="70">
        <v>15</v>
      </c>
      <c r="B38" s="21" t="s">
        <v>36</v>
      </c>
      <c r="C38" s="23" t="s">
        <v>32</v>
      </c>
      <c r="D38" s="44" t="s">
        <v>77</v>
      </c>
      <c r="E38" s="26">
        <v>0.42</v>
      </c>
      <c r="F38" s="26"/>
      <c r="G38" s="61">
        <v>809.74</v>
      </c>
      <c r="H38" s="61"/>
      <c r="I38" s="27">
        <v>0</v>
      </c>
      <c r="J38" s="38"/>
    </row>
    <row r="39" spans="1:14" ht="23.25" hidden="1" customHeight="1">
      <c r="A39" s="70">
        <v>16</v>
      </c>
      <c r="B39" s="21" t="s">
        <v>37</v>
      </c>
      <c r="C39" s="23" t="s">
        <v>38</v>
      </c>
      <c r="D39" s="44" t="s">
        <v>77</v>
      </c>
      <c r="E39" s="26">
        <v>1.35</v>
      </c>
      <c r="F39" s="26"/>
      <c r="G39" s="61">
        <v>72.81</v>
      </c>
      <c r="H39" s="61"/>
      <c r="I39" s="27">
        <v>0</v>
      </c>
      <c r="J39" s="38"/>
    </row>
    <row r="40" spans="1:14" ht="30.75" hidden="1" customHeight="1">
      <c r="A40" s="70">
        <v>17</v>
      </c>
      <c r="B40" s="21" t="s">
        <v>39</v>
      </c>
      <c r="C40" s="23" t="s">
        <v>32</v>
      </c>
      <c r="D40" s="44" t="s">
        <v>77</v>
      </c>
      <c r="E40" s="26">
        <v>0.03</v>
      </c>
      <c r="F40" s="26"/>
      <c r="G40" s="61">
        <v>579.48</v>
      </c>
      <c r="H40" s="61"/>
      <c r="I40" s="27">
        <v>0</v>
      </c>
      <c r="J40" s="38"/>
    </row>
    <row r="41" spans="1:14" ht="30.75" hidden="1" customHeight="1">
      <c r="A41" s="70">
        <v>18</v>
      </c>
      <c r="B41" s="21" t="s">
        <v>40</v>
      </c>
      <c r="C41" s="23" t="s">
        <v>32</v>
      </c>
      <c r="D41" s="44" t="s">
        <v>77</v>
      </c>
      <c r="E41" s="26">
        <v>0.33</v>
      </c>
      <c r="F41" s="26"/>
      <c r="G41" s="61">
        <v>579.48</v>
      </c>
      <c r="H41" s="61"/>
      <c r="I41" s="27">
        <v>0</v>
      </c>
      <c r="J41" s="38"/>
      <c r="L41" s="28"/>
      <c r="M41" s="29"/>
      <c r="N41" s="30"/>
    </row>
    <row r="42" spans="1:14" ht="31.5" hidden="1" customHeight="1">
      <c r="A42" s="70">
        <v>12</v>
      </c>
      <c r="B42" s="21" t="s">
        <v>124</v>
      </c>
      <c r="C42" s="23" t="s">
        <v>32</v>
      </c>
      <c r="D42" s="44" t="s">
        <v>77</v>
      </c>
      <c r="E42" s="26">
        <v>0.22</v>
      </c>
      <c r="F42" s="26"/>
      <c r="G42" s="61">
        <v>1711.28</v>
      </c>
      <c r="H42" s="61"/>
      <c r="I42" s="19">
        <v>3529.52</v>
      </c>
      <c r="J42" s="38"/>
      <c r="L42" s="28"/>
      <c r="M42" s="29"/>
      <c r="N42" s="30"/>
    </row>
    <row r="43" spans="1:14" ht="14.25" hidden="1" customHeight="1">
      <c r="A43" s="70">
        <v>12</v>
      </c>
      <c r="B43" s="21" t="s">
        <v>154</v>
      </c>
      <c r="C43" s="23" t="s">
        <v>32</v>
      </c>
      <c r="D43" s="44" t="s">
        <v>77</v>
      </c>
      <c r="E43" s="26">
        <v>0.22</v>
      </c>
      <c r="F43" s="26"/>
      <c r="G43" s="61">
        <v>1510.06</v>
      </c>
      <c r="H43" s="61"/>
      <c r="I43" s="27">
        <v>3114.5</v>
      </c>
      <c r="J43" s="38"/>
      <c r="L43" s="28"/>
      <c r="M43" s="29"/>
      <c r="N43" s="30"/>
    </row>
    <row r="44" spans="1:14" ht="16.5" hidden="1" customHeight="1">
      <c r="A44" s="70">
        <v>13</v>
      </c>
      <c r="B44" s="21" t="s">
        <v>155</v>
      </c>
      <c r="C44" s="23" t="s">
        <v>44</v>
      </c>
      <c r="D44" s="44" t="s">
        <v>77</v>
      </c>
      <c r="E44" s="26">
        <v>0.02</v>
      </c>
      <c r="F44" s="26"/>
      <c r="G44" s="61">
        <v>3850.4</v>
      </c>
      <c r="H44" s="61"/>
      <c r="I44" s="27">
        <v>462.05</v>
      </c>
      <c r="J44" s="38"/>
      <c r="L44" s="28"/>
      <c r="M44" s="29"/>
      <c r="N44" s="30"/>
    </row>
    <row r="45" spans="1:14" ht="17.25" hidden="1" customHeight="1">
      <c r="A45" s="70">
        <v>14</v>
      </c>
      <c r="B45" s="21" t="s">
        <v>45</v>
      </c>
      <c r="C45" s="23" t="s">
        <v>46</v>
      </c>
      <c r="D45" s="44" t="s">
        <v>77</v>
      </c>
      <c r="E45" s="26">
        <v>0.01</v>
      </c>
      <c r="F45" s="26"/>
      <c r="G45" s="61">
        <v>7033.13</v>
      </c>
      <c r="H45" s="61"/>
      <c r="I45" s="27">
        <v>70.33</v>
      </c>
      <c r="J45" s="38"/>
      <c r="L45" s="28"/>
      <c r="M45" s="29"/>
      <c r="N45" s="30"/>
    </row>
    <row r="46" spans="1:14" ht="15" hidden="1" customHeight="1">
      <c r="A46" s="70">
        <v>23</v>
      </c>
      <c r="B46" s="21" t="s">
        <v>47</v>
      </c>
      <c r="C46" s="23" t="s">
        <v>33</v>
      </c>
      <c r="D46" s="70" t="s">
        <v>97</v>
      </c>
      <c r="E46" s="26">
        <v>8</v>
      </c>
      <c r="F46" s="26"/>
      <c r="G46" s="62">
        <v>141.12</v>
      </c>
      <c r="H46" s="62"/>
      <c r="I46" s="19">
        <v>0</v>
      </c>
      <c r="J46" s="38"/>
      <c r="L46" s="28"/>
      <c r="M46" s="29"/>
      <c r="N46" s="30"/>
    </row>
    <row r="47" spans="1:14" ht="13.5" hidden="1" customHeight="1">
      <c r="A47" s="70">
        <v>24</v>
      </c>
      <c r="B47" s="21" t="s">
        <v>48</v>
      </c>
      <c r="C47" s="23" t="s">
        <v>33</v>
      </c>
      <c r="D47" s="70" t="s">
        <v>97</v>
      </c>
      <c r="E47" s="26">
        <v>16</v>
      </c>
      <c r="F47" s="26"/>
      <c r="G47" s="62">
        <v>65.67</v>
      </c>
      <c r="H47" s="62"/>
      <c r="I47" s="19">
        <v>0</v>
      </c>
      <c r="J47" s="38"/>
      <c r="L47" s="28"/>
      <c r="M47" s="29"/>
      <c r="N47" s="30"/>
    </row>
    <row r="48" spans="1:14" ht="15.75" customHeight="1">
      <c r="A48" s="196" t="s">
        <v>248</v>
      </c>
      <c r="B48" s="199"/>
      <c r="C48" s="199"/>
      <c r="D48" s="199"/>
      <c r="E48" s="199"/>
      <c r="F48" s="199"/>
      <c r="G48" s="199"/>
      <c r="H48" s="199"/>
      <c r="I48" s="200"/>
      <c r="J48" s="38"/>
      <c r="L48" s="28"/>
      <c r="M48" s="29"/>
      <c r="N48" s="30"/>
    </row>
    <row r="49" spans="1:14" ht="17.25" hidden="1" customHeight="1">
      <c r="A49" s="128"/>
      <c r="B49" s="77" t="s">
        <v>50</v>
      </c>
      <c r="C49" s="23"/>
      <c r="D49" s="22"/>
      <c r="E49" s="22"/>
      <c r="F49" s="22"/>
      <c r="G49" s="44"/>
      <c r="H49" s="44"/>
      <c r="I49" s="26"/>
      <c r="J49" s="38"/>
      <c r="L49" s="28"/>
      <c r="M49" s="29"/>
      <c r="N49" s="30"/>
    </row>
    <row r="50" spans="1:14" ht="47.25" hidden="1" customHeight="1">
      <c r="A50" s="70">
        <v>13</v>
      </c>
      <c r="B50" s="21" t="s">
        <v>121</v>
      </c>
      <c r="C50" s="23" t="s">
        <v>62</v>
      </c>
      <c r="D50" s="22" t="s">
        <v>98</v>
      </c>
      <c r="E50" s="26">
        <v>0</v>
      </c>
      <c r="F50" s="26"/>
      <c r="G50" s="61">
        <v>2306.62</v>
      </c>
      <c r="H50" s="61"/>
      <c r="I50" s="27">
        <v>1275.56</v>
      </c>
      <c r="J50" s="38"/>
      <c r="L50" s="28"/>
      <c r="M50" s="29"/>
      <c r="N50" s="30"/>
    </row>
    <row r="51" spans="1:14" ht="16.5" hidden="1" customHeight="1">
      <c r="A51" s="70">
        <v>26</v>
      </c>
      <c r="B51" s="64" t="s">
        <v>111</v>
      </c>
      <c r="C51" s="23" t="s">
        <v>62</v>
      </c>
      <c r="D51" s="22" t="s">
        <v>112</v>
      </c>
      <c r="E51" s="26"/>
      <c r="F51" s="26"/>
      <c r="G51" s="61">
        <v>1547.28</v>
      </c>
      <c r="H51" s="61"/>
      <c r="I51" s="27">
        <v>0</v>
      </c>
      <c r="J51" s="38"/>
      <c r="L51" s="28"/>
      <c r="M51" s="29"/>
      <c r="N51" s="30"/>
    </row>
    <row r="52" spans="1:14" ht="16.5" customHeight="1">
      <c r="A52" s="70"/>
      <c r="B52" s="127" t="s">
        <v>51</v>
      </c>
      <c r="C52" s="127"/>
      <c r="D52" s="127"/>
      <c r="E52" s="127"/>
      <c r="F52" s="127"/>
      <c r="G52" s="127"/>
      <c r="H52" s="127"/>
      <c r="I52" s="60"/>
      <c r="J52" s="38"/>
      <c r="L52" s="28"/>
      <c r="M52" s="29"/>
      <c r="N52" s="30"/>
    </row>
    <row r="53" spans="1:14" ht="15" hidden="1" customHeight="1">
      <c r="A53" s="70">
        <v>27</v>
      </c>
      <c r="B53" s="21" t="s">
        <v>52</v>
      </c>
      <c r="C53" s="23" t="s">
        <v>62</v>
      </c>
      <c r="D53" s="44" t="s">
        <v>63</v>
      </c>
      <c r="E53" s="26">
        <v>0</v>
      </c>
      <c r="F53" s="26"/>
      <c r="G53" s="61">
        <v>793.61</v>
      </c>
      <c r="H53" s="61"/>
      <c r="I53" s="27">
        <f>E53/2</f>
        <v>0</v>
      </c>
      <c r="J53" s="38"/>
      <c r="L53" s="28"/>
      <c r="M53" s="29"/>
      <c r="N53" s="30"/>
    </row>
    <row r="54" spans="1:14" ht="15.75" customHeight="1">
      <c r="A54" s="70">
        <v>10</v>
      </c>
      <c r="B54" s="104" t="s">
        <v>156</v>
      </c>
      <c r="C54" s="82" t="s">
        <v>27</v>
      </c>
      <c r="D54" s="104" t="s">
        <v>157</v>
      </c>
      <c r="E54" s="26"/>
      <c r="F54" s="26"/>
      <c r="G54" s="61">
        <v>2.59</v>
      </c>
      <c r="H54" s="61"/>
      <c r="I54" s="27">
        <v>363.64</v>
      </c>
      <c r="J54" s="38"/>
      <c r="L54" s="28"/>
      <c r="M54" s="29"/>
      <c r="N54" s="30"/>
    </row>
    <row r="55" spans="1:14" ht="15.75" customHeight="1">
      <c r="A55" s="70"/>
      <c r="B55" s="127" t="s">
        <v>53</v>
      </c>
      <c r="C55" s="23"/>
      <c r="D55" s="170"/>
      <c r="E55" s="22"/>
      <c r="F55" s="22"/>
      <c r="G55" s="44"/>
      <c r="H55" s="44"/>
      <c r="I55" s="26"/>
      <c r="J55" s="38"/>
      <c r="L55" s="28"/>
      <c r="M55" s="29"/>
      <c r="N55" s="30"/>
    </row>
    <row r="56" spans="1:14" ht="15.75" hidden="1" customHeight="1">
      <c r="A56" s="70">
        <v>17</v>
      </c>
      <c r="B56" s="21" t="s">
        <v>54</v>
      </c>
      <c r="C56" s="23" t="s">
        <v>33</v>
      </c>
      <c r="D56" s="170" t="s">
        <v>89</v>
      </c>
      <c r="E56" s="26">
        <v>0</v>
      </c>
      <c r="F56" s="26"/>
      <c r="G56" s="61">
        <v>276.74</v>
      </c>
      <c r="H56" s="61"/>
      <c r="I56" s="27">
        <v>276.74</v>
      </c>
      <c r="J56" s="38"/>
      <c r="L56" s="28"/>
      <c r="M56" s="29"/>
      <c r="N56" s="30"/>
    </row>
    <row r="57" spans="1:14" ht="15.75" hidden="1" customHeight="1">
      <c r="A57" s="44">
        <v>29</v>
      </c>
      <c r="B57" s="21" t="s">
        <v>55</v>
      </c>
      <c r="C57" s="23" t="s">
        <v>33</v>
      </c>
      <c r="D57" s="170" t="s">
        <v>28</v>
      </c>
      <c r="E57" s="26">
        <v>0</v>
      </c>
      <c r="F57" s="26"/>
      <c r="G57" s="61">
        <v>76.25</v>
      </c>
      <c r="H57" s="61"/>
      <c r="I57" s="27">
        <f>E57/2</f>
        <v>0</v>
      </c>
      <c r="J57" s="38"/>
      <c r="L57" s="28"/>
      <c r="M57" s="29"/>
      <c r="N57" s="30"/>
    </row>
    <row r="58" spans="1:14" ht="15.75" hidden="1" customHeight="1">
      <c r="A58" s="44">
        <v>8</v>
      </c>
      <c r="B58" s="21" t="s">
        <v>56</v>
      </c>
      <c r="C58" s="23" t="s">
        <v>38</v>
      </c>
      <c r="D58" s="21" t="s">
        <v>63</v>
      </c>
      <c r="E58" s="26">
        <v>13.47</v>
      </c>
      <c r="F58" s="26"/>
      <c r="G58" s="61">
        <v>212.15</v>
      </c>
      <c r="H58" s="61"/>
      <c r="I58" s="26">
        <v>7955.63</v>
      </c>
      <c r="J58" s="38"/>
      <c r="L58" s="28"/>
      <c r="M58" s="29"/>
      <c r="N58" s="30"/>
    </row>
    <row r="59" spans="1:14" ht="29.25" hidden="1" customHeight="1">
      <c r="A59" s="44">
        <v>9</v>
      </c>
      <c r="B59" s="21" t="s">
        <v>57</v>
      </c>
      <c r="C59" s="23" t="s">
        <v>64</v>
      </c>
      <c r="D59" s="21" t="s">
        <v>63</v>
      </c>
      <c r="E59" s="26">
        <v>1.35</v>
      </c>
      <c r="F59" s="26"/>
      <c r="G59" s="61">
        <v>165.21</v>
      </c>
      <c r="H59" s="61"/>
      <c r="I59" s="26">
        <v>619.54</v>
      </c>
      <c r="J59" s="38"/>
      <c r="L59" s="28"/>
      <c r="M59" s="29"/>
      <c r="N59" s="30"/>
    </row>
    <row r="60" spans="1:14" ht="42" hidden="1" customHeight="1">
      <c r="A60" s="44">
        <v>10</v>
      </c>
      <c r="B60" s="118" t="s">
        <v>58</v>
      </c>
      <c r="C60" s="23" t="s">
        <v>65</v>
      </c>
      <c r="D60" s="21" t="s">
        <v>63</v>
      </c>
      <c r="E60" s="26">
        <v>0</v>
      </c>
      <c r="F60" s="26"/>
      <c r="G60" s="61">
        <v>2074.63</v>
      </c>
      <c r="H60" s="61"/>
      <c r="I60" s="26">
        <v>12447.78</v>
      </c>
      <c r="J60" s="38"/>
      <c r="L60" s="28"/>
      <c r="M60" s="29"/>
      <c r="N60" s="30"/>
    </row>
    <row r="61" spans="1:14" ht="51" hidden="1" customHeight="1">
      <c r="A61" s="44">
        <v>11</v>
      </c>
      <c r="B61" s="118" t="s">
        <v>72</v>
      </c>
      <c r="C61" s="23" t="s">
        <v>73</v>
      </c>
      <c r="D61" s="21" t="s">
        <v>63</v>
      </c>
      <c r="E61" s="18">
        <v>0</v>
      </c>
      <c r="F61" s="18"/>
      <c r="G61" s="61">
        <v>49.88</v>
      </c>
      <c r="H61" s="61"/>
      <c r="I61" s="26">
        <v>0</v>
      </c>
      <c r="J61" s="38"/>
      <c r="L61" s="28"/>
      <c r="M61" s="29"/>
      <c r="N61" s="30"/>
    </row>
    <row r="62" spans="1:14" ht="16.5" hidden="1" customHeight="1">
      <c r="A62" s="44">
        <v>12</v>
      </c>
      <c r="B62" s="84" t="s">
        <v>99</v>
      </c>
      <c r="C62" s="65" t="s">
        <v>35</v>
      </c>
      <c r="D62" s="21"/>
      <c r="E62" s="18"/>
      <c r="F62" s="18"/>
      <c r="G62" s="61">
        <v>45.32</v>
      </c>
      <c r="H62" s="61"/>
      <c r="I62" s="26">
        <v>543.84</v>
      </c>
      <c r="J62" s="38"/>
      <c r="L62" s="28"/>
      <c r="M62" s="29"/>
      <c r="N62" s="30"/>
    </row>
    <row r="63" spans="1:14" ht="15" hidden="1" customHeight="1">
      <c r="A63" s="44">
        <v>13</v>
      </c>
      <c r="B63" s="84" t="s">
        <v>100</v>
      </c>
      <c r="C63" s="65" t="s">
        <v>35</v>
      </c>
      <c r="D63" s="21"/>
      <c r="E63" s="18"/>
      <c r="F63" s="18"/>
      <c r="G63" s="61">
        <v>42.28</v>
      </c>
      <c r="H63" s="61"/>
      <c r="I63" s="26">
        <v>507.36</v>
      </c>
      <c r="J63" s="38"/>
      <c r="L63" s="28"/>
      <c r="M63" s="29"/>
      <c r="N63" s="30"/>
    </row>
    <row r="64" spans="1:14" ht="15.75" customHeight="1">
      <c r="A64" s="44">
        <v>11</v>
      </c>
      <c r="B64" s="64" t="s">
        <v>159</v>
      </c>
      <c r="C64" s="70" t="s">
        <v>160</v>
      </c>
      <c r="D64" s="64" t="s">
        <v>157</v>
      </c>
      <c r="E64" s="103"/>
      <c r="F64" s="103"/>
      <c r="G64" s="61">
        <v>2.16</v>
      </c>
      <c r="H64" s="61"/>
      <c r="I64" s="26">
        <v>4455</v>
      </c>
      <c r="J64" s="38"/>
      <c r="L64" s="28"/>
    </row>
    <row r="65" spans="1:22" ht="15" customHeight="1">
      <c r="A65" s="128"/>
      <c r="B65" s="127" t="s">
        <v>158</v>
      </c>
      <c r="C65" s="168"/>
      <c r="D65" s="49"/>
      <c r="E65" s="168"/>
      <c r="F65" s="168"/>
      <c r="G65" s="168"/>
      <c r="H65" s="125"/>
      <c r="I65" s="26"/>
    </row>
    <row r="66" spans="1:22">
      <c r="A66" s="44">
        <v>12</v>
      </c>
      <c r="B66" s="55" t="s">
        <v>221</v>
      </c>
      <c r="C66" s="23" t="s">
        <v>67</v>
      </c>
      <c r="D66" s="21" t="s">
        <v>63</v>
      </c>
      <c r="E66" s="26">
        <v>0</v>
      </c>
      <c r="F66" s="26"/>
      <c r="G66" s="169">
        <v>7528.4</v>
      </c>
      <c r="H66" s="63"/>
      <c r="I66" s="26">
        <f>G66</f>
        <v>7528.4</v>
      </c>
    </row>
    <row r="67" spans="1:22" hidden="1">
      <c r="A67" s="44"/>
      <c r="B67" s="78" t="s">
        <v>101</v>
      </c>
      <c r="C67" s="78"/>
      <c r="D67" s="78"/>
      <c r="E67" s="26"/>
      <c r="F67" s="26"/>
      <c r="G67" s="44"/>
      <c r="H67" s="44"/>
      <c r="I67" s="26"/>
    </row>
    <row r="68" spans="1:22" ht="15.75" hidden="1" customHeight="1">
      <c r="A68" s="44">
        <v>37</v>
      </c>
      <c r="B68" s="64" t="s">
        <v>102</v>
      </c>
      <c r="C68" s="65" t="s">
        <v>104</v>
      </c>
      <c r="D68" s="44"/>
      <c r="E68" s="26"/>
      <c r="F68" s="26"/>
      <c r="G68" s="61">
        <v>501.62</v>
      </c>
      <c r="H68" s="61"/>
      <c r="I68" s="26">
        <v>0</v>
      </c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11"/>
    </row>
    <row r="69" spans="1:22" ht="15.75" hidden="1" customHeight="1">
      <c r="A69" s="44">
        <v>38</v>
      </c>
      <c r="B69" s="64" t="s">
        <v>103</v>
      </c>
      <c r="C69" s="65" t="s">
        <v>33</v>
      </c>
      <c r="D69" s="44"/>
      <c r="E69" s="26"/>
      <c r="F69" s="26"/>
      <c r="G69" s="61">
        <v>852.99</v>
      </c>
      <c r="H69" s="61"/>
      <c r="I69" s="26">
        <v>0</v>
      </c>
      <c r="J69" s="40"/>
      <c r="K69" s="40"/>
      <c r="L69" s="3"/>
      <c r="M69" s="3"/>
      <c r="N69" s="3"/>
      <c r="O69" s="3"/>
      <c r="P69" s="3"/>
      <c r="Q69" s="3"/>
      <c r="R69" s="3"/>
      <c r="S69" s="3"/>
      <c r="T69" s="3"/>
      <c r="U69" s="3"/>
    </row>
    <row r="70" spans="1:22" ht="15.75" hidden="1">
      <c r="A70" s="44"/>
      <c r="B70" s="79" t="s">
        <v>105</v>
      </c>
      <c r="C70" s="65"/>
      <c r="D70" s="44"/>
      <c r="E70" s="26"/>
      <c r="F70" s="26"/>
      <c r="G70" s="61"/>
      <c r="H70" s="61"/>
      <c r="I70" s="26"/>
      <c r="J70" s="3"/>
      <c r="K70" s="3"/>
      <c r="L70" s="3"/>
      <c r="M70" s="3"/>
      <c r="N70" s="3"/>
      <c r="O70" s="3"/>
      <c r="P70" s="3"/>
      <c r="Q70" s="3"/>
      <c r="S70" s="3"/>
      <c r="T70" s="3"/>
      <c r="U70" s="3"/>
    </row>
    <row r="71" spans="1:22" hidden="1">
      <c r="A71" s="44">
        <v>39</v>
      </c>
      <c r="B71" s="66" t="s">
        <v>106</v>
      </c>
      <c r="C71" s="67" t="s">
        <v>107</v>
      </c>
      <c r="D71" s="59"/>
      <c r="E71" s="26"/>
      <c r="F71" s="26"/>
      <c r="G71" s="62">
        <v>2759.44</v>
      </c>
      <c r="H71" s="62"/>
      <c r="I71" s="26">
        <v>0</v>
      </c>
      <c r="J71" s="5"/>
      <c r="K71" s="5"/>
      <c r="L71" s="5"/>
      <c r="M71" s="5"/>
      <c r="N71" s="5"/>
      <c r="O71" s="5"/>
      <c r="P71" s="5"/>
      <c r="Q71" s="5"/>
      <c r="R71" s="179"/>
      <c r="S71" s="179"/>
      <c r="T71" s="179"/>
      <c r="U71" s="179"/>
    </row>
    <row r="72" spans="1:22">
      <c r="A72" s="193" t="s">
        <v>249</v>
      </c>
      <c r="B72" s="194"/>
      <c r="C72" s="194"/>
      <c r="D72" s="194"/>
      <c r="E72" s="194"/>
      <c r="F72" s="194"/>
      <c r="G72" s="194"/>
      <c r="H72" s="194"/>
      <c r="I72" s="195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</row>
    <row r="73" spans="1:22">
      <c r="A73" s="44">
        <v>13</v>
      </c>
      <c r="B73" s="21" t="s">
        <v>113</v>
      </c>
      <c r="C73" s="23" t="s">
        <v>68</v>
      </c>
      <c r="D73" s="170" t="s">
        <v>69</v>
      </c>
      <c r="E73" s="22">
        <v>327.9</v>
      </c>
      <c r="F73" s="22"/>
      <c r="G73" s="61">
        <v>2.95</v>
      </c>
      <c r="H73" s="61"/>
      <c r="I73" s="19">
        <v>6084.38</v>
      </c>
    </row>
    <row r="74" spans="1:22" ht="30">
      <c r="A74" s="44">
        <v>14</v>
      </c>
      <c r="B74" s="64" t="s">
        <v>108</v>
      </c>
      <c r="C74" s="23"/>
      <c r="D74" s="170" t="s">
        <v>69</v>
      </c>
      <c r="E74" s="22"/>
      <c r="F74" s="22"/>
      <c r="G74" s="61">
        <v>3.05</v>
      </c>
      <c r="H74" s="61"/>
      <c r="I74" s="19">
        <v>6290.63</v>
      </c>
    </row>
    <row r="75" spans="1:22" ht="15.75" customHeight="1">
      <c r="A75" s="128"/>
      <c r="B75" s="68" t="s">
        <v>115</v>
      </c>
      <c r="C75" s="70"/>
      <c r="D75" s="22"/>
      <c r="E75" s="22"/>
      <c r="F75" s="22"/>
      <c r="G75" s="26"/>
      <c r="H75" s="26"/>
      <c r="I75" s="52">
        <f>SUM(I16+I17+I18+I19+I20+I23+I24+I26+I54+I64+I66+I73+I74)</f>
        <v>38451.74556911111</v>
      </c>
    </row>
    <row r="76" spans="1:22">
      <c r="A76" s="128"/>
      <c r="B76" s="102" t="s">
        <v>76</v>
      </c>
      <c r="C76" s="102"/>
      <c r="D76" s="102"/>
      <c r="E76" s="102"/>
      <c r="F76" s="102"/>
      <c r="G76" s="102"/>
      <c r="H76" s="102"/>
      <c r="I76" s="102"/>
    </row>
    <row r="77" spans="1:22">
      <c r="A77" s="44"/>
      <c r="B77" s="75" t="s">
        <v>60</v>
      </c>
      <c r="C77" s="71"/>
      <c r="D77" s="102"/>
      <c r="E77" s="71">
        <v>1</v>
      </c>
      <c r="F77" s="71"/>
      <c r="G77" s="71"/>
      <c r="H77" s="71"/>
      <c r="I77" s="52">
        <f>SUM(I76)</f>
        <v>0</v>
      </c>
    </row>
    <row r="78" spans="1:22" ht="15.75" customHeight="1">
      <c r="A78" s="44"/>
      <c r="B78" s="81" t="s">
        <v>109</v>
      </c>
      <c r="C78" s="22"/>
      <c r="D78" s="22"/>
      <c r="E78" s="72"/>
      <c r="F78" s="72"/>
      <c r="G78" s="73"/>
      <c r="H78" s="73"/>
      <c r="I78" s="25">
        <v>0</v>
      </c>
    </row>
    <row r="79" spans="1:22">
      <c r="A79" s="86"/>
      <c r="B79" s="76" t="s">
        <v>61</v>
      </c>
      <c r="C79" s="59"/>
      <c r="D79" s="59"/>
      <c r="E79" s="59"/>
      <c r="F79" s="59"/>
      <c r="G79" s="59"/>
      <c r="H79" s="59"/>
      <c r="I79" s="74">
        <f>I75+I77</f>
        <v>38451.74556911111</v>
      </c>
    </row>
    <row r="80" spans="1:22" ht="15.75">
      <c r="A80" s="181" t="s">
        <v>278</v>
      </c>
      <c r="B80" s="181"/>
      <c r="C80" s="181"/>
      <c r="D80" s="181"/>
      <c r="E80" s="181"/>
      <c r="F80" s="181"/>
      <c r="G80" s="181"/>
      <c r="H80" s="181"/>
      <c r="I80" s="181"/>
    </row>
    <row r="81" spans="1:9" ht="15.75" customHeight="1">
      <c r="A81" s="117"/>
      <c r="B81" s="182" t="s">
        <v>279</v>
      </c>
      <c r="C81" s="182"/>
      <c r="D81" s="182"/>
      <c r="E81" s="182"/>
      <c r="F81" s="182"/>
      <c r="G81" s="182"/>
      <c r="H81" s="135"/>
      <c r="I81" s="3"/>
    </row>
    <row r="82" spans="1:9">
      <c r="A82" s="124"/>
      <c r="B82" s="183" t="s">
        <v>6</v>
      </c>
      <c r="C82" s="183"/>
      <c r="D82" s="183"/>
      <c r="E82" s="183"/>
      <c r="F82" s="183"/>
      <c r="G82" s="183"/>
      <c r="H82" s="39"/>
      <c r="I82" s="5"/>
    </row>
    <row r="83" spans="1:9">
      <c r="A83" s="12"/>
      <c r="B83" s="12"/>
      <c r="C83" s="12"/>
      <c r="D83" s="12"/>
      <c r="E83" s="12"/>
      <c r="F83" s="12"/>
      <c r="G83" s="12"/>
      <c r="H83" s="12"/>
      <c r="I83" s="12"/>
    </row>
    <row r="84" spans="1:9" ht="15.75">
      <c r="A84" s="184" t="s">
        <v>7</v>
      </c>
      <c r="B84" s="184"/>
      <c r="C84" s="184"/>
      <c r="D84" s="184"/>
      <c r="E84" s="184"/>
      <c r="F84" s="184"/>
      <c r="G84" s="184"/>
      <c r="H84" s="184"/>
      <c r="I84" s="184"/>
    </row>
    <row r="85" spans="1:9" ht="16.5" customHeight="1">
      <c r="A85" s="184" t="s">
        <v>8</v>
      </c>
      <c r="B85" s="184"/>
      <c r="C85" s="184"/>
      <c r="D85" s="184"/>
      <c r="E85" s="184"/>
      <c r="F85" s="184"/>
      <c r="G85" s="184"/>
      <c r="H85" s="184"/>
      <c r="I85" s="184"/>
    </row>
    <row r="86" spans="1:9" ht="16.5" customHeight="1">
      <c r="A86" s="185" t="s">
        <v>79</v>
      </c>
      <c r="B86" s="185"/>
      <c r="C86" s="185"/>
      <c r="D86" s="185"/>
      <c r="E86" s="185"/>
      <c r="F86" s="185"/>
      <c r="G86" s="185"/>
      <c r="H86" s="185"/>
      <c r="I86" s="185"/>
    </row>
    <row r="87" spans="1:9" ht="15.75" customHeight="1">
      <c r="A87" s="13"/>
    </row>
    <row r="88" spans="1:9" ht="15.75" customHeight="1">
      <c r="A88" s="191" t="s">
        <v>9</v>
      </c>
      <c r="B88" s="191"/>
      <c r="C88" s="191"/>
      <c r="D88" s="191"/>
      <c r="E88" s="191"/>
      <c r="F88" s="191"/>
      <c r="G88" s="191"/>
      <c r="H88" s="191"/>
      <c r="I88" s="191"/>
    </row>
    <row r="89" spans="1:9" ht="15.75">
      <c r="A89" s="4"/>
    </row>
    <row r="90" spans="1:9" ht="15.75" customHeight="1">
      <c r="B90" s="122" t="s">
        <v>10</v>
      </c>
      <c r="C90" s="192" t="s">
        <v>191</v>
      </c>
      <c r="D90" s="192"/>
      <c r="E90" s="192"/>
      <c r="F90" s="131"/>
      <c r="I90" s="123"/>
    </row>
    <row r="91" spans="1:9">
      <c r="A91" s="124"/>
      <c r="C91" s="183" t="s">
        <v>11</v>
      </c>
      <c r="D91" s="183"/>
      <c r="E91" s="183"/>
      <c r="F91" s="39"/>
      <c r="I91" s="121" t="s">
        <v>12</v>
      </c>
    </row>
    <row r="92" spans="1:9" ht="15.75">
      <c r="A92" s="40"/>
      <c r="C92" s="14"/>
      <c r="D92" s="14"/>
      <c r="G92" s="14"/>
      <c r="H92" s="14"/>
    </row>
    <row r="93" spans="1:9" ht="15.75">
      <c r="B93" s="122" t="s">
        <v>13</v>
      </c>
      <c r="C93" s="178"/>
      <c r="D93" s="178"/>
      <c r="E93" s="178"/>
      <c r="F93" s="132"/>
      <c r="I93" s="123"/>
    </row>
    <row r="94" spans="1:9">
      <c r="A94" s="124"/>
      <c r="C94" s="179" t="s">
        <v>11</v>
      </c>
      <c r="D94" s="179"/>
      <c r="E94" s="179"/>
      <c r="F94" s="124"/>
      <c r="I94" s="121" t="s">
        <v>12</v>
      </c>
    </row>
    <row r="95" spans="1:9" ht="15.75">
      <c r="A95" s="4" t="s">
        <v>14</v>
      </c>
    </row>
    <row r="96" spans="1:9">
      <c r="A96" s="180" t="s">
        <v>15</v>
      </c>
      <c r="B96" s="180"/>
      <c r="C96" s="180"/>
      <c r="D96" s="180"/>
      <c r="E96" s="180"/>
      <c r="F96" s="180"/>
      <c r="G96" s="180"/>
      <c r="H96" s="180"/>
      <c r="I96" s="180"/>
    </row>
    <row r="97" spans="1:9" ht="45" customHeight="1">
      <c r="A97" s="190" t="s">
        <v>16</v>
      </c>
      <c r="B97" s="190"/>
      <c r="C97" s="190"/>
      <c r="D97" s="190"/>
      <c r="E97" s="190"/>
      <c r="F97" s="190"/>
      <c r="G97" s="190"/>
      <c r="H97" s="190"/>
      <c r="I97" s="190"/>
    </row>
    <row r="98" spans="1:9" ht="30" customHeight="1">
      <c r="A98" s="190" t="s">
        <v>17</v>
      </c>
      <c r="B98" s="190"/>
      <c r="C98" s="190"/>
      <c r="D98" s="190"/>
      <c r="E98" s="190"/>
      <c r="F98" s="190"/>
      <c r="G98" s="190"/>
      <c r="H98" s="190"/>
      <c r="I98" s="190"/>
    </row>
    <row r="99" spans="1:9" ht="30" customHeight="1">
      <c r="A99" s="190" t="s">
        <v>22</v>
      </c>
      <c r="B99" s="190"/>
      <c r="C99" s="190"/>
      <c r="D99" s="190"/>
      <c r="E99" s="190"/>
      <c r="F99" s="190"/>
      <c r="G99" s="190"/>
      <c r="H99" s="190"/>
      <c r="I99" s="190"/>
    </row>
    <row r="100" spans="1:9" ht="15" customHeight="1">
      <c r="A100" s="190" t="s">
        <v>21</v>
      </c>
      <c r="B100" s="190"/>
      <c r="C100" s="190"/>
      <c r="D100" s="190"/>
      <c r="E100" s="190"/>
      <c r="F100" s="190"/>
      <c r="G100" s="190"/>
      <c r="H100" s="190"/>
      <c r="I100" s="190"/>
    </row>
  </sheetData>
  <autoFilter ref="I12:I66"/>
  <mergeCells count="28">
    <mergeCell ref="A14:I14"/>
    <mergeCell ref="A3:I3"/>
    <mergeCell ref="A4:I4"/>
    <mergeCell ref="A5:I5"/>
    <mergeCell ref="A8:I8"/>
    <mergeCell ref="A10:I10"/>
    <mergeCell ref="A15:I15"/>
    <mergeCell ref="A21:I21"/>
    <mergeCell ref="A37:I37"/>
    <mergeCell ref="A48:I48"/>
    <mergeCell ref="R71:U71"/>
    <mergeCell ref="C94:E94"/>
    <mergeCell ref="A72:I72"/>
    <mergeCell ref="A80:I80"/>
    <mergeCell ref="B81:G81"/>
    <mergeCell ref="B82:G82"/>
    <mergeCell ref="A84:I84"/>
    <mergeCell ref="A85:I85"/>
    <mergeCell ref="A86:I86"/>
    <mergeCell ref="A88:I88"/>
    <mergeCell ref="C90:E90"/>
    <mergeCell ref="C91:E91"/>
    <mergeCell ref="C93:E93"/>
    <mergeCell ref="A96:I96"/>
    <mergeCell ref="A97:I97"/>
    <mergeCell ref="A98:I98"/>
    <mergeCell ref="A99:I99"/>
    <mergeCell ref="A100:I100"/>
  </mergeCells>
  <pageMargins left="0.70866141732283472" right="0.23622047244094491" top="0.27559055118110237" bottom="0.27559055118110237" header="0.31496062992125984" footer="0.31496062992125984"/>
  <pageSetup paperSize="9" scale="60" orientation="portrait" r:id="rId1"/>
  <colBreaks count="1" manualBreakCount="1">
    <brk id="9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>
  <dimension ref="A1:I176"/>
  <sheetViews>
    <sheetView workbookViewId="0">
      <selection activeCell="A4" sqref="A4:G4"/>
    </sheetView>
  </sheetViews>
  <sheetFormatPr defaultRowHeight="15"/>
  <cols>
    <col min="1" max="1" width="6.42578125" customWidth="1"/>
    <col min="2" max="2" width="53.140625" customWidth="1"/>
    <col min="3" max="3" width="18.5703125" customWidth="1"/>
    <col min="4" max="4" width="18.28515625" customWidth="1"/>
    <col min="5" max="5" width="0" hidden="1" customWidth="1"/>
    <col min="6" max="7" width="22.5703125" customWidth="1"/>
  </cols>
  <sheetData>
    <row r="1" spans="1:9" ht="15.75">
      <c r="A1" s="42" t="s">
        <v>136</v>
      </c>
      <c r="G1" s="41"/>
    </row>
    <row r="2" spans="1:9" ht="15.75">
      <c r="A2" s="43" t="s">
        <v>82</v>
      </c>
    </row>
    <row r="3" spans="1:9" ht="15.75">
      <c r="A3" s="172" t="s">
        <v>137</v>
      </c>
      <c r="B3" s="172"/>
      <c r="C3" s="172"/>
      <c r="D3" s="172"/>
      <c r="E3" s="172"/>
      <c r="F3" s="172"/>
      <c r="G3" s="172"/>
    </row>
    <row r="4" spans="1:9" ht="31.5" customHeight="1">
      <c r="A4" s="173" t="s">
        <v>280</v>
      </c>
      <c r="B4" s="173"/>
      <c r="C4" s="173"/>
      <c r="D4" s="173"/>
      <c r="E4" s="173"/>
      <c r="F4" s="173"/>
      <c r="G4" s="173"/>
      <c r="H4" s="205"/>
      <c r="I4" s="205"/>
    </row>
    <row r="5" spans="1:9" ht="15.75">
      <c r="A5" s="172" t="s">
        <v>139</v>
      </c>
      <c r="B5" s="174"/>
      <c r="C5" s="174"/>
      <c r="D5" s="174"/>
      <c r="E5" s="174"/>
      <c r="F5" s="174"/>
      <c r="G5" s="174"/>
    </row>
    <row r="6" spans="1:9" ht="15.75">
      <c r="A6" s="2"/>
      <c r="B6" s="91"/>
      <c r="C6" s="91"/>
      <c r="D6" s="91"/>
      <c r="E6" s="91"/>
      <c r="F6" s="91"/>
      <c r="G6" s="45">
        <v>42704</v>
      </c>
    </row>
    <row r="7" spans="1:9" ht="15.75">
      <c r="B7" s="87"/>
      <c r="C7" s="87"/>
      <c r="D7" s="87"/>
      <c r="E7" s="3"/>
      <c r="F7" s="3"/>
    </row>
    <row r="8" spans="1:9" ht="78.75" customHeight="1">
      <c r="A8" s="175" t="s">
        <v>189</v>
      </c>
      <c r="B8" s="175"/>
      <c r="C8" s="175"/>
      <c r="D8" s="175"/>
      <c r="E8" s="175"/>
      <c r="F8" s="175"/>
      <c r="G8" s="175"/>
    </row>
    <row r="9" spans="1:9" ht="15.75">
      <c r="A9" s="4"/>
    </row>
    <row r="10" spans="1:9" ht="47.25" customHeight="1">
      <c r="A10" s="176" t="s">
        <v>190</v>
      </c>
      <c r="B10" s="176"/>
      <c r="C10" s="176"/>
      <c r="D10" s="176"/>
      <c r="E10" s="176"/>
      <c r="F10" s="176"/>
      <c r="G10" s="176"/>
    </row>
    <row r="11" spans="1:9" ht="15.75">
      <c r="A11" s="4"/>
    </row>
    <row r="12" spans="1:9" ht="47.25" customHeight="1">
      <c r="A12" s="8" t="s">
        <v>0</v>
      </c>
      <c r="B12" s="8" t="s">
        <v>1</v>
      </c>
      <c r="C12" s="8" t="s">
        <v>2</v>
      </c>
      <c r="D12" s="8" t="s">
        <v>18</v>
      </c>
      <c r="E12" s="8" t="s">
        <v>19</v>
      </c>
      <c r="F12" s="8" t="s">
        <v>23</v>
      </c>
      <c r="G12" s="8" t="s">
        <v>3</v>
      </c>
    </row>
    <row r="13" spans="1:9">
      <c r="A13" s="9">
        <v>1</v>
      </c>
      <c r="B13" s="9">
        <v>2</v>
      </c>
      <c r="C13" s="9">
        <v>3</v>
      </c>
      <c r="D13" s="9">
        <v>4</v>
      </c>
      <c r="E13" s="9">
        <v>5</v>
      </c>
      <c r="F13" s="9">
        <v>5</v>
      </c>
      <c r="G13" s="9">
        <v>6</v>
      </c>
    </row>
    <row r="14" spans="1:9" ht="15" customHeight="1">
      <c r="A14" s="177" t="s">
        <v>74</v>
      </c>
      <c r="B14" s="177"/>
      <c r="C14" s="177"/>
      <c r="D14" s="177"/>
      <c r="E14" s="177"/>
      <c r="F14" s="177"/>
      <c r="G14" s="177"/>
    </row>
    <row r="15" spans="1:9" ht="15" customHeight="1">
      <c r="A15" s="171" t="s">
        <v>4</v>
      </c>
      <c r="B15" s="171"/>
      <c r="C15" s="171"/>
      <c r="D15" s="171"/>
      <c r="E15" s="171"/>
      <c r="F15" s="171"/>
      <c r="G15" s="171"/>
    </row>
    <row r="16" spans="1:9" ht="31.5" customHeight="1">
      <c r="A16" s="44">
        <v>1</v>
      </c>
      <c r="B16" s="55" t="s">
        <v>147</v>
      </c>
      <c r="C16" s="69" t="s">
        <v>148</v>
      </c>
      <c r="D16" s="55" t="s">
        <v>149</v>
      </c>
      <c r="E16" s="44"/>
      <c r="F16" s="54">
        <v>218.21</v>
      </c>
      <c r="G16" s="44">
        <v>1080.79</v>
      </c>
    </row>
    <row r="17" spans="1:7" ht="31.5" customHeight="1">
      <c r="A17" s="44">
        <v>2</v>
      </c>
      <c r="B17" s="55" t="s">
        <v>150</v>
      </c>
      <c r="C17" s="69" t="s">
        <v>148</v>
      </c>
      <c r="D17" s="55" t="s">
        <v>151</v>
      </c>
      <c r="E17" s="44"/>
      <c r="F17" s="54">
        <v>218.21</v>
      </c>
      <c r="G17" s="44">
        <v>2163.48</v>
      </c>
    </row>
    <row r="18" spans="1:7" ht="31.5" customHeight="1">
      <c r="A18" s="44">
        <v>3</v>
      </c>
      <c r="B18" s="55" t="s">
        <v>152</v>
      </c>
      <c r="C18" s="69" t="s">
        <v>148</v>
      </c>
      <c r="D18" s="55" t="s">
        <v>153</v>
      </c>
      <c r="E18" s="44"/>
      <c r="F18" s="54">
        <v>627.77</v>
      </c>
      <c r="G18" s="44">
        <v>1914.7</v>
      </c>
    </row>
    <row r="19" spans="1:7" ht="15.75" customHeight="1">
      <c r="A19" s="70">
        <v>4</v>
      </c>
      <c r="B19" s="64" t="s">
        <v>86</v>
      </c>
      <c r="C19" s="65" t="s">
        <v>35</v>
      </c>
      <c r="D19" s="64" t="s">
        <v>26</v>
      </c>
      <c r="E19" s="25">
        <v>506.1</v>
      </c>
      <c r="F19" s="54">
        <v>182.96</v>
      </c>
      <c r="G19" s="26">
        <v>556.5</v>
      </c>
    </row>
    <row r="20" spans="1:7" ht="15.75" customHeight="1">
      <c r="A20" s="70">
        <v>5</v>
      </c>
      <c r="B20" s="16" t="s">
        <v>24</v>
      </c>
      <c r="C20" s="17" t="s">
        <v>25</v>
      </c>
      <c r="D20" s="44"/>
      <c r="E20" s="25">
        <v>506.1</v>
      </c>
      <c r="F20" s="54">
        <v>3.43</v>
      </c>
      <c r="G20" s="26">
        <v>7074.38</v>
      </c>
    </row>
    <row r="21" spans="1:7" ht="15" customHeight="1">
      <c r="A21" s="171" t="s">
        <v>130</v>
      </c>
      <c r="B21" s="171"/>
      <c r="C21" s="171"/>
      <c r="D21" s="171"/>
      <c r="E21" s="171"/>
      <c r="F21" s="171"/>
      <c r="G21" s="171"/>
    </row>
    <row r="22" spans="1:7" ht="21.75" hidden="1" customHeight="1">
      <c r="A22" s="70"/>
      <c r="B22" s="80" t="s">
        <v>31</v>
      </c>
      <c r="C22" s="80"/>
      <c r="D22" s="80"/>
      <c r="E22" s="80"/>
      <c r="F22" s="80"/>
      <c r="G22" s="26"/>
    </row>
    <row r="23" spans="1:7" ht="90" hidden="1" customHeight="1">
      <c r="A23" s="70">
        <v>2</v>
      </c>
      <c r="B23" s="21" t="s">
        <v>83</v>
      </c>
      <c r="C23" s="23" t="s">
        <v>32</v>
      </c>
      <c r="D23" s="44" t="s">
        <v>133</v>
      </c>
      <c r="E23" s="20">
        <v>2.31</v>
      </c>
      <c r="F23" s="61">
        <v>155.88999999999999</v>
      </c>
      <c r="G23" s="19">
        <v>187.63</v>
      </c>
    </row>
    <row r="24" spans="1:7" ht="135" hidden="1" customHeight="1">
      <c r="A24" s="70">
        <v>3</v>
      </c>
      <c r="B24" s="21" t="s">
        <v>135</v>
      </c>
      <c r="C24" s="23" t="s">
        <v>32</v>
      </c>
      <c r="D24" s="44" t="s">
        <v>134</v>
      </c>
      <c r="E24" s="19">
        <f>0.0024*3*4.5</f>
        <v>3.2399999999999998E-2</v>
      </c>
      <c r="F24" s="61">
        <v>258.63</v>
      </c>
      <c r="G24" s="26">
        <v>836.01</v>
      </c>
    </row>
    <row r="25" spans="1:7" ht="45" hidden="1" customHeight="1">
      <c r="A25" s="70">
        <v>4</v>
      </c>
      <c r="B25" s="64" t="s">
        <v>87</v>
      </c>
      <c r="C25" s="65" t="s">
        <v>35</v>
      </c>
      <c r="D25" s="70" t="s">
        <v>28</v>
      </c>
      <c r="E25" s="24">
        <v>0</v>
      </c>
      <c r="F25" s="61">
        <v>191.32</v>
      </c>
      <c r="G25" s="26">
        <v>0</v>
      </c>
    </row>
    <row r="26" spans="1:7" ht="75" hidden="1" customHeight="1">
      <c r="A26" s="70">
        <v>5</v>
      </c>
      <c r="B26" s="21" t="s">
        <v>30</v>
      </c>
      <c r="C26" s="23" t="s">
        <v>32</v>
      </c>
      <c r="D26" s="44" t="s">
        <v>84</v>
      </c>
      <c r="E26" s="24">
        <v>0</v>
      </c>
      <c r="F26" s="19">
        <v>3020.33</v>
      </c>
      <c r="G26" s="26">
        <v>0</v>
      </c>
    </row>
    <row r="27" spans="1:7" ht="120" hidden="1" customHeight="1">
      <c r="A27" s="70">
        <v>4</v>
      </c>
      <c r="B27" s="21" t="s">
        <v>118</v>
      </c>
      <c r="C27" s="23" t="s">
        <v>33</v>
      </c>
      <c r="D27" s="44" t="s">
        <v>85</v>
      </c>
      <c r="E27" s="19">
        <v>3.75</v>
      </c>
      <c r="F27" s="61">
        <v>56.69</v>
      </c>
      <c r="G27" s="19">
        <v>488.16</v>
      </c>
    </row>
    <row r="28" spans="1:7" ht="105" hidden="1" customHeight="1">
      <c r="A28" s="44">
        <v>7</v>
      </c>
      <c r="B28" s="64" t="s">
        <v>86</v>
      </c>
      <c r="C28" s="65" t="s">
        <v>35</v>
      </c>
      <c r="D28" s="70" t="s">
        <v>131</v>
      </c>
      <c r="E28" s="19">
        <v>0</v>
      </c>
      <c r="F28" s="61">
        <v>147.03</v>
      </c>
      <c r="G28" s="19">
        <v>447.22</v>
      </c>
    </row>
    <row r="29" spans="1:7" ht="75" hidden="1" customHeight="1">
      <c r="A29" s="44">
        <v>8</v>
      </c>
      <c r="B29" s="64" t="s">
        <v>88</v>
      </c>
      <c r="C29" s="65" t="s">
        <v>34</v>
      </c>
      <c r="D29" s="70" t="s">
        <v>28</v>
      </c>
      <c r="E29" s="19"/>
      <c r="F29" s="61">
        <v>1136.33</v>
      </c>
      <c r="G29" s="19">
        <v>0</v>
      </c>
    </row>
    <row r="30" spans="1:7" ht="15.75" customHeight="1">
      <c r="A30" s="70"/>
      <c r="B30" s="78" t="s">
        <v>5</v>
      </c>
      <c r="C30" s="78"/>
      <c r="D30" s="78"/>
      <c r="E30" s="19"/>
      <c r="F30" s="20"/>
      <c r="G30" s="26"/>
    </row>
    <row r="31" spans="1:7" ht="15.75" customHeight="1">
      <c r="A31" s="56">
        <v>6</v>
      </c>
      <c r="B31" s="57" t="s">
        <v>29</v>
      </c>
      <c r="C31" s="69" t="s">
        <v>34</v>
      </c>
      <c r="D31" s="55"/>
      <c r="E31" s="19">
        <v>0</v>
      </c>
      <c r="F31" s="54">
        <v>1900.37</v>
      </c>
      <c r="G31" s="19">
        <v>1583.64</v>
      </c>
    </row>
    <row r="32" spans="1:7" ht="15.75" customHeight="1">
      <c r="A32" s="56">
        <v>7</v>
      </c>
      <c r="B32" s="57" t="s">
        <v>161</v>
      </c>
      <c r="C32" s="106" t="s">
        <v>32</v>
      </c>
      <c r="D32" s="57" t="s">
        <v>162</v>
      </c>
      <c r="E32" s="19">
        <v>0</v>
      </c>
      <c r="F32" s="58">
        <v>2616.4899999999998</v>
      </c>
      <c r="G32" s="19">
        <v>761.4</v>
      </c>
    </row>
    <row r="33" spans="1:7" ht="15.75" hidden="1" customHeight="1">
      <c r="A33" s="56">
        <v>5</v>
      </c>
      <c r="B33" s="55" t="s">
        <v>163</v>
      </c>
      <c r="C33" s="69" t="s">
        <v>164</v>
      </c>
      <c r="D33" s="55" t="s">
        <v>89</v>
      </c>
      <c r="E33" s="19">
        <v>0</v>
      </c>
      <c r="F33" s="54">
        <v>226.84</v>
      </c>
      <c r="G33" s="19">
        <v>0</v>
      </c>
    </row>
    <row r="34" spans="1:7" ht="15.75" customHeight="1">
      <c r="A34" s="56">
        <v>8</v>
      </c>
      <c r="B34" s="55" t="s">
        <v>92</v>
      </c>
      <c r="C34" s="69" t="s">
        <v>32</v>
      </c>
      <c r="D34" s="55" t="s">
        <v>165</v>
      </c>
      <c r="E34" s="19">
        <v>0</v>
      </c>
      <c r="F34" s="54">
        <v>436.45</v>
      </c>
      <c r="G34" s="19">
        <v>656.2</v>
      </c>
    </row>
    <row r="35" spans="1:7" ht="47.25" customHeight="1">
      <c r="A35" s="56">
        <v>9</v>
      </c>
      <c r="B35" s="55" t="s">
        <v>128</v>
      </c>
      <c r="C35" s="69" t="s">
        <v>166</v>
      </c>
      <c r="D35" s="55" t="s">
        <v>167</v>
      </c>
      <c r="E35" s="19">
        <v>0</v>
      </c>
      <c r="F35" s="54">
        <v>7221.21</v>
      </c>
      <c r="G35" s="19">
        <v>1061.52</v>
      </c>
    </row>
    <row r="36" spans="1:7" ht="15.75" customHeight="1">
      <c r="A36" s="56">
        <v>10</v>
      </c>
      <c r="B36" s="55" t="s">
        <v>168</v>
      </c>
      <c r="C36" s="69" t="s">
        <v>166</v>
      </c>
      <c r="D36" s="55" t="s">
        <v>169</v>
      </c>
      <c r="E36" s="19"/>
      <c r="F36" s="54">
        <v>533.45000000000005</v>
      </c>
      <c r="G36" s="19">
        <v>103.49</v>
      </c>
    </row>
    <row r="37" spans="1:7" ht="15.75" customHeight="1">
      <c r="A37" s="56">
        <v>11</v>
      </c>
      <c r="B37" s="57" t="s">
        <v>96</v>
      </c>
      <c r="C37" s="106" t="s">
        <v>35</v>
      </c>
      <c r="D37" s="57"/>
      <c r="E37" s="19">
        <v>0</v>
      </c>
      <c r="F37" s="58">
        <v>992.97</v>
      </c>
      <c r="G37" s="19">
        <v>148.94999999999999</v>
      </c>
    </row>
    <row r="38" spans="1:7" ht="15" customHeight="1">
      <c r="A38" s="196" t="s">
        <v>186</v>
      </c>
      <c r="B38" s="197"/>
      <c r="C38" s="197"/>
      <c r="D38" s="197"/>
      <c r="E38" s="197"/>
      <c r="F38" s="197"/>
      <c r="G38" s="198"/>
    </row>
    <row r="39" spans="1:7" ht="60" hidden="1" customHeight="1">
      <c r="A39" s="70">
        <v>15</v>
      </c>
      <c r="B39" s="21" t="s">
        <v>36</v>
      </c>
      <c r="C39" s="23" t="s">
        <v>32</v>
      </c>
      <c r="D39" s="44" t="s">
        <v>77</v>
      </c>
      <c r="E39" s="26">
        <v>0.42</v>
      </c>
      <c r="F39" s="61">
        <v>809.74</v>
      </c>
      <c r="G39" s="27">
        <v>0</v>
      </c>
    </row>
    <row r="40" spans="1:7" ht="90" hidden="1" customHeight="1">
      <c r="A40" s="70">
        <v>16</v>
      </c>
      <c r="B40" s="21" t="s">
        <v>37</v>
      </c>
      <c r="C40" s="23" t="s">
        <v>38</v>
      </c>
      <c r="D40" s="44" t="s">
        <v>77</v>
      </c>
      <c r="E40" s="26">
        <v>1.35</v>
      </c>
      <c r="F40" s="61">
        <v>72.81</v>
      </c>
      <c r="G40" s="27">
        <v>0</v>
      </c>
    </row>
    <row r="41" spans="1:7" ht="90" hidden="1" customHeight="1">
      <c r="A41" s="70">
        <v>17</v>
      </c>
      <c r="B41" s="21" t="s">
        <v>39</v>
      </c>
      <c r="C41" s="23" t="s">
        <v>32</v>
      </c>
      <c r="D41" s="44" t="s">
        <v>77</v>
      </c>
      <c r="E41" s="26">
        <v>0.03</v>
      </c>
      <c r="F41" s="61">
        <v>579.48</v>
      </c>
      <c r="G41" s="27">
        <v>0</v>
      </c>
    </row>
    <row r="42" spans="1:7" ht="105" hidden="1" customHeight="1">
      <c r="A42" s="70">
        <v>18</v>
      </c>
      <c r="B42" s="21" t="s">
        <v>40</v>
      </c>
      <c r="C42" s="23" t="s">
        <v>32</v>
      </c>
      <c r="D42" s="44" t="s">
        <v>77</v>
      </c>
      <c r="E42" s="26">
        <v>0.33</v>
      </c>
      <c r="F42" s="61">
        <v>579.48</v>
      </c>
      <c r="G42" s="27">
        <v>0</v>
      </c>
    </row>
    <row r="43" spans="1:7" ht="60" hidden="1" customHeight="1">
      <c r="A43" s="70">
        <v>19</v>
      </c>
      <c r="B43" s="21" t="s">
        <v>124</v>
      </c>
      <c r="C43" s="23" t="s">
        <v>32</v>
      </c>
      <c r="D43" s="44" t="s">
        <v>77</v>
      </c>
      <c r="E43" s="26">
        <v>0.22</v>
      </c>
      <c r="F43" s="61">
        <v>1213.55</v>
      </c>
      <c r="G43" s="19">
        <v>0</v>
      </c>
    </row>
    <row r="44" spans="1:7" ht="31.5" customHeight="1">
      <c r="A44" s="70">
        <v>12</v>
      </c>
      <c r="B44" s="21" t="s">
        <v>154</v>
      </c>
      <c r="C44" s="23" t="s">
        <v>32</v>
      </c>
      <c r="D44" s="44" t="s">
        <v>77</v>
      </c>
      <c r="E44" s="26">
        <v>0.22</v>
      </c>
      <c r="F44" s="61">
        <v>1510.06</v>
      </c>
      <c r="G44" s="27">
        <v>3114.5</v>
      </c>
    </row>
    <row r="45" spans="1:7" ht="31.5" customHeight="1">
      <c r="A45" s="70">
        <v>13</v>
      </c>
      <c r="B45" s="21" t="s">
        <v>155</v>
      </c>
      <c r="C45" s="23" t="s">
        <v>44</v>
      </c>
      <c r="D45" s="44" t="s">
        <v>77</v>
      </c>
      <c r="E45" s="26">
        <v>0.02</v>
      </c>
      <c r="F45" s="61">
        <v>3850.4</v>
      </c>
      <c r="G45" s="27">
        <v>462.05</v>
      </c>
    </row>
    <row r="46" spans="1:7" ht="31.5" customHeight="1">
      <c r="A46" s="70">
        <v>14</v>
      </c>
      <c r="B46" s="21" t="s">
        <v>45</v>
      </c>
      <c r="C46" s="23" t="s">
        <v>46</v>
      </c>
      <c r="D46" s="44" t="s">
        <v>77</v>
      </c>
      <c r="E46" s="26">
        <v>0.01</v>
      </c>
      <c r="F46" s="61">
        <v>7033.13</v>
      </c>
      <c r="G46" s="27">
        <v>70.33</v>
      </c>
    </row>
    <row r="47" spans="1:7" ht="60" hidden="1" customHeight="1">
      <c r="A47" s="70">
        <v>23</v>
      </c>
      <c r="B47" s="21" t="s">
        <v>47</v>
      </c>
      <c r="C47" s="23" t="s">
        <v>33</v>
      </c>
      <c r="D47" s="70" t="s">
        <v>97</v>
      </c>
      <c r="E47" s="26">
        <v>8</v>
      </c>
      <c r="F47" s="62">
        <v>141.12</v>
      </c>
      <c r="G47" s="19">
        <v>0</v>
      </c>
    </row>
    <row r="48" spans="1:7" ht="60" hidden="1" customHeight="1">
      <c r="A48" s="70">
        <v>24</v>
      </c>
      <c r="B48" s="21" t="s">
        <v>48</v>
      </c>
      <c r="C48" s="23" t="s">
        <v>33</v>
      </c>
      <c r="D48" s="70" t="s">
        <v>97</v>
      </c>
      <c r="E48" s="26">
        <v>16</v>
      </c>
      <c r="F48" s="62">
        <v>65.67</v>
      </c>
      <c r="G48" s="19">
        <v>0</v>
      </c>
    </row>
    <row r="49" spans="1:7" ht="15" customHeight="1">
      <c r="A49" s="196" t="s">
        <v>187</v>
      </c>
      <c r="B49" s="199"/>
      <c r="C49" s="199"/>
      <c r="D49" s="199"/>
      <c r="E49" s="199"/>
      <c r="F49" s="199"/>
      <c r="G49" s="200"/>
    </row>
    <row r="50" spans="1:7">
      <c r="A50" s="128"/>
      <c r="B50" s="77" t="s">
        <v>50</v>
      </c>
      <c r="C50" s="23"/>
      <c r="D50" s="22"/>
      <c r="E50" s="22"/>
      <c r="F50" s="44"/>
      <c r="G50" s="26"/>
    </row>
    <row r="51" spans="1:7" ht="47.25" customHeight="1">
      <c r="A51" s="70">
        <v>15</v>
      </c>
      <c r="B51" s="21" t="s">
        <v>121</v>
      </c>
      <c r="C51" s="23" t="s">
        <v>62</v>
      </c>
      <c r="D51" s="22" t="s">
        <v>98</v>
      </c>
      <c r="E51" s="26">
        <v>0</v>
      </c>
      <c r="F51" s="61">
        <v>2306.62</v>
      </c>
      <c r="G51" s="27">
        <v>1275.56</v>
      </c>
    </row>
    <row r="52" spans="1:7" ht="210" hidden="1" customHeight="1">
      <c r="A52" s="70">
        <v>26</v>
      </c>
      <c r="B52" s="64" t="s">
        <v>111</v>
      </c>
      <c r="C52" s="23" t="s">
        <v>62</v>
      </c>
      <c r="D52" s="22" t="s">
        <v>112</v>
      </c>
      <c r="E52" s="26"/>
      <c r="F52" s="61">
        <v>1547.28</v>
      </c>
      <c r="G52" s="27">
        <v>0</v>
      </c>
    </row>
    <row r="53" spans="1:7">
      <c r="A53" s="70"/>
      <c r="B53" s="127" t="s">
        <v>51</v>
      </c>
      <c r="C53" s="127"/>
      <c r="D53" s="127"/>
      <c r="E53" s="127"/>
      <c r="F53" s="127"/>
      <c r="G53" s="60"/>
    </row>
    <row r="54" spans="1:7" ht="45" hidden="1" customHeight="1">
      <c r="A54" s="70">
        <v>27</v>
      </c>
      <c r="B54" s="21" t="s">
        <v>52</v>
      </c>
      <c r="C54" s="23" t="s">
        <v>62</v>
      </c>
      <c r="D54" s="44" t="s">
        <v>63</v>
      </c>
      <c r="E54" s="26">
        <v>0</v>
      </c>
      <c r="F54" s="61">
        <v>793.61</v>
      </c>
      <c r="G54" s="27">
        <f>E54/2</f>
        <v>0</v>
      </c>
    </row>
    <row r="55" spans="1:7" ht="15.75" customHeight="1">
      <c r="A55" s="70">
        <v>16</v>
      </c>
      <c r="B55" s="104" t="s">
        <v>156</v>
      </c>
      <c r="C55" s="82" t="s">
        <v>27</v>
      </c>
      <c r="D55" s="105" t="s">
        <v>157</v>
      </c>
      <c r="E55" s="26"/>
      <c r="F55" s="61">
        <v>2.59</v>
      </c>
      <c r="G55" s="27">
        <v>363.64</v>
      </c>
    </row>
    <row r="56" spans="1:7" ht="15.75" customHeight="1">
      <c r="A56" s="70"/>
      <c r="B56" s="127" t="s">
        <v>53</v>
      </c>
      <c r="C56" s="23"/>
      <c r="D56" s="22"/>
      <c r="E56" s="22"/>
      <c r="F56" s="44"/>
      <c r="G56" s="26"/>
    </row>
    <row r="57" spans="1:7" ht="18" customHeight="1">
      <c r="A57" s="70">
        <v>17</v>
      </c>
      <c r="B57" s="21" t="s">
        <v>54</v>
      </c>
      <c r="C57" s="23" t="s">
        <v>33</v>
      </c>
      <c r="D57" s="22" t="s">
        <v>89</v>
      </c>
      <c r="E57" s="26">
        <v>0</v>
      </c>
      <c r="F57" s="61">
        <v>276.74</v>
      </c>
      <c r="G57" s="27">
        <v>276.74</v>
      </c>
    </row>
    <row r="58" spans="1:7" ht="18" hidden="1" customHeight="1">
      <c r="A58" s="44">
        <v>29</v>
      </c>
      <c r="B58" s="21" t="s">
        <v>55</v>
      </c>
      <c r="C58" s="23" t="s">
        <v>33</v>
      </c>
      <c r="D58" s="22" t="s">
        <v>28</v>
      </c>
      <c r="E58" s="26">
        <v>0</v>
      </c>
      <c r="F58" s="61">
        <v>76.25</v>
      </c>
      <c r="G58" s="27">
        <f>E58/2</f>
        <v>0</v>
      </c>
    </row>
    <row r="59" spans="1:7" ht="18" hidden="1" customHeight="1">
      <c r="A59" s="44">
        <v>8</v>
      </c>
      <c r="B59" s="21" t="s">
        <v>56</v>
      </c>
      <c r="C59" s="23" t="s">
        <v>38</v>
      </c>
      <c r="D59" s="44" t="s">
        <v>63</v>
      </c>
      <c r="E59" s="26">
        <v>13.47</v>
      </c>
      <c r="F59" s="61">
        <v>212.15</v>
      </c>
      <c r="G59" s="26">
        <v>7955.63</v>
      </c>
    </row>
    <row r="60" spans="1:7" ht="18" hidden="1" customHeight="1">
      <c r="A60" s="44">
        <v>9</v>
      </c>
      <c r="B60" s="21" t="s">
        <v>57</v>
      </c>
      <c r="C60" s="23" t="s">
        <v>64</v>
      </c>
      <c r="D60" s="44" t="s">
        <v>63</v>
      </c>
      <c r="E60" s="26">
        <v>1.35</v>
      </c>
      <c r="F60" s="61">
        <v>165.21</v>
      </c>
      <c r="G60" s="26">
        <v>619.54</v>
      </c>
    </row>
    <row r="61" spans="1:7" ht="18" hidden="1" customHeight="1">
      <c r="A61" s="44">
        <v>10</v>
      </c>
      <c r="B61" s="118" t="s">
        <v>58</v>
      </c>
      <c r="C61" s="23" t="s">
        <v>65</v>
      </c>
      <c r="D61" s="44" t="s">
        <v>63</v>
      </c>
      <c r="E61" s="26">
        <v>0</v>
      </c>
      <c r="F61" s="61">
        <v>2074.63</v>
      </c>
      <c r="G61" s="26">
        <v>12447.78</v>
      </c>
    </row>
    <row r="62" spans="1:7" ht="18" hidden="1" customHeight="1">
      <c r="A62" s="44">
        <v>11</v>
      </c>
      <c r="B62" s="118" t="s">
        <v>72</v>
      </c>
      <c r="C62" s="23" t="s">
        <v>73</v>
      </c>
      <c r="D62" s="44" t="s">
        <v>63</v>
      </c>
      <c r="E62" s="18">
        <v>0</v>
      </c>
      <c r="F62" s="61">
        <v>49.88</v>
      </c>
      <c r="G62" s="26">
        <v>0</v>
      </c>
    </row>
    <row r="63" spans="1:7" ht="18" hidden="1" customHeight="1">
      <c r="A63" s="44">
        <v>12</v>
      </c>
      <c r="B63" s="84" t="s">
        <v>99</v>
      </c>
      <c r="C63" s="65" t="s">
        <v>35</v>
      </c>
      <c r="D63" s="44"/>
      <c r="E63" s="18"/>
      <c r="F63" s="61">
        <v>45.32</v>
      </c>
      <c r="G63" s="26">
        <v>543.84</v>
      </c>
    </row>
    <row r="64" spans="1:7" ht="18" hidden="1" customHeight="1">
      <c r="A64" s="44">
        <v>13</v>
      </c>
      <c r="B64" s="84" t="s">
        <v>100</v>
      </c>
      <c r="C64" s="65" t="s">
        <v>35</v>
      </c>
      <c r="D64" s="44"/>
      <c r="E64" s="18"/>
      <c r="F64" s="61">
        <v>42.28</v>
      </c>
      <c r="G64" s="26">
        <v>507.36</v>
      </c>
    </row>
    <row r="65" spans="1:7" ht="18" customHeight="1">
      <c r="A65" s="44">
        <v>18</v>
      </c>
      <c r="B65" s="64" t="s">
        <v>159</v>
      </c>
      <c r="C65" s="70" t="s">
        <v>160</v>
      </c>
      <c r="D65" s="70" t="s">
        <v>157</v>
      </c>
      <c r="E65" s="103"/>
      <c r="F65" s="61">
        <v>2.16</v>
      </c>
      <c r="G65" s="26">
        <v>4455</v>
      </c>
    </row>
    <row r="66" spans="1:7" ht="15" hidden="1" customHeight="1">
      <c r="A66" s="128"/>
      <c r="B66" s="201" t="s">
        <v>158</v>
      </c>
      <c r="C66" s="202"/>
      <c r="D66" s="202"/>
      <c r="E66" s="202"/>
      <c r="F66" s="203"/>
      <c r="G66" s="26"/>
    </row>
    <row r="67" spans="1:7" ht="27.75" hidden="1" customHeight="1">
      <c r="A67" s="44">
        <v>36</v>
      </c>
      <c r="B67" s="21" t="s">
        <v>59</v>
      </c>
      <c r="C67" s="23" t="s">
        <v>67</v>
      </c>
      <c r="D67" s="44" t="s">
        <v>63</v>
      </c>
      <c r="E67" s="26">
        <v>0</v>
      </c>
      <c r="F67" s="63">
        <v>3779.8</v>
      </c>
      <c r="G67" s="26">
        <v>0</v>
      </c>
    </row>
    <row r="68" spans="1:7" ht="12.75" hidden="1" customHeight="1">
      <c r="A68" s="44"/>
      <c r="B68" s="78" t="s">
        <v>101</v>
      </c>
      <c r="C68" s="78"/>
      <c r="D68" s="78"/>
      <c r="E68" s="26"/>
      <c r="F68" s="44"/>
      <c r="G68" s="26"/>
    </row>
    <row r="69" spans="1:7" ht="12.75" hidden="1" customHeight="1">
      <c r="A69" s="44">
        <v>37</v>
      </c>
      <c r="B69" s="64" t="s">
        <v>102</v>
      </c>
      <c r="C69" s="65" t="s">
        <v>104</v>
      </c>
      <c r="D69" s="44"/>
      <c r="E69" s="26"/>
      <c r="F69" s="61">
        <v>501.62</v>
      </c>
      <c r="G69" s="26">
        <v>0</v>
      </c>
    </row>
    <row r="70" spans="1:7" ht="12.75" hidden="1" customHeight="1">
      <c r="A70" s="44">
        <v>38</v>
      </c>
      <c r="B70" s="64" t="s">
        <v>103</v>
      </c>
      <c r="C70" s="65" t="s">
        <v>33</v>
      </c>
      <c r="D70" s="44"/>
      <c r="E70" s="26"/>
      <c r="F70" s="61">
        <v>852.99</v>
      </c>
      <c r="G70" s="26">
        <v>0</v>
      </c>
    </row>
    <row r="71" spans="1:7" hidden="1">
      <c r="A71" s="44"/>
      <c r="B71" s="79" t="s">
        <v>105</v>
      </c>
      <c r="C71" s="65"/>
      <c r="D71" s="44"/>
      <c r="E71" s="26"/>
      <c r="F71" s="61"/>
      <c r="G71" s="26"/>
    </row>
    <row r="72" spans="1:7" hidden="1">
      <c r="A72" s="44">
        <v>39</v>
      </c>
      <c r="B72" s="66" t="s">
        <v>106</v>
      </c>
      <c r="C72" s="67" t="s">
        <v>107</v>
      </c>
      <c r="D72" s="59"/>
      <c r="E72" s="26"/>
      <c r="F72" s="62">
        <v>2759.44</v>
      </c>
      <c r="G72" s="26">
        <v>0</v>
      </c>
    </row>
    <row r="73" spans="1:7" ht="15.75" customHeight="1">
      <c r="A73" s="193" t="s">
        <v>188</v>
      </c>
      <c r="B73" s="194"/>
      <c r="C73" s="194"/>
      <c r="D73" s="194"/>
      <c r="E73" s="194"/>
      <c r="F73" s="194"/>
      <c r="G73" s="195"/>
    </row>
    <row r="74" spans="1:7" ht="15.75" customHeight="1">
      <c r="A74" s="44">
        <v>19</v>
      </c>
      <c r="B74" s="49" t="s">
        <v>113</v>
      </c>
      <c r="C74" s="23" t="s">
        <v>68</v>
      </c>
      <c r="D74" s="22" t="s">
        <v>69</v>
      </c>
      <c r="E74" s="22">
        <v>327.9</v>
      </c>
      <c r="F74" s="107">
        <v>2.95</v>
      </c>
      <c r="G74" s="19">
        <v>6084.38</v>
      </c>
    </row>
    <row r="75" spans="1:7" ht="31.5" customHeight="1">
      <c r="A75" s="44">
        <v>20</v>
      </c>
      <c r="B75" s="64" t="s">
        <v>108</v>
      </c>
      <c r="C75" s="23"/>
      <c r="D75" s="22" t="s">
        <v>69</v>
      </c>
      <c r="E75" s="22"/>
      <c r="F75" s="61">
        <v>3.05</v>
      </c>
      <c r="G75" s="19">
        <v>6290.63</v>
      </c>
    </row>
    <row r="76" spans="1:7">
      <c r="A76" s="128"/>
      <c r="B76" s="68" t="s">
        <v>115</v>
      </c>
      <c r="C76" s="70"/>
      <c r="D76" s="22"/>
      <c r="E76" s="22"/>
      <c r="F76" s="26"/>
      <c r="G76" s="52">
        <f>SUM(G16+G17+G18+G19+G20+G31+G32+G34+G35+G36+G37+G44+G45+G46+G51+G55+G57+G65+G73+G74+G75)</f>
        <v>39497.880000000005</v>
      </c>
    </row>
    <row r="77" spans="1:7" ht="15.75" customHeight="1">
      <c r="A77" s="128"/>
      <c r="B77" s="102" t="s">
        <v>76</v>
      </c>
      <c r="C77" s="102"/>
      <c r="D77" s="102"/>
      <c r="E77" s="102"/>
      <c r="F77" s="102"/>
      <c r="G77" s="102"/>
    </row>
    <row r="78" spans="1:7" ht="15.75" customHeight="1">
      <c r="A78" s="44">
        <v>21</v>
      </c>
      <c r="B78" s="95" t="s">
        <v>170</v>
      </c>
      <c r="C78" s="96" t="s">
        <v>171</v>
      </c>
      <c r="D78" s="102"/>
      <c r="E78" s="22"/>
      <c r="F78" s="19">
        <v>559.62</v>
      </c>
      <c r="G78" s="19">
        <v>559.62</v>
      </c>
    </row>
    <row r="79" spans="1:7" ht="15.75" customHeight="1">
      <c r="A79" s="44"/>
      <c r="B79" s="75" t="s">
        <v>60</v>
      </c>
      <c r="C79" s="71"/>
      <c r="D79" s="85"/>
      <c r="E79" s="71">
        <v>1</v>
      </c>
      <c r="F79" s="71"/>
      <c r="G79" s="52">
        <f>SUM(G78)</f>
        <v>559.62</v>
      </c>
    </row>
    <row r="80" spans="1:7">
      <c r="A80" s="44"/>
      <c r="B80" s="81" t="s">
        <v>109</v>
      </c>
      <c r="C80" s="22"/>
      <c r="D80" s="22"/>
      <c r="E80" s="72"/>
      <c r="F80" s="73"/>
      <c r="G80" s="25">
        <v>0</v>
      </c>
    </row>
    <row r="81" spans="1:7">
      <c r="A81" s="86"/>
      <c r="B81" s="76" t="s">
        <v>61</v>
      </c>
      <c r="C81" s="59"/>
      <c r="D81" s="59"/>
      <c r="E81" s="59"/>
      <c r="F81" s="59"/>
      <c r="G81" s="74">
        <f>G76+G79</f>
        <v>40057.500000000007</v>
      </c>
    </row>
    <row r="82" spans="1:7" ht="15.75" customHeight="1">
      <c r="A82" s="181" t="s">
        <v>172</v>
      </c>
      <c r="B82" s="181"/>
      <c r="C82" s="181"/>
      <c r="D82" s="181"/>
      <c r="E82" s="181"/>
      <c r="F82" s="181"/>
      <c r="G82" s="181"/>
    </row>
    <row r="83" spans="1:7" ht="15.75">
      <c r="A83" s="92"/>
      <c r="B83" s="182" t="s">
        <v>173</v>
      </c>
      <c r="C83" s="182"/>
      <c r="D83" s="182"/>
      <c r="E83" s="182"/>
      <c r="F83" s="182"/>
      <c r="G83" s="3"/>
    </row>
    <row r="84" spans="1:7">
      <c r="A84" s="89"/>
      <c r="B84" s="183" t="s">
        <v>6</v>
      </c>
      <c r="C84" s="183"/>
      <c r="D84" s="183"/>
      <c r="E84" s="183"/>
      <c r="F84" s="183"/>
      <c r="G84" s="5"/>
    </row>
    <row r="85" spans="1:7">
      <c r="A85" s="12"/>
      <c r="B85" s="12"/>
      <c r="C85" s="12"/>
      <c r="D85" s="12"/>
      <c r="E85" s="12"/>
      <c r="F85" s="12"/>
      <c r="G85" s="12"/>
    </row>
    <row r="86" spans="1:7" ht="15.75">
      <c r="A86" s="184" t="s">
        <v>7</v>
      </c>
      <c r="B86" s="184"/>
      <c r="C86" s="184"/>
      <c r="D86" s="184"/>
      <c r="E86" s="184"/>
      <c r="F86" s="184"/>
      <c r="G86" s="184"/>
    </row>
    <row r="87" spans="1:7" ht="15.75">
      <c r="A87" s="184" t="s">
        <v>8</v>
      </c>
      <c r="B87" s="184"/>
      <c r="C87" s="184"/>
      <c r="D87" s="184"/>
      <c r="E87" s="184"/>
      <c r="F87" s="184"/>
      <c r="G87" s="184"/>
    </row>
    <row r="88" spans="1:7" ht="15.75" customHeight="1">
      <c r="A88" s="185" t="s">
        <v>79</v>
      </c>
      <c r="B88" s="185"/>
      <c r="C88" s="185"/>
      <c r="D88" s="185"/>
      <c r="E88" s="185"/>
      <c r="F88" s="185"/>
      <c r="G88" s="185"/>
    </row>
    <row r="89" spans="1:7" ht="15.75">
      <c r="A89" s="13"/>
    </row>
    <row r="90" spans="1:7" ht="15.75">
      <c r="A90" s="191" t="s">
        <v>9</v>
      </c>
      <c r="B90" s="191"/>
      <c r="C90" s="191"/>
      <c r="D90" s="191"/>
      <c r="E90" s="191"/>
      <c r="F90" s="191"/>
      <c r="G90" s="191"/>
    </row>
    <row r="91" spans="1:7" ht="15.75">
      <c r="A91" s="4"/>
    </row>
    <row r="92" spans="1:7" ht="15.75" customHeight="1">
      <c r="B92" s="87" t="s">
        <v>10</v>
      </c>
      <c r="C92" s="192" t="s">
        <v>191</v>
      </c>
      <c r="D92" s="192"/>
      <c r="E92" s="192"/>
      <c r="G92" s="90"/>
    </row>
    <row r="93" spans="1:7">
      <c r="A93" s="89"/>
      <c r="C93" s="183" t="s">
        <v>11</v>
      </c>
      <c r="D93" s="183"/>
      <c r="E93" s="183"/>
      <c r="G93" s="88" t="s">
        <v>12</v>
      </c>
    </row>
    <row r="94" spans="1:7" ht="15.75">
      <c r="A94" s="40"/>
      <c r="C94" s="14"/>
      <c r="D94" s="14"/>
      <c r="F94" s="14"/>
    </row>
    <row r="95" spans="1:7" ht="15.75" customHeight="1">
      <c r="B95" s="87" t="s">
        <v>13</v>
      </c>
      <c r="C95" s="178"/>
      <c r="D95" s="178"/>
      <c r="E95" s="178"/>
      <c r="G95" s="90"/>
    </row>
    <row r="96" spans="1:7">
      <c r="A96" s="89"/>
      <c r="C96" s="179" t="s">
        <v>11</v>
      </c>
      <c r="D96" s="179"/>
      <c r="E96" s="179"/>
      <c r="G96" s="88" t="s">
        <v>12</v>
      </c>
    </row>
    <row r="97" spans="1:7" ht="15.75">
      <c r="A97" s="4" t="s">
        <v>14</v>
      </c>
    </row>
    <row r="98" spans="1:7">
      <c r="A98" s="180" t="s">
        <v>15</v>
      </c>
      <c r="B98" s="180"/>
      <c r="C98" s="180"/>
      <c r="D98" s="180"/>
      <c r="E98" s="180"/>
      <c r="F98" s="180"/>
      <c r="G98" s="180"/>
    </row>
    <row r="99" spans="1:7" ht="45" customHeight="1">
      <c r="A99" s="190" t="s">
        <v>16</v>
      </c>
      <c r="B99" s="190"/>
      <c r="C99" s="190"/>
      <c r="D99" s="190"/>
      <c r="E99" s="190"/>
      <c r="F99" s="190"/>
      <c r="G99" s="190"/>
    </row>
    <row r="100" spans="1:7" ht="30" customHeight="1">
      <c r="A100" s="190" t="s">
        <v>17</v>
      </c>
      <c r="B100" s="190"/>
      <c r="C100" s="190"/>
      <c r="D100" s="190"/>
      <c r="E100" s="190"/>
      <c r="F100" s="190"/>
      <c r="G100" s="190"/>
    </row>
    <row r="101" spans="1:7" ht="30" customHeight="1">
      <c r="A101" s="190" t="s">
        <v>22</v>
      </c>
      <c r="B101" s="190"/>
      <c r="C101" s="190"/>
      <c r="D101" s="190"/>
      <c r="E101" s="190"/>
      <c r="F101" s="190"/>
      <c r="G101" s="190"/>
    </row>
    <row r="102" spans="1:7" ht="15" customHeight="1">
      <c r="A102" s="190" t="s">
        <v>21</v>
      </c>
      <c r="B102" s="190"/>
      <c r="C102" s="190"/>
      <c r="D102" s="190"/>
      <c r="E102" s="190"/>
      <c r="F102" s="190"/>
      <c r="G102" s="190"/>
    </row>
    <row r="169" spans="1:7" ht="15.75">
      <c r="A169" s="4" t="s">
        <v>14</v>
      </c>
    </row>
    <row r="170" spans="1:7">
      <c r="A170" s="180" t="s">
        <v>15</v>
      </c>
      <c r="B170" s="180"/>
      <c r="C170" s="180"/>
      <c r="D170" s="180"/>
      <c r="E170" s="180"/>
      <c r="F170" s="180"/>
      <c r="G170" s="180"/>
    </row>
    <row r="171" spans="1:7" ht="16.5" customHeight="1">
      <c r="A171" s="189" t="s">
        <v>16</v>
      </c>
      <c r="B171" s="189"/>
      <c r="C171" s="189"/>
      <c r="D171" s="189"/>
      <c r="E171" s="189"/>
      <c r="F171" s="189"/>
      <c r="G171" s="189"/>
    </row>
    <row r="172" spans="1:7" ht="16.5" customHeight="1">
      <c r="A172" s="189" t="s">
        <v>17</v>
      </c>
      <c r="B172" s="189"/>
      <c r="C172" s="189"/>
      <c r="D172" s="189"/>
      <c r="E172" s="189"/>
      <c r="F172" s="189"/>
      <c r="G172" s="189"/>
    </row>
    <row r="173" spans="1:7" ht="16.5" customHeight="1">
      <c r="A173" s="189" t="s">
        <v>22</v>
      </c>
      <c r="B173" s="189"/>
      <c r="C173" s="189"/>
      <c r="D173" s="189"/>
      <c r="E173" s="189"/>
      <c r="F173" s="189"/>
      <c r="G173" s="189"/>
    </row>
    <row r="174" spans="1:7" ht="16.5" customHeight="1">
      <c r="A174" s="189" t="s">
        <v>21</v>
      </c>
      <c r="B174" s="189"/>
      <c r="C174" s="189"/>
      <c r="D174" s="189"/>
      <c r="E174" s="189"/>
      <c r="F174" s="189"/>
      <c r="G174" s="189"/>
    </row>
    <row r="176" spans="1:7">
      <c r="A176" s="15" t="s">
        <v>20</v>
      </c>
      <c r="B176" s="15"/>
      <c r="C176" s="15"/>
      <c r="D176" s="15"/>
      <c r="E176" s="15"/>
      <c r="F176" s="15"/>
    </row>
  </sheetData>
  <mergeCells count="33">
    <mergeCell ref="A73:G73"/>
    <mergeCell ref="B66:F66"/>
    <mergeCell ref="A3:G3"/>
    <mergeCell ref="A4:G4"/>
    <mergeCell ref="A5:G5"/>
    <mergeCell ref="A8:G8"/>
    <mergeCell ref="A10:G10"/>
    <mergeCell ref="A14:G14"/>
    <mergeCell ref="A15:G15"/>
    <mergeCell ref="A21:G21"/>
    <mergeCell ref="A38:G38"/>
    <mergeCell ref="A49:G49"/>
    <mergeCell ref="A98:G98"/>
    <mergeCell ref="A82:G82"/>
    <mergeCell ref="B83:F83"/>
    <mergeCell ref="B84:F84"/>
    <mergeCell ref="A86:G86"/>
    <mergeCell ref="A87:G87"/>
    <mergeCell ref="A88:G88"/>
    <mergeCell ref="A90:G90"/>
    <mergeCell ref="C92:E92"/>
    <mergeCell ref="C93:E93"/>
    <mergeCell ref="C95:E95"/>
    <mergeCell ref="C96:E96"/>
    <mergeCell ref="A172:G172"/>
    <mergeCell ref="A173:G173"/>
    <mergeCell ref="A174:G174"/>
    <mergeCell ref="A99:G99"/>
    <mergeCell ref="A100:G100"/>
    <mergeCell ref="A101:G101"/>
    <mergeCell ref="A102:G102"/>
    <mergeCell ref="A170:G170"/>
    <mergeCell ref="A171:G171"/>
  </mergeCells>
  <pageMargins left="0.70866141732283472" right="0.70866141732283472" top="0.27559055118110237" bottom="0.27559055118110237" header="0.31496062992125984" footer="0.31496062992125984"/>
  <pageSetup paperSize="9" scale="60" orientation="portrait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190"/>
  <sheetViews>
    <sheetView view="pageLayout" zoomScale="50" zoomScaleSheetLayoutView="106" zoomScalePageLayoutView="50" workbookViewId="0">
      <selection sqref="A1:G191"/>
    </sheetView>
  </sheetViews>
  <sheetFormatPr defaultRowHeight="15"/>
  <cols>
    <col min="1" max="1" width="6" customWidth="1"/>
    <col min="2" max="2" width="49.42578125" customWidth="1"/>
    <col min="3" max="3" width="17.28515625" customWidth="1"/>
    <col min="4" max="4" width="16.85546875" customWidth="1"/>
    <col min="5" max="5" width="0.140625" customWidth="1"/>
    <col min="6" max="7" width="21" customWidth="1"/>
    <col min="8" max="8" width="11.140625" customWidth="1"/>
    <col min="9" max="9" width="9.5703125" bestFit="1" customWidth="1"/>
  </cols>
  <sheetData>
    <row r="1" spans="1:12" ht="15.75">
      <c r="B1" s="42" t="s">
        <v>136</v>
      </c>
      <c r="G1" s="41"/>
      <c r="H1" s="3"/>
    </row>
    <row r="2" spans="1:12" ht="15.75">
      <c r="B2" s="43" t="s">
        <v>82</v>
      </c>
      <c r="H2" s="5"/>
      <c r="I2" s="5"/>
      <c r="J2" s="47"/>
      <c r="K2" s="47"/>
    </row>
    <row r="3" spans="1:12" ht="15.75">
      <c r="A3" s="172" t="s">
        <v>137</v>
      </c>
      <c r="B3" s="172"/>
      <c r="C3" s="172"/>
      <c r="D3" s="172"/>
      <c r="E3" s="172"/>
      <c r="F3" s="172"/>
      <c r="G3" s="172"/>
      <c r="H3" s="3"/>
      <c r="I3" s="3"/>
      <c r="J3" s="3"/>
      <c r="K3" s="3"/>
      <c r="L3" s="40"/>
    </row>
    <row r="4" spans="1:12" ht="15.75">
      <c r="A4" s="173" t="s">
        <v>138</v>
      </c>
      <c r="B4" s="173"/>
      <c r="C4" s="173"/>
      <c r="D4" s="173"/>
      <c r="E4" s="173"/>
      <c r="F4" s="173"/>
      <c r="G4" s="173"/>
      <c r="H4" s="5"/>
      <c r="I4" s="5"/>
      <c r="J4" s="5"/>
      <c r="L4" s="179"/>
    </row>
    <row r="5" spans="1:12" ht="13.5" customHeight="1">
      <c r="A5" s="172" t="s">
        <v>139</v>
      </c>
      <c r="B5" s="174"/>
      <c r="C5" s="174"/>
      <c r="D5" s="174"/>
      <c r="E5" s="174"/>
      <c r="F5" s="174"/>
      <c r="G5" s="174"/>
      <c r="H5" s="6"/>
      <c r="I5" s="6"/>
      <c r="J5" s="6"/>
      <c r="L5" s="179"/>
    </row>
    <row r="6" spans="1:12" ht="31.5" customHeight="1">
      <c r="A6" s="2"/>
      <c r="B6" s="91"/>
      <c r="C6" s="91"/>
      <c r="D6" s="91"/>
      <c r="E6" s="91"/>
      <c r="F6" s="91"/>
      <c r="G6" s="45">
        <v>42704</v>
      </c>
      <c r="H6" s="3"/>
      <c r="I6" s="3"/>
      <c r="J6" s="3"/>
      <c r="K6" s="3"/>
      <c r="L6" s="40"/>
    </row>
    <row r="7" spans="1:12" ht="15.75">
      <c r="B7" s="87"/>
      <c r="C7" s="87"/>
      <c r="D7" s="87"/>
      <c r="E7" s="3"/>
      <c r="F7" s="3"/>
      <c r="I7" s="5"/>
      <c r="J7" s="5"/>
      <c r="K7" s="47"/>
    </row>
    <row r="8" spans="1:12" ht="86.25" customHeight="1">
      <c r="A8" s="175" t="s">
        <v>145</v>
      </c>
      <c r="B8" s="175"/>
      <c r="C8" s="175"/>
      <c r="D8" s="175"/>
      <c r="E8" s="175"/>
      <c r="F8" s="175"/>
      <c r="G8" s="175"/>
      <c r="H8" s="2"/>
      <c r="I8" s="2"/>
      <c r="J8" s="2"/>
      <c r="K8" s="2"/>
    </row>
    <row r="9" spans="1:12" ht="17.25" customHeight="1">
      <c r="A9" s="4"/>
    </row>
    <row r="10" spans="1:12" ht="51.75" customHeight="1">
      <c r="A10" s="176" t="s">
        <v>146</v>
      </c>
      <c r="B10" s="176"/>
      <c r="C10" s="176"/>
      <c r="D10" s="176"/>
      <c r="E10" s="176"/>
      <c r="F10" s="176"/>
      <c r="G10" s="176"/>
      <c r="H10" s="2"/>
      <c r="I10" s="2"/>
      <c r="J10" s="2"/>
      <c r="K10" s="2"/>
    </row>
    <row r="11" spans="1:12" ht="16.5" customHeight="1">
      <c r="A11" s="3"/>
      <c r="B11" s="3"/>
      <c r="C11" s="39"/>
      <c r="D11" s="39"/>
      <c r="E11" s="39"/>
      <c r="F11" s="39"/>
      <c r="G11" s="39"/>
      <c r="H11" s="2"/>
      <c r="I11" s="2"/>
      <c r="J11" s="2"/>
      <c r="K11" s="2"/>
    </row>
    <row r="12" spans="1:12" ht="17.25" customHeight="1">
      <c r="A12" s="4"/>
      <c r="H12" s="2"/>
      <c r="I12" s="2"/>
      <c r="J12" s="2"/>
      <c r="K12" s="2"/>
    </row>
    <row r="13" spans="1:12" ht="60" customHeight="1">
      <c r="A13" s="8" t="s">
        <v>0</v>
      </c>
      <c r="B13" s="8" t="s">
        <v>1</v>
      </c>
      <c r="C13" s="8" t="s">
        <v>2</v>
      </c>
      <c r="D13" s="8" t="s">
        <v>18</v>
      </c>
      <c r="E13" s="8" t="s">
        <v>19</v>
      </c>
      <c r="F13" s="8" t="s">
        <v>23</v>
      </c>
      <c r="G13" s="8" t="s">
        <v>3</v>
      </c>
      <c r="H13" s="7"/>
      <c r="I13" s="7"/>
      <c r="J13" s="7"/>
      <c r="K13" s="7"/>
    </row>
    <row r="14" spans="1:12" ht="17.25" customHeight="1">
      <c r="A14" s="9">
        <v>1</v>
      </c>
      <c r="B14" s="9">
        <v>2</v>
      </c>
      <c r="C14" s="9">
        <v>3</v>
      </c>
      <c r="D14" s="9">
        <v>4</v>
      </c>
      <c r="E14" s="9">
        <v>5</v>
      </c>
      <c r="F14" s="9">
        <v>5</v>
      </c>
      <c r="G14" s="9">
        <v>6</v>
      </c>
    </row>
    <row r="15" spans="1:12" ht="18" customHeight="1">
      <c r="A15" s="177" t="s">
        <v>74</v>
      </c>
      <c r="B15" s="177"/>
      <c r="C15" s="177"/>
      <c r="D15" s="177"/>
      <c r="E15" s="177"/>
      <c r="F15" s="177"/>
      <c r="G15" s="177"/>
    </row>
    <row r="16" spans="1:12" ht="16.5" customHeight="1">
      <c r="A16" s="177" t="s">
        <v>4</v>
      </c>
      <c r="B16" s="177"/>
      <c r="C16" s="177"/>
      <c r="D16" s="177"/>
      <c r="E16" s="177"/>
      <c r="F16" s="177"/>
      <c r="G16" s="177"/>
      <c r="H16" s="10"/>
      <c r="I16" s="10"/>
      <c r="J16" s="10"/>
      <c r="K16" s="10"/>
    </row>
    <row r="17" spans="1:11" ht="30" customHeight="1">
      <c r="A17" s="44">
        <v>1</v>
      </c>
      <c r="B17" s="55" t="s">
        <v>147</v>
      </c>
      <c r="C17" s="69" t="s">
        <v>148</v>
      </c>
      <c r="D17" s="55" t="s">
        <v>149</v>
      </c>
      <c r="E17" s="44"/>
      <c r="F17" s="54">
        <v>218.21</v>
      </c>
      <c r="G17" s="44">
        <v>1080.79</v>
      </c>
      <c r="H17" s="10"/>
      <c r="I17" s="10"/>
      <c r="J17" s="10"/>
      <c r="K17" s="10"/>
    </row>
    <row r="18" spans="1:11" ht="33" customHeight="1">
      <c r="A18" s="44">
        <v>2</v>
      </c>
      <c r="B18" s="55" t="s">
        <v>150</v>
      </c>
      <c r="C18" s="69" t="s">
        <v>148</v>
      </c>
      <c r="D18" s="55" t="s">
        <v>151</v>
      </c>
      <c r="E18" s="44"/>
      <c r="F18" s="54">
        <v>218.21</v>
      </c>
      <c r="G18" s="44">
        <v>2163.48</v>
      </c>
      <c r="H18" s="10"/>
      <c r="I18" s="10"/>
      <c r="J18" s="10"/>
      <c r="K18" s="10"/>
    </row>
    <row r="19" spans="1:11" ht="33" customHeight="1">
      <c r="A19" s="44">
        <v>3</v>
      </c>
      <c r="B19" s="55" t="s">
        <v>152</v>
      </c>
      <c r="C19" s="69" t="s">
        <v>148</v>
      </c>
      <c r="D19" s="55" t="s">
        <v>153</v>
      </c>
      <c r="E19" s="44"/>
      <c r="F19" s="54">
        <v>627.77</v>
      </c>
      <c r="G19" s="44">
        <v>1914.7</v>
      </c>
      <c r="H19" s="10"/>
      <c r="I19" s="10"/>
      <c r="J19" s="10"/>
      <c r="K19" s="10"/>
    </row>
    <row r="20" spans="1:11" ht="15" customHeight="1">
      <c r="A20" s="70">
        <v>4</v>
      </c>
      <c r="B20" s="64" t="s">
        <v>86</v>
      </c>
      <c r="C20" s="65" t="s">
        <v>35</v>
      </c>
      <c r="D20" s="64" t="s">
        <v>26</v>
      </c>
      <c r="E20" s="25">
        <v>506.1</v>
      </c>
      <c r="F20" s="54">
        <v>182.96</v>
      </c>
      <c r="G20" s="26">
        <v>556.5</v>
      </c>
      <c r="H20" s="10"/>
      <c r="I20" s="10"/>
      <c r="J20" s="10"/>
      <c r="K20" s="10"/>
    </row>
    <row r="21" spans="1:11" ht="15" customHeight="1">
      <c r="A21" s="70">
        <v>5</v>
      </c>
      <c r="B21" s="16" t="s">
        <v>24</v>
      </c>
      <c r="C21" s="17" t="s">
        <v>25</v>
      </c>
      <c r="D21" s="44"/>
      <c r="E21" s="25">
        <v>506.1</v>
      </c>
      <c r="F21" s="54">
        <v>3.43</v>
      </c>
      <c r="G21" s="26">
        <v>7074.38</v>
      </c>
      <c r="H21" s="10"/>
      <c r="I21" s="10"/>
      <c r="J21" s="10"/>
      <c r="K21" s="10"/>
    </row>
    <row r="22" spans="1:11" ht="15" customHeight="1">
      <c r="A22" s="177" t="s">
        <v>132</v>
      </c>
      <c r="B22" s="177"/>
      <c r="C22" s="177"/>
      <c r="D22" s="177"/>
      <c r="E22" s="177"/>
      <c r="F22" s="177"/>
      <c r="G22" s="177"/>
      <c r="H22" s="10"/>
      <c r="I22" s="10"/>
      <c r="J22" s="10"/>
      <c r="K22" s="10"/>
    </row>
    <row r="23" spans="1:11" ht="15.75" customHeight="1">
      <c r="A23" s="70"/>
      <c r="B23" s="80" t="s">
        <v>31</v>
      </c>
      <c r="C23" s="80"/>
      <c r="D23" s="80"/>
      <c r="E23" s="80"/>
      <c r="F23" s="80"/>
      <c r="G23" s="26"/>
      <c r="H23" s="10"/>
      <c r="I23" s="10"/>
      <c r="J23" s="10"/>
      <c r="K23" s="46"/>
    </row>
    <row r="24" spans="1:11" ht="16.5" customHeight="1">
      <c r="A24" s="70">
        <v>2</v>
      </c>
      <c r="B24" s="21" t="s">
        <v>83</v>
      </c>
      <c r="C24" s="23" t="s">
        <v>32</v>
      </c>
      <c r="D24" s="44" t="s">
        <v>133</v>
      </c>
      <c r="E24" s="20">
        <v>2.31</v>
      </c>
      <c r="F24" s="61">
        <v>155.88999999999999</v>
      </c>
      <c r="G24" s="19">
        <v>187.63</v>
      </c>
      <c r="H24" s="10"/>
      <c r="I24" s="10"/>
      <c r="J24" s="10"/>
      <c r="K24" s="10"/>
    </row>
    <row r="25" spans="1:11" ht="28.5" customHeight="1">
      <c r="A25" s="70">
        <v>3</v>
      </c>
      <c r="B25" s="21" t="s">
        <v>135</v>
      </c>
      <c r="C25" s="23" t="s">
        <v>32</v>
      </c>
      <c r="D25" s="44" t="s">
        <v>134</v>
      </c>
      <c r="E25" s="19">
        <f>0.0024*3*4.5</f>
        <v>3.2399999999999998E-2</v>
      </c>
      <c r="F25" s="61">
        <v>258.63</v>
      </c>
      <c r="G25" s="26">
        <v>836.01</v>
      </c>
      <c r="H25" s="10"/>
      <c r="I25" s="10"/>
      <c r="J25" s="10"/>
      <c r="K25" s="10"/>
    </row>
    <row r="26" spans="1:11" ht="16.5" customHeight="1">
      <c r="A26" s="70">
        <v>4</v>
      </c>
      <c r="B26" s="64" t="s">
        <v>87</v>
      </c>
      <c r="C26" s="65" t="s">
        <v>35</v>
      </c>
      <c r="D26" s="70" t="s">
        <v>28</v>
      </c>
      <c r="E26" s="24">
        <v>0</v>
      </c>
      <c r="F26" s="61">
        <v>191.32</v>
      </c>
      <c r="G26" s="26">
        <v>0</v>
      </c>
      <c r="H26" s="10"/>
      <c r="I26" s="10"/>
      <c r="J26" s="10"/>
      <c r="K26" s="10"/>
    </row>
    <row r="27" spans="1:11" ht="16.5" customHeight="1">
      <c r="A27" s="70">
        <v>5</v>
      </c>
      <c r="B27" s="21" t="s">
        <v>30</v>
      </c>
      <c r="C27" s="23" t="s">
        <v>32</v>
      </c>
      <c r="D27" s="44" t="s">
        <v>84</v>
      </c>
      <c r="E27" s="24">
        <v>0</v>
      </c>
      <c r="F27" s="19">
        <v>3020.33</v>
      </c>
      <c r="G27" s="26">
        <v>0</v>
      </c>
      <c r="H27" s="10"/>
      <c r="I27" s="50">
        <f>0.8952/2</f>
        <v>0.4476</v>
      </c>
      <c r="J27" s="10"/>
      <c r="K27" s="10"/>
    </row>
    <row r="28" spans="1:11" ht="18.75" customHeight="1">
      <c r="A28" s="70">
        <v>4</v>
      </c>
      <c r="B28" s="21" t="s">
        <v>118</v>
      </c>
      <c r="C28" s="23" t="s">
        <v>33</v>
      </c>
      <c r="D28" s="44" t="s">
        <v>85</v>
      </c>
      <c r="E28" s="19">
        <v>3.75</v>
      </c>
      <c r="F28" s="61">
        <v>56.69</v>
      </c>
      <c r="G28" s="19">
        <v>488.16</v>
      </c>
      <c r="H28" s="10"/>
      <c r="I28" s="10"/>
      <c r="J28" s="10"/>
      <c r="K28" s="10"/>
    </row>
    <row r="29" spans="1:11" ht="15" customHeight="1">
      <c r="A29" s="44">
        <v>7</v>
      </c>
      <c r="B29" s="64" t="s">
        <v>86</v>
      </c>
      <c r="C29" s="65" t="s">
        <v>35</v>
      </c>
      <c r="D29" s="70" t="s">
        <v>131</v>
      </c>
      <c r="E29" s="19">
        <v>0</v>
      </c>
      <c r="F29" s="61">
        <v>147.03</v>
      </c>
      <c r="G29" s="19">
        <v>447.22</v>
      </c>
      <c r="H29" s="10"/>
      <c r="I29" s="10"/>
      <c r="J29" s="10"/>
      <c r="K29" s="10"/>
    </row>
    <row r="30" spans="1:11" ht="15" customHeight="1">
      <c r="A30" s="44">
        <v>8</v>
      </c>
      <c r="B30" s="64" t="s">
        <v>88</v>
      </c>
      <c r="C30" s="65" t="s">
        <v>34</v>
      </c>
      <c r="D30" s="70" t="s">
        <v>28</v>
      </c>
      <c r="E30" s="19"/>
      <c r="F30" s="61">
        <v>1136.33</v>
      </c>
      <c r="G30" s="19">
        <v>0</v>
      </c>
      <c r="H30" s="10"/>
      <c r="I30" s="10"/>
      <c r="J30" s="10"/>
      <c r="K30" s="10"/>
    </row>
    <row r="31" spans="1:11" ht="15" customHeight="1">
      <c r="A31" s="70"/>
      <c r="B31" s="78" t="s">
        <v>5</v>
      </c>
      <c r="C31" s="78"/>
      <c r="D31" s="78"/>
      <c r="E31" s="19"/>
      <c r="F31" s="20"/>
      <c r="G31" s="26"/>
      <c r="H31" s="10"/>
      <c r="I31" s="10"/>
      <c r="J31" s="10"/>
      <c r="K31" s="10"/>
    </row>
    <row r="32" spans="1:11" ht="16.5" customHeight="1">
      <c r="A32" s="56">
        <v>3</v>
      </c>
      <c r="B32" s="21" t="s">
        <v>29</v>
      </c>
      <c r="C32" s="23" t="s">
        <v>34</v>
      </c>
      <c r="D32" s="44" t="s">
        <v>28</v>
      </c>
      <c r="E32" s="19">
        <v>0</v>
      </c>
      <c r="F32" s="61">
        <v>1527.22</v>
      </c>
      <c r="G32" s="19">
        <v>381.81</v>
      </c>
      <c r="H32" s="10"/>
      <c r="I32" s="10"/>
      <c r="J32" s="10"/>
      <c r="K32" s="10"/>
    </row>
    <row r="33" spans="1:12" ht="16.5" customHeight="1">
      <c r="A33" s="56">
        <v>4</v>
      </c>
      <c r="B33" s="21" t="s">
        <v>90</v>
      </c>
      <c r="C33" s="23" t="s">
        <v>32</v>
      </c>
      <c r="D33" s="100" t="s">
        <v>91</v>
      </c>
      <c r="E33" s="19">
        <v>0</v>
      </c>
      <c r="F33" s="62">
        <v>2102.71</v>
      </c>
      <c r="G33" s="19">
        <v>1140.72</v>
      </c>
      <c r="H33" s="10"/>
      <c r="I33" s="10"/>
      <c r="J33" s="10"/>
      <c r="K33" s="10"/>
    </row>
    <row r="34" spans="1:12" ht="31.5" customHeight="1">
      <c r="A34" s="56">
        <v>5</v>
      </c>
      <c r="B34" s="64" t="s">
        <v>92</v>
      </c>
      <c r="C34" s="23" t="s">
        <v>32</v>
      </c>
      <c r="D34" s="70" t="s">
        <v>93</v>
      </c>
      <c r="E34" s="19">
        <v>0</v>
      </c>
      <c r="F34" s="61">
        <v>350.75</v>
      </c>
      <c r="G34" s="19">
        <v>28.06</v>
      </c>
      <c r="H34" s="10"/>
      <c r="I34" s="10"/>
      <c r="J34" s="10"/>
      <c r="K34" s="10"/>
    </row>
    <row r="35" spans="1:12" ht="60">
      <c r="A35" s="56">
        <v>6</v>
      </c>
      <c r="B35" s="64" t="s">
        <v>128</v>
      </c>
      <c r="C35" s="23" t="s">
        <v>32</v>
      </c>
      <c r="D35" s="70" t="s">
        <v>93</v>
      </c>
      <c r="E35" s="19">
        <v>0</v>
      </c>
      <c r="F35" s="61">
        <v>5803.28</v>
      </c>
      <c r="G35" s="19">
        <v>203.11</v>
      </c>
      <c r="H35" s="10"/>
      <c r="I35" s="10"/>
      <c r="J35" s="10"/>
      <c r="K35" s="10"/>
    </row>
    <row r="36" spans="1:12">
      <c r="A36" s="56">
        <v>7</v>
      </c>
      <c r="B36" s="94" t="s">
        <v>94</v>
      </c>
      <c r="C36" s="17" t="s">
        <v>32</v>
      </c>
      <c r="D36" s="70" t="s">
        <v>95</v>
      </c>
      <c r="E36" s="19">
        <v>0</v>
      </c>
      <c r="F36" s="61">
        <v>428.7</v>
      </c>
      <c r="G36" s="19">
        <v>57.87</v>
      </c>
      <c r="H36" s="10"/>
      <c r="I36" s="10"/>
      <c r="J36" s="10"/>
      <c r="K36" s="10"/>
    </row>
    <row r="37" spans="1:12" ht="13.5" customHeight="1">
      <c r="A37" s="56">
        <v>8</v>
      </c>
      <c r="B37" s="101" t="s">
        <v>96</v>
      </c>
      <c r="C37" s="17" t="s">
        <v>35</v>
      </c>
      <c r="D37" s="94"/>
      <c r="E37" s="19">
        <v>0</v>
      </c>
      <c r="F37" s="62">
        <v>798</v>
      </c>
      <c r="G37" s="19">
        <v>26.6</v>
      </c>
      <c r="H37" s="10"/>
      <c r="I37" s="10"/>
      <c r="J37" s="10"/>
      <c r="K37" s="10"/>
    </row>
    <row r="38" spans="1:12" ht="15" customHeight="1">
      <c r="A38" s="201" t="s">
        <v>81</v>
      </c>
      <c r="B38" s="202"/>
      <c r="C38" s="202"/>
      <c r="D38" s="202"/>
      <c r="E38" s="202"/>
      <c r="F38" s="202"/>
      <c r="G38" s="203"/>
      <c r="H38" s="10"/>
      <c r="I38" s="10"/>
    </row>
    <row r="39" spans="1:12" ht="27" customHeight="1">
      <c r="A39" s="70">
        <v>15</v>
      </c>
      <c r="B39" s="21" t="s">
        <v>36</v>
      </c>
      <c r="C39" s="23" t="s">
        <v>32</v>
      </c>
      <c r="D39" s="44" t="s">
        <v>77</v>
      </c>
      <c r="E39" s="26">
        <v>0.42</v>
      </c>
      <c r="F39" s="61">
        <v>809.74</v>
      </c>
      <c r="G39" s="27">
        <v>0</v>
      </c>
    </row>
    <row r="40" spans="1:12" ht="31.5" customHeight="1">
      <c r="A40" s="70">
        <v>16</v>
      </c>
      <c r="B40" s="21" t="s">
        <v>37</v>
      </c>
      <c r="C40" s="23" t="s">
        <v>38</v>
      </c>
      <c r="D40" s="44" t="s">
        <v>77</v>
      </c>
      <c r="E40" s="26">
        <v>1.35</v>
      </c>
      <c r="F40" s="61">
        <v>72.81</v>
      </c>
      <c r="G40" s="27">
        <v>0</v>
      </c>
    </row>
    <row r="41" spans="1:12" ht="31.5" customHeight="1">
      <c r="A41" s="70">
        <v>17</v>
      </c>
      <c r="B41" s="21" t="s">
        <v>39</v>
      </c>
      <c r="C41" s="23" t="s">
        <v>32</v>
      </c>
      <c r="D41" s="44" t="s">
        <v>77</v>
      </c>
      <c r="E41" s="26">
        <v>0.03</v>
      </c>
      <c r="F41" s="61">
        <v>579.48</v>
      </c>
      <c r="G41" s="27">
        <v>0</v>
      </c>
    </row>
    <row r="42" spans="1:12" ht="29.25" customHeight="1">
      <c r="A42" s="70">
        <v>18</v>
      </c>
      <c r="B42" s="21" t="s">
        <v>40</v>
      </c>
      <c r="C42" s="23" t="s">
        <v>32</v>
      </c>
      <c r="D42" s="44" t="s">
        <v>77</v>
      </c>
      <c r="E42" s="26">
        <v>0.33</v>
      </c>
      <c r="F42" s="61">
        <v>579.48</v>
      </c>
      <c r="G42" s="27">
        <v>0</v>
      </c>
    </row>
    <row r="43" spans="1:12" ht="27.75" customHeight="1">
      <c r="A43" s="70">
        <v>19</v>
      </c>
      <c r="B43" s="21" t="s">
        <v>124</v>
      </c>
      <c r="C43" s="23" t="s">
        <v>32</v>
      </c>
      <c r="D43" s="44" t="s">
        <v>77</v>
      </c>
      <c r="E43" s="26">
        <v>0.22</v>
      </c>
      <c r="F43" s="61">
        <v>1213.55</v>
      </c>
      <c r="G43" s="19">
        <v>0</v>
      </c>
    </row>
    <row r="44" spans="1:12" ht="30.75" customHeight="1">
      <c r="A44" s="70">
        <v>9</v>
      </c>
      <c r="B44" s="21" t="s">
        <v>42</v>
      </c>
      <c r="C44" s="23" t="s">
        <v>32</v>
      </c>
      <c r="D44" s="44" t="s">
        <v>77</v>
      </c>
      <c r="E44" s="26">
        <v>0.22</v>
      </c>
      <c r="F44" s="61">
        <v>1213.55</v>
      </c>
      <c r="G44" s="27">
        <v>309.7</v>
      </c>
    </row>
    <row r="45" spans="1:12" ht="30.75" customHeight="1">
      <c r="A45" s="70">
        <v>10</v>
      </c>
      <c r="B45" s="21" t="s">
        <v>43</v>
      </c>
      <c r="C45" s="23" t="s">
        <v>44</v>
      </c>
      <c r="D45" s="44" t="s">
        <v>77</v>
      </c>
      <c r="E45" s="26">
        <v>0.02</v>
      </c>
      <c r="F45" s="61">
        <v>2730.49</v>
      </c>
      <c r="G45" s="27">
        <v>54.61</v>
      </c>
      <c r="J45" s="28"/>
      <c r="K45" s="29"/>
      <c r="L45" s="30"/>
    </row>
    <row r="46" spans="1:12" ht="28.5" customHeight="1">
      <c r="A46" s="70">
        <v>11</v>
      </c>
      <c r="B46" s="21" t="s">
        <v>45</v>
      </c>
      <c r="C46" s="23" t="s">
        <v>46</v>
      </c>
      <c r="D46" s="44" t="s">
        <v>77</v>
      </c>
      <c r="E46" s="26">
        <v>0.01</v>
      </c>
      <c r="F46" s="61">
        <v>5652.13</v>
      </c>
      <c r="G46" s="27">
        <v>56.52</v>
      </c>
      <c r="J46" s="28"/>
      <c r="K46" s="29"/>
      <c r="L46" s="30"/>
    </row>
    <row r="47" spans="1:12" ht="14.25" customHeight="1">
      <c r="A47" s="70">
        <v>23</v>
      </c>
      <c r="B47" s="21" t="s">
        <v>47</v>
      </c>
      <c r="C47" s="23" t="s">
        <v>33</v>
      </c>
      <c r="D47" s="70" t="s">
        <v>97</v>
      </c>
      <c r="E47" s="26">
        <v>8</v>
      </c>
      <c r="F47" s="62">
        <v>141.12</v>
      </c>
      <c r="G47" s="19">
        <v>0</v>
      </c>
      <c r="J47" s="28"/>
      <c r="K47" s="29"/>
      <c r="L47" s="30"/>
    </row>
    <row r="48" spans="1:12" ht="16.5" customHeight="1">
      <c r="A48" s="70">
        <v>24</v>
      </c>
      <c r="B48" s="21" t="s">
        <v>48</v>
      </c>
      <c r="C48" s="23" t="s">
        <v>33</v>
      </c>
      <c r="D48" s="70" t="s">
        <v>97</v>
      </c>
      <c r="E48" s="26">
        <v>16</v>
      </c>
      <c r="F48" s="62">
        <v>65.67</v>
      </c>
      <c r="G48" s="19">
        <v>0</v>
      </c>
      <c r="J48" s="28"/>
      <c r="K48" s="29"/>
      <c r="L48" s="30"/>
    </row>
    <row r="49" spans="1:12" ht="15" customHeight="1">
      <c r="A49" s="201" t="s">
        <v>78</v>
      </c>
      <c r="B49" s="202"/>
      <c r="C49" s="202"/>
      <c r="D49" s="202"/>
      <c r="E49" s="202"/>
      <c r="F49" s="202"/>
      <c r="G49" s="203"/>
      <c r="J49" s="28"/>
      <c r="K49" s="29"/>
      <c r="L49" s="30"/>
    </row>
    <row r="50" spans="1:12" ht="13.5" customHeight="1">
      <c r="A50" s="83"/>
      <c r="B50" s="77" t="s">
        <v>50</v>
      </c>
      <c r="C50" s="23"/>
      <c r="D50" s="33"/>
      <c r="E50" s="33"/>
      <c r="F50" s="48"/>
      <c r="G50" s="26"/>
      <c r="J50" s="28"/>
      <c r="K50" s="29"/>
      <c r="L50" s="30"/>
    </row>
    <row r="51" spans="1:12" ht="44.25" customHeight="1">
      <c r="A51" s="70">
        <v>12</v>
      </c>
      <c r="B51" s="21" t="s">
        <v>121</v>
      </c>
      <c r="C51" s="23" t="s">
        <v>62</v>
      </c>
      <c r="D51" s="22" t="s">
        <v>98</v>
      </c>
      <c r="E51" s="26">
        <v>0</v>
      </c>
      <c r="F51" s="61">
        <v>1547.28</v>
      </c>
      <c r="G51" s="27">
        <v>508.59</v>
      </c>
      <c r="J51" s="28"/>
      <c r="K51" s="29"/>
      <c r="L51" s="30"/>
    </row>
    <row r="52" spans="1:12" ht="15.75" customHeight="1">
      <c r="A52" s="70">
        <v>26</v>
      </c>
      <c r="B52" s="64" t="s">
        <v>111</v>
      </c>
      <c r="C52" s="23" t="s">
        <v>62</v>
      </c>
      <c r="D52" s="22" t="s">
        <v>112</v>
      </c>
      <c r="E52" s="26"/>
      <c r="F52" s="61">
        <v>1547.28</v>
      </c>
      <c r="G52" s="27">
        <v>0</v>
      </c>
      <c r="J52" s="28"/>
      <c r="K52" s="29"/>
      <c r="L52" s="30"/>
    </row>
    <row r="53" spans="1:12" ht="15.75" customHeight="1">
      <c r="A53" s="70"/>
      <c r="B53" s="201" t="s">
        <v>51</v>
      </c>
      <c r="C53" s="202"/>
      <c r="D53" s="202"/>
      <c r="E53" s="202"/>
      <c r="F53" s="203"/>
      <c r="G53" s="60"/>
      <c r="J53" s="28"/>
      <c r="K53" s="29"/>
      <c r="L53" s="30"/>
    </row>
    <row r="54" spans="1:12" ht="14.25" customHeight="1">
      <c r="A54" s="70">
        <v>27</v>
      </c>
      <c r="B54" s="21" t="s">
        <v>52</v>
      </c>
      <c r="C54" s="23" t="s">
        <v>62</v>
      </c>
      <c r="D54" s="44" t="s">
        <v>63</v>
      </c>
      <c r="E54" s="26">
        <v>0</v>
      </c>
      <c r="F54" s="61">
        <v>793.61</v>
      </c>
      <c r="G54" s="27">
        <f>E54/2</f>
        <v>0</v>
      </c>
      <c r="J54" s="28"/>
      <c r="K54" s="29"/>
      <c r="L54" s="30"/>
    </row>
    <row r="55" spans="1:12" ht="16.5" customHeight="1">
      <c r="A55" s="70"/>
      <c r="B55" s="93" t="s">
        <v>53</v>
      </c>
      <c r="C55" s="23"/>
      <c r="D55" s="22"/>
      <c r="E55" s="22"/>
      <c r="F55" s="44"/>
      <c r="G55" s="26"/>
      <c r="J55" s="28"/>
      <c r="K55" s="29"/>
      <c r="L55" s="30"/>
    </row>
    <row r="56" spans="1:12" ht="15" customHeight="1">
      <c r="A56" s="70">
        <v>28</v>
      </c>
      <c r="B56" s="21" t="s">
        <v>54</v>
      </c>
      <c r="C56" s="23" t="s">
        <v>33</v>
      </c>
      <c r="D56" s="22" t="s">
        <v>28</v>
      </c>
      <c r="E56" s="26">
        <v>0</v>
      </c>
      <c r="F56" s="61">
        <v>222.4</v>
      </c>
      <c r="G56" s="27">
        <v>0</v>
      </c>
      <c r="J56" s="28"/>
      <c r="K56" s="29"/>
      <c r="L56" s="30"/>
    </row>
    <row r="57" spans="1:12" ht="15.75" customHeight="1">
      <c r="A57" s="44">
        <v>29</v>
      </c>
      <c r="B57" s="21" t="s">
        <v>55</v>
      </c>
      <c r="C57" s="23" t="s">
        <v>33</v>
      </c>
      <c r="D57" s="22" t="s">
        <v>28</v>
      </c>
      <c r="E57" s="26">
        <v>0</v>
      </c>
      <c r="F57" s="61">
        <v>76.25</v>
      </c>
      <c r="G57" s="27">
        <f>E57/2</f>
        <v>0</v>
      </c>
      <c r="J57" s="28"/>
      <c r="K57" s="29"/>
      <c r="L57" s="30"/>
    </row>
    <row r="58" spans="1:12" ht="15.75" customHeight="1">
      <c r="A58" s="44">
        <v>8</v>
      </c>
      <c r="B58" s="21" t="s">
        <v>56</v>
      </c>
      <c r="C58" s="23" t="s">
        <v>38</v>
      </c>
      <c r="D58" s="44" t="s">
        <v>63</v>
      </c>
      <c r="E58" s="26">
        <v>13.47</v>
      </c>
      <c r="F58" s="61">
        <v>212.15</v>
      </c>
      <c r="G58" s="26">
        <v>7955.63</v>
      </c>
      <c r="J58" s="28"/>
      <c r="K58" s="29"/>
      <c r="L58" s="30"/>
    </row>
    <row r="59" spans="1:12" ht="15.75" customHeight="1">
      <c r="A59" s="44">
        <v>9</v>
      </c>
      <c r="B59" s="21" t="s">
        <v>57</v>
      </c>
      <c r="C59" s="23" t="s">
        <v>64</v>
      </c>
      <c r="D59" s="44" t="s">
        <v>63</v>
      </c>
      <c r="E59" s="26">
        <v>1.35</v>
      </c>
      <c r="F59" s="61">
        <v>165.21</v>
      </c>
      <c r="G59" s="26">
        <v>619.54</v>
      </c>
      <c r="J59" s="28"/>
      <c r="K59" s="29"/>
      <c r="L59" s="30"/>
    </row>
    <row r="60" spans="1:12" ht="15.75" customHeight="1">
      <c r="A60" s="44">
        <v>10</v>
      </c>
      <c r="B60" s="94" t="s">
        <v>58</v>
      </c>
      <c r="C60" s="23" t="s">
        <v>65</v>
      </c>
      <c r="D60" s="44" t="s">
        <v>63</v>
      </c>
      <c r="E60" s="26">
        <v>0</v>
      </c>
      <c r="F60" s="61">
        <v>2074.63</v>
      </c>
      <c r="G60" s="26">
        <v>12447.78</v>
      </c>
      <c r="J60" s="28"/>
      <c r="K60" s="29"/>
      <c r="L60" s="30"/>
    </row>
    <row r="61" spans="1:12" ht="15.75" customHeight="1">
      <c r="A61" s="44">
        <v>11</v>
      </c>
      <c r="B61" s="94" t="s">
        <v>72</v>
      </c>
      <c r="C61" s="23" t="s">
        <v>73</v>
      </c>
      <c r="D61" s="44" t="s">
        <v>63</v>
      </c>
      <c r="E61" s="18">
        <v>0</v>
      </c>
      <c r="F61" s="61">
        <v>49.88</v>
      </c>
      <c r="G61" s="26">
        <v>0</v>
      </c>
      <c r="J61" s="28"/>
      <c r="K61" s="29"/>
      <c r="L61" s="30"/>
    </row>
    <row r="62" spans="1:12" ht="30.75" customHeight="1">
      <c r="A62" s="44">
        <v>12</v>
      </c>
      <c r="B62" s="84" t="s">
        <v>99</v>
      </c>
      <c r="C62" s="65" t="s">
        <v>35</v>
      </c>
      <c r="D62" s="44"/>
      <c r="E62" s="18"/>
      <c r="F62" s="61">
        <v>45.32</v>
      </c>
      <c r="G62" s="26">
        <v>543.84</v>
      </c>
      <c r="J62" s="28"/>
      <c r="K62" s="29"/>
      <c r="L62" s="30"/>
    </row>
    <row r="63" spans="1:12" ht="15.75" customHeight="1">
      <c r="A63" s="44">
        <v>13</v>
      </c>
      <c r="B63" s="84" t="s">
        <v>100</v>
      </c>
      <c r="C63" s="65" t="s">
        <v>35</v>
      </c>
      <c r="D63" s="44"/>
      <c r="E63" s="18"/>
      <c r="F63" s="61">
        <v>42.28</v>
      </c>
      <c r="G63" s="26">
        <v>507.36</v>
      </c>
      <c r="J63" s="28"/>
      <c r="K63" s="29"/>
      <c r="L63" s="30"/>
    </row>
    <row r="64" spans="1:12" ht="29.25" customHeight="1">
      <c r="A64" s="83"/>
      <c r="B64" s="201" t="s">
        <v>66</v>
      </c>
      <c r="C64" s="202"/>
      <c r="D64" s="202"/>
      <c r="E64" s="202"/>
      <c r="F64" s="203"/>
      <c r="G64" s="26"/>
      <c r="J64" s="28"/>
      <c r="K64" s="29"/>
      <c r="L64" s="30"/>
    </row>
    <row r="65" spans="1:20" ht="17.25" customHeight="1">
      <c r="A65" s="44">
        <v>36</v>
      </c>
      <c r="B65" s="21" t="s">
        <v>59</v>
      </c>
      <c r="C65" s="23" t="s">
        <v>67</v>
      </c>
      <c r="D65" s="44" t="s">
        <v>63</v>
      </c>
      <c r="E65" s="26">
        <v>0</v>
      </c>
      <c r="F65" s="63">
        <v>3779.8</v>
      </c>
      <c r="G65" s="26">
        <v>0</v>
      </c>
      <c r="J65" s="28"/>
      <c r="K65" s="29"/>
      <c r="L65" s="30"/>
    </row>
    <row r="66" spans="1:20" ht="15.75" customHeight="1">
      <c r="A66" s="44"/>
      <c r="B66" s="78" t="s">
        <v>101</v>
      </c>
      <c r="C66" s="78"/>
      <c r="D66" s="78"/>
      <c r="E66" s="26"/>
      <c r="F66" s="44"/>
      <c r="G66" s="26"/>
      <c r="J66" s="28"/>
      <c r="K66" s="29"/>
      <c r="L66" s="30"/>
    </row>
    <row r="67" spans="1:20" ht="14.25" customHeight="1">
      <c r="A67" s="44">
        <v>37</v>
      </c>
      <c r="B67" s="64" t="s">
        <v>102</v>
      </c>
      <c r="C67" s="65" t="s">
        <v>104</v>
      </c>
      <c r="D67" s="44"/>
      <c r="E67" s="26"/>
      <c r="F67" s="61">
        <v>501.62</v>
      </c>
      <c r="G67" s="26">
        <v>0</v>
      </c>
      <c r="J67" s="28"/>
      <c r="K67" s="29"/>
      <c r="L67" s="30"/>
    </row>
    <row r="68" spans="1:20" ht="15.75" customHeight="1">
      <c r="A68" s="44">
        <v>38</v>
      </c>
      <c r="B68" s="64" t="s">
        <v>103</v>
      </c>
      <c r="C68" s="65" t="s">
        <v>33</v>
      </c>
      <c r="D68" s="44"/>
      <c r="E68" s="26"/>
      <c r="F68" s="61">
        <v>852.99</v>
      </c>
      <c r="G68" s="26">
        <v>0</v>
      </c>
      <c r="J68" s="28"/>
      <c r="K68" s="29"/>
      <c r="L68" s="30"/>
    </row>
    <row r="69" spans="1:20" ht="15.75" customHeight="1">
      <c r="A69" s="44"/>
      <c r="B69" s="79" t="s">
        <v>105</v>
      </c>
      <c r="C69" s="65"/>
      <c r="D69" s="44"/>
      <c r="E69" s="26"/>
      <c r="F69" s="61"/>
      <c r="G69" s="26"/>
      <c r="J69" s="28"/>
      <c r="K69" s="29"/>
      <c r="L69" s="30"/>
    </row>
    <row r="70" spans="1:20" ht="16.5" customHeight="1">
      <c r="A70" s="44">
        <v>39</v>
      </c>
      <c r="B70" s="66" t="s">
        <v>106</v>
      </c>
      <c r="C70" s="67" t="s">
        <v>107</v>
      </c>
      <c r="D70" s="59"/>
      <c r="E70" s="26"/>
      <c r="F70" s="62">
        <v>2759.44</v>
      </c>
      <c r="G70" s="26">
        <v>0</v>
      </c>
      <c r="J70" s="28"/>
      <c r="K70" s="29"/>
      <c r="L70" s="30"/>
    </row>
    <row r="71" spans="1:20" ht="15" customHeight="1">
      <c r="A71" s="44"/>
      <c r="B71" s="93" t="s">
        <v>75</v>
      </c>
      <c r="C71" s="93"/>
      <c r="D71" s="93"/>
      <c r="E71" s="26"/>
      <c r="F71" s="44"/>
      <c r="G71" s="26"/>
      <c r="H71" s="34">
        <f>G21+G24+G25+G26+G27+G28+G29+G30+G32+G33+G34+G35+G36+G37+G39+G40+G41+G42+G43+G44+G45+G46+G47+G48+G51+G53+G55+G56+G57+G58+G59+G60+G61+G62+G64+G66+G67+G69+G71+G72</f>
        <v>34234.239999999998</v>
      </c>
      <c r="J71" s="28"/>
      <c r="K71" s="29"/>
      <c r="L71" s="30"/>
    </row>
    <row r="72" spans="1:20" ht="27.75" customHeight="1">
      <c r="A72" s="44">
        <v>13</v>
      </c>
      <c r="B72" s="49" t="s">
        <v>113</v>
      </c>
      <c r="C72" s="23" t="s">
        <v>68</v>
      </c>
      <c r="D72" s="22" t="s">
        <v>69</v>
      </c>
      <c r="E72" s="22">
        <v>327.9</v>
      </c>
      <c r="F72" s="61">
        <v>2.1</v>
      </c>
      <c r="G72" s="19">
        <v>866.46</v>
      </c>
      <c r="H72" s="34"/>
      <c r="J72" s="28"/>
      <c r="K72" s="29"/>
      <c r="L72" s="30"/>
    </row>
    <row r="73" spans="1:20" ht="15" customHeight="1">
      <c r="A73" s="44">
        <v>14</v>
      </c>
      <c r="B73" s="64" t="s">
        <v>108</v>
      </c>
      <c r="C73" s="23"/>
      <c r="D73" s="22"/>
      <c r="E73" s="22"/>
      <c r="F73" s="61">
        <v>1.63</v>
      </c>
      <c r="G73" s="19">
        <v>672.54</v>
      </c>
      <c r="H73" s="34"/>
      <c r="J73" s="28"/>
      <c r="K73" s="29"/>
      <c r="L73" s="30"/>
    </row>
    <row r="74" spans="1:20" ht="15" customHeight="1">
      <c r="A74" s="83"/>
      <c r="B74" s="68" t="s">
        <v>115</v>
      </c>
      <c r="C74" s="70"/>
      <c r="D74" s="22"/>
      <c r="E74" s="22"/>
      <c r="F74" s="26"/>
      <c r="G74" s="52">
        <f>SUM(G20+G21+G32+G33+G34+G35+G36+G37+G44+G45+G46+G51+G72+G73)</f>
        <v>11937.470000000005</v>
      </c>
      <c r="H74" s="34"/>
      <c r="J74" s="28"/>
      <c r="K74" s="29"/>
      <c r="L74" s="30"/>
    </row>
    <row r="75" spans="1:20">
      <c r="A75" s="83"/>
      <c r="B75" s="102" t="s">
        <v>76</v>
      </c>
      <c r="C75" s="102"/>
      <c r="D75" s="102"/>
      <c r="E75" s="102"/>
      <c r="F75" s="102"/>
      <c r="G75" s="102"/>
      <c r="H75" s="35">
        <f>SUM(H21:H72)</f>
        <v>34234.239999999998</v>
      </c>
      <c r="J75" s="35"/>
    </row>
    <row r="76" spans="1:20">
      <c r="A76" s="44">
        <v>15</v>
      </c>
      <c r="B76" s="95" t="s">
        <v>122</v>
      </c>
      <c r="C76" s="96" t="s">
        <v>140</v>
      </c>
      <c r="D76" s="19">
        <v>1</v>
      </c>
      <c r="E76" s="22"/>
      <c r="F76" s="19">
        <v>180.15</v>
      </c>
      <c r="G76" s="19">
        <v>180.15</v>
      </c>
    </row>
    <row r="77" spans="1:20" ht="30">
      <c r="A77" s="44">
        <v>16</v>
      </c>
      <c r="B77" s="97" t="s">
        <v>141</v>
      </c>
      <c r="C77" s="98" t="s">
        <v>68</v>
      </c>
      <c r="D77" s="19">
        <f>0.2</f>
        <v>0.2</v>
      </c>
      <c r="E77" s="22"/>
      <c r="F77" s="19">
        <v>64.599999999999994</v>
      </c>
      <c r="G77" s="19">
        <v>12.92</v>
      </c>
    </row>
    <row r="78" spans="1:20" ht="15.75" customHeight="1">
      <c r="A78" s="44">
        <v>17</v>
      </c>
      <c r="B78" s="99" t="s">
        <v>142</v>
      </c>
      <c r="C78" s="96" t="s">
        <v>140</v>
      </c>
      <c r="D78" s="19">
        <v>1</v>
      </c>
      <c r="E78" s="22"/>
      <c r="F78" s="19">
        <v>295.58999999999997</v>
      </c>
      <c r="G78" s="19">
        <v>295.58999999999997</v>
      </c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11"/>
    </row>
    <row r="79" spans="1:20" ht="15.75" customHeight="1">
      <c r="A79" s="44"/>
      <c r="B79" s="75" t="s">
        <v>60</v>
      </c>
      <c r="C79" s="71"/>
      <c r="D79" s="85"/>
      <c r="E79" s="71">
        <v>1</v>
      </c>
      <c r="F79" s="71"/>
      <c r="G79" s="52">
        <f>SUM(G76+G77+G78)</f>
        <v>488.65999999999997</v>
      </c>
      <c r="H79" s="3"/>
      <c r="I79" s="3"/>
      <c r="J79" s="3"/>
      <c r="K79" s="3"/>
      <c r="L79" s="3"/>
      <c r="M79" s="3"/>
      <c r="N79" s="3"/>
      <c r="O79" s="3"/>
      <c r="Q79" s="3"/>
      <c r="R79" s="3"/>
      <c r="S79" s="3"/>
    </row>
    <row r="80" spans="1:20">
      <c r="A80" s="44"/>
      <c r="B80" s="81" t="s">
        <v>109</v>
      </c>
      <c r="C80" s="22"/>
      <c r="D80" s="22"/>
      <c r="E80" s="72"/>
      <c r="F80" s="73"/>
      <c r="G80" s="25">
        <v>0</v>
      </c>
      <c r="H80" s="5"/>
      <c r="I80" s="5"/>
      <c r="J80" s="5"/>
      <c r="K80" s="5"/>
      <c r="L80" s="5"/>
      <c r="M80" s="5"/>
      <c r="N80" s="5"/>
      <c r="O80" s="5"/>
      <c r="P80" s="179"/>
      <c r="Q80" s="179"/>
      <c r="R80" s="179"/>
      <c r="S80" s="179"/>
    </row>
    <row r="81" spans="1:19">
      <c r="A81" s="86"/>
      <c r="B81" s="76" t="s">
        <v>61</v>
      </c>
      <c r="C81" s="59"/>
      <c r="D81" s="59"/>
      <c r="E81" s="59"/>
      <c r="F81" s="59"/>
      <c r="G81" s="74">
        <f>G74+G79</f>
        <v>12426.130000000005</v>
      </c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</row>
    <row r="82" spans="1:19" ht="15.75" customHeight="1">
      <c r="A82" s="181" t="s">
        <v>143</v>
      </c>
      <c r="B82" s="181"/>
      <c r="C82" s="181"/>
      <c r="D82" s="181"/>
      <c r="E82" s="181"/>
      <c r="F82" s="181"/>
      <c r="G82" s="181"/>
    </row>
    <row r="83" spans="1:19" ht="15.75" customHeight="1">
      <c r="A83" s="92"/>
      <c r="B83" s="182" t="s">
        <v>144</v>
      </c>
      <c r="C83" s="182"/>
      <c r="D83" s="182"/>
      <c r="E83" s="182"/>
      <c r="F83" s="182"/>
      <c r="G83" s="3"/>
    </row>
    <row r="84" spans="1:19" ht="15.75" customHeight="1">
      <c r="A84" s="89"/>
      <c r="B84" s="183" t="s">
        <v>6</v>
      </c>
      <c r="C84" s="183"/>
      <c r="D84" s="183"/>
      <c r="E84" s="183"/>
      <c r="F84" s="183"/>
      <c r="G84" s="5"/>
    </row>
    <row r="85" spans="1:19">
      <c r="A85" s="12"/>
      <c r="B85" s="12"/>
      <c r="C85" s="12"/>
      <c r="D85" s="12"/>
      <c r="E85" s="12"/>
      <c r="F85" s="12"/>
      <c r="G85" s="12"/>
    </row>
    <row r="86" spans="1:19" ht="15.75">
      <c r="A86" s="184" t="s">
        <v>7</v>
      </c>
      <c r="B86" s="184"/>
      <c r="C86" s="184"/>
      <c r="D86" s="184"/>
      <c r="E86" s="184"/>
      <c r="F86" s="184"/>
      <c r="G86" s="184"/>
    </row>
    <row r="87" spans="1:19" ht="15.75">
      <c r="A87" s="184" t="s">
        <v>8</v>
      </c>
      <c r="B87" s="184"/>
      <c r="C87" s="184"/>
      <c r="D87" s="184"/>
      <c r="E87" s="184"/>
      <c r="F87" s="184"/>
      <c r="G87" s="184"/>
    </row>
    <row r="88" spans="1:19" ht="15.75" customHeight="1">
      <c r="A88" s="185" t="s">
        <v>79</v>
      </c>
      <c r="B88" s="185"/>
      <c r="C88" s="185"/>
      <c r="D88" s="185"/>
      <c r="E88" s="185"/>
      <c r="F88" s="185"/>
      <c r="G88" s="185"/>
    </row>
    <row r="89" spans="1:19" ht="15.75">
      <c r="A89" s="13"/>
    </row>
    <row r="90" spans="1:19" ht="15.75" customHeight="1">
      <c r="A90" s="191" t="s">
        <v>9</v>
      </c>
      <c r="B90" s="191"/>
      <c r="C90" s="191"/>
      <c r="D90" s="191"/>
      <c r="E90" s="191"/>
      <c r="F90" s="191"/>
      <c r="G90" s="191"/>
    </row>
    <row r="91" spans="1:19" ht="15.75" customHeight="1">
      <c r="A91" s="4"/>
    </row>
    <row r="92" spans="1:19" ht="15.75" customHeight="1">
      <c r="B92" s="87" t="s">
        <v>10</v>
      </c>
      <c r="C92" s="204" t="s">
        <v>125</v>
      </c>
      <c r="D92" s="204"/>
      <c r="E92" s="204"/>
      <c r="G92" s="90"/>
    </row>
    <row r="93" spans="1:19">
      <c r="A93" s="89"/>
      <c r="C93" s="183" t="s">
        <v>11</v>
      </c>
      <c r="D93" s="183"/>
      <c r="E93" s="183"/>
      <c r="G93" s="88" t="s">
        <v>12</v>
      </c>
    </row>
    <row r="94" spans="1:19" ht="15.75">
      <c r="A94" s="40"/>
      <c r="C94" s="14"/>
      <c r="D94" s="14"/>
      <c r="F94" s="14"/>
    </row>
    <row r="95" spans="1:19" ht="15.75">
      <c r="B95" s="87" t="s">
        <v>13</v>
      </c>
      <c r="C95" s="178"/>
      <c r="D95" s="178"/>
      <c r="E95" s="178"/>
      <c r="G95" s="90"/>
    </row>
    <row r="96" spans="1:19">
      <c r="A96" s="89"/>
      <c r="C96" s="179" t="s">
        <v>11</v>
      </c>
      <c r="D96" s="179"/>
      <c r="E96" s="179"/>
      <c r="G96" s="88" t="s">
        <v>12</v>
      </c>
    </row>
    <row r="98" spans="1:7" ht="15.75">
      <c r="A98" s="4" t="s">
        <v>14</v>
      </c>
    </row>
    <row r="111" spans="1:7" ht="15.75">
      <c r="A111" s="4" t="s">
        <v>14</v>
      </c>
    </row>
    <row r="112" spans="1:7">
      <c r="A112" s="180" t="s">
        <v>15</v>
      </c>
      <c r="B112" s="180"/>
      <c r="C112" s="180"/>
      <c r="D112" s="180"/>
      <c r="E112" s="180"/>
      <c r="F112" s="180"/>
      <c r="G112" s="180"/>
    </row>
    <row r="113" spans="1:7" ht="16.5">
      <c r="A113" s="189" t="s">
        <v>16</v>
      </c>
      <c r="B113" s="189"/>
      <c r="C113" s="189"/>
      <c r="D113" s="189"/>
      <c r="E113" s="189"/>
      <c r="F113" s="189"/>
      <c r="G113" s="189"/>
    </row>
    <row r="114" spans="1:7" ht="16.5">
      <c r="A114" s="189" t="s">
        <v>17</v>
      </c>
      <c r="B114" s="189"/>
      <c r="C114" s="189"/>
      <c r="D114" s="189"/>
      <c r="E114" s="189"/>
      <c r="F114" s="189"/>
      <c r="G114" s="189"/>
    </row>
    <row r="115" spans="1:7" ht="16.5">
      <c r="A115" s="189" t="s">
        <v>22</v>
      </c>
      <c r="B115" s="189"/>
      <c r="C115" s="189"/>
      <c r="D115" s="189"/>
      <c r="E115" s="189"/>
      <c r="F115" s="189"/>
      <c r="G115" s="189"/>
    </row>
    <row r="116" spans="1:7" ht="16.5">
      <c r="A116" s="189" t="s">
        <v>21</v>
      </c>
      <c r="B116" s="189"/>
      <c r="C116" s="189"/>
      <c r="D116" s="189"/>
      <c r="E116" s="189"/>
      <c r="F116" s="189"/>
      <c r="G116" s="189"/>
    </row>
    <row r="183" spans="1:7" ht="15.75" customHeight="1">
      <c r="A183" s="4" t="s">
        <v>14</v>
      </c>
    </row>
    <row r="184" spans="1:7">
      <c r="A184" s="180" t="s">
        <v>15</v>
      </c>
      <c r="B184" s="180"/>
      <c r="C184" s="180"/>
      <c r="D184" s="180"/>
      <c r="E184" s="180"/>
      <c r="F184" s="180"/>
      <c r="G184" s="180"/>
    </row>
    <row r="185" spans="1:7" ht="16.5">
      <c r="A185" s="189" t="s">
        <v>16</v>
      </c>
      <c r="B185" s="189"/>
      <c r="C185" s="189"/>
      <c r="D185" s="189"/>
      <c r="E185" s="189"/>
      <c r="F185" s="189"/>
      <c r="G185" s="189"/>
    </row>
    <row r="186" spans="1:7" ht="16.5">
      <c r="A186" s="189" t="s">
        <v>17</v>
      </c>
      <c r="B186" s="189"/>
      <c r="C186" s="189"/>
      <c r="D186" s="189"/>
      <c r="E186" s="189"/>
      <c r="F186" s="189"/>
      <c r="G186" s="189"/>
    </row>
    <row r="187" spans="1:7" ht="35.25" customHeight="1">
      <c r="A187" s="189" t="s">
        <v>22</v>
      </c>
      <c r="B187" s="189"/>
      <c r="C187" s="189"/>
      <c r="D187" s="189"/>
      <c r="E187" s="189"/>
      <c r="F187" s="189"/>
      <c r="G187" s="189"/>
    </row>
    <row r="188" spans="1:7" ht="37.5" customHeight="1">
      <c r="A188" s="189" t="s">
        <v>21</v>
      </c>
      <c r="B188" s="189"/>
      <c r="C188" s="189"/>
      <c r="D188" s="189"/>
      <c r="E188" s="189"/>
      <c r="F188" s="189"/>
      <c r="G188" s="189"/>
    </row>
    <row r="190" spans="1:7" ht="27.75" customHeight="1">
      <c r="A190" s="15" t="s">
        <v>20</v>
      </c>
      <c r="B190" s="15"/>
      <c r="C190" s="15"/>
      <c r="D190" s="15"/>
      <c r="E190" s="15"/>
      <c r="F190" s="15"/>
    </row>
  </sheetData>
  <autoFilter ref="G15:G76"/>
  <mergeCells count="35">
    <mergeCell ref="L4:L5"/>
    <mergeCell ref="A5:G5"/>
    <mergeCell ref="A10:G10"/>
    <mergeCell ref="A188:G188"/>
    <mergeCell ref="C92:E92"/>
    <mergeCell ref="A184:G184"/>
    <mergeCell ref="A185:G185"/>
    <mergeCell ref="A186:G186"/>
    <mergeCell ref="A187:G187"/>
    <mergeCell ref="A112:G112"/>
    <mergeCell ref="A113:G113"/>
    <mergeCell ref="A114:G114"/>
    <mergeCell ref="A115:G115"/>
    <mergeCell ref="A116:G116"/>
    <mergeCell ref="C93:E93"/>
    <mergeCell ref="C96:E96"/>
    <mergeCell ref="P80:S80"/>
    <mergeCell ref="A82:G82"/>
    <mergeCell ref="B83:F83"/>
    <mergeCell ref="B84:F84"/>
    <mergeCell ref="A87:G87"/>
    <mergeCell ref="A90:G90"/>
    <mergeCell ref="C95:E95"/>
    <mergeCell ref="A88:G88"/>
    <mergeCell ref="A86:G86"/>
    <mergeCell ref="A22:G22"/>
    <mergeCell ref="A38:G38"/>
    <mergeCell ref="A49:G49"/>
    <mergeCell ref="B53:F53"/>
    <mergeCell ref="B64:F64"/>
    <mergeCell ref="A3:G3"/>
    <mergeCell ref="A4:G4"/>
    <mergeCell ref="A8:G8"/>
    <mergeCell ref="A15:G15"/>
    <mergeCell ref="A16:G16"/>
  </mergeCells>
  <pageMargins left="0.70866141732283472" right="0.23622047244094491" top="0.31496062992125984" bottom="0.27559055118110237" header="0.31496062992125984" footer="0.31496062992125984"/>
  <pageSetup paperSize="9" scale="38" fitToHeight="0" orientation="portrait" r:id="rId1"/>
  <rowBreaks count="3" manualBreakCount="3">
    <brk id="30" max="6" man="1"/>
    <brk id="53" max="6" man="1"/>
    <brk id="81" max="6" man="1"/>
  </rowBreaks>
  <colBreaks count="1" manualBreakCount="1">
    <brk id="7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>
  <dimension ref="A1:T106"/>
  <sheetViews>
    <sheetView workbookViewId="0">
      <selection activeCell="A3" sqref="A3:G3"/>
    </sheetView>
  </sheetViews>
  <sheetFormatPr defaultRowHeight="15"/>
  <cols>
    <col min="1" max="1" width="6.42578125" customWidth="1"/>
    <col min="2" max="2" width="52.7109375" customWidth="1"/>
    <col min="3" max="3" width="18.42578125" customWidth="1"/>
    <col min="4" max="4" width="18.140625" customWidth="1"/>
    <col min="5" max="5" width="18.85546875" hidden="1" customWidth="1"/>
    <col min="6" max="7" width="22.5703125" customWidth="1"/>
    <col min="8" max="8" width="11.140625" customWidth="1"/>
  </cols>
  <sheetData>
    <row r="1" spans="1:11" ht="15.75" customHeight="1">
      <c r="A1" s="42" t="s">
        <v>136</v>
      </c>
      <c r="G1" s="41"/>
      <c r="H1" s="1"/>
      <c r="I1" s="1"/>
      <c r="J1" s="1"/>
      <c r="K1" s="1"/>
    </row>
    <row r="2" spans="1:11" ht="15.75">
      <c r="A2" s="43" t="s">
        <v>82</v>
      </c>
      <c r="H2" s="2"/>
      <c r="I2" s="2"/>
      <c r="J2" s="2"/>
      <c r="K2" s="2"/>
    </row>
    <row r="3" spans="1:11" ht="15.75" customHeight="1">
      <c r="A3" s="172" t="s">
        <v>174</v>
      </c>
      <c r="B3" s="172"/>
      <c r="C3" s="172"/>
      <c r="D3" s="172"/>
      <c r="E3" s="172"/>
      <c r="F3" s="172"/>
      <c r="G3" s="172"/>
      <c r="H3" s="3"/>
      <c r="I3" s="3"/>
      <c r="J3" s="3"/>
    </row>
    <row r="4" spans="1:11" ht="31.5" customHeight="1">
      <c r="A4" s="173" t="s">
        <v>280</v>
      </c>
      <c r="B4" s="173"/>
      <c r="C4" s="173"/>
      <c r="D4" s="173"/>
      <c r="E4" s="173"/>
      <c r="F4" s="173"/>
      <c r="G4" s="173"/>
    </row>
    <row r="5" spans="1:11" ht="15.75">
      <c r="A5" s="172" t="s">
        <v>175</v>
      </c>
      <c r="B5" s="174"/>
      <c r="C5" s="174"/>
      <c r="D5" s="174"/>
      <c r="E5" s="174"/>
      <c r="F5" s="174"/>
      <c r="G5" s="174"/>
      <c r="H5" s="2"/>
      <c r="I5" s="2"/>
      <c r="J5" s="2"/>
      <c r="K5" s="2"/>
    </row>
    <row r="6" spans="1:11" ht="15.75">
      <c r="A6" s="2"/>
      <c r="B6" s="91"/>
      <c r="C6" s="91"/>
      <c r="D6" s="91"/>
      <c r="E6" s="91"/>
      <c r="F6" s="91"/>
      <c r="G6" s="45">
        <v>42735</v>
      </c>
      <c r="H6" s="2"/>
      <c r="I6" s="2"/>
      <c r="J6" s="2"/>
      <c r="K6" s="2"/>
    </row>
    <row r="7" spans="1:11" ht="15.75">
      <c r="B7" s="87"/>
      <c r="C7" s="87"/>
      <c r="D7" s="87"/>
      <c r="E7" s="3"/>
      <c r="F7" s="3"/>
      <c r="H7" s="3"/>
      <c r="I7" s="3"/>
      <c r="J7" s="3"/>
      <c r="K7" s="3"/>
    </row>
    <row r="8" spans="1:11" ht="78.75" customHeight="1">
      <c r="A8" s="175" t="s">
        <v>189</v>
      </c>
      <c r="B8" s="175"/>
      <c r="C8" s="175"/>
      <c r="D8" s="175"/>
      <c r="E8" s="175"/>
      <c r="F8" s="175"/>
      <c r="G8" s="175"/>
      <c r="H8" s="5"/>
      <c r="I8" s="5"/>
      <c r="J8" s="5"/>
      <c r="K8" s="5"/>
    </row>
    <row r="9" spans="1:11" ht="15.75">
      <c r="A9" s="4"/>
      <c r="H9" s="2"/>
      <c r="I9" s="2"/>
      <c r="J9" s="2"/>
      <c r="K9" s="2"/>
    </row>
    <row r="10" spans="1:11" ht="47.25" customHeight="1">
      <c r="A10" s="176" t="s">
        <v>190</v>
      </c>
      <c r="B10" s="176"/>
      <c r="C10" s="176"/>
      <c r="D10" s="176"/>
      <c r="E10" s="176"/>
      <c r="F10" s="176"/>
      <c r="G10" s="176"/>
      <c r="H10" s="2"/>
      <c r="I10" s="2"/>
      <c r="J10" s="2"/>
      <c r="K10" s="2"/>
    </row>
    <row r="11" spans="1:11" ht="15.75">
      <c r="A11" s="4"/>
    </row>
    <row r="12" spans="1:11" ht="75">
      <c r="A12" s="22" t="s">
        <v>0</v>
      </c>
      <c r="B12" s="22" t="s">
        <v>181</v>
      </c>
      <c r="C12" s="22" t="s">
        <v>2</v>
      </c>
      <c r="D12" s="22" t="s">
        <v>18</v>
      </c>
      <c r="E12" s="22" t="s">
        <v>19</v>
      </c>
      <c r="F12" s="22" t="s">
        <v>23</v>
      </c>
      <c r="G12" s="22" t="s">
        <v>3</v>
      </c>
    </row>
    <row r="13" spans="1:11">
      <c r="A13" s="109">
        <v>1</v>
      </c>
      <c r="B13" s="109">
        <v>2</v>
      </c>
      <c r="C13" s="109">
        <v>3</v>
      </c>
      <c r="D13" s="109">
        <v>4</v>
      </c>
      <c r="E13" s="109">
        <v>5</v>
      </c>
      <c r="F13" s="109">
        <v>5</v>
      </c>
      <c r="G13" s="109">
        <v>6</v>
      </c>
      <c r="H13" s="10"/>
      <c r="I13" s="10"/>
      <c r="J13" s="10"/>
      <c r="K13" s="10"/>
    </row>
    <row r="14" spans="1:11" ht="15" customHeight="1">
      <c r="A14" s="177" t="s">
        <v>74</v>
      </c>
      <c r="B14" s="177"/>
      <c r="C14" s="177"/>
      <c r="D14" s="177"/>
      <c r="E14" s="177"/>
      <c r="F14" s="177"/>
      <c r="G14" s="177"/>
      <c r="H14" s="10"/>
      <c r="I14" s="10"/>
      <c r="J14" s="10"/>
      <c r="K14" s="10"/>
    </row>
    <row r="15" spans="1:11">
      <c r="A15" s="171" t="s">
        <v>4</v>
      </c>
      <c r="B15" s="171"/>
      <c r="C15" s="171"/>
      <c r="D15" s="171"/>
      <c r="E15" s="171"/>
      <c r="F15" s="171"/>
      <c r="G15" s="171"/>
      <c r="H15" s="10"/>
      <c r="I15" s="10"/>
      <c r="J15" s="10"/>
      <c r="K15" s="10"/>
    </row>
    <row r="16" spans="1:11" ht="30">
      <c r="A16" s="44">
        <v>1</v>
      </c>
      <c r="B16" s="55" t="s">
        <v>147</v>
      </c>
      <c r="C16" s="69" t="s">
        <v>148</v>
      </c>
      <c r="D16" s="55" t="s">
        <v>149</v>
      </c>
      <c r="E16" s="44"/>
      <c r="F16" s="54">
        <v>218.21</v>
      </c>
      <c r="G16" s="44">
        <v>1080.79</v>
      </c>
      <c r="H16" s="36"/>
      <c r="I16" s="10"/>
      <c r="J16" s="10"/>
      <c r="K16" s="10"/>
    </row>
    <row r="17" spans="1:11" ht="31.5" customHeight="1">
      <c r="A17" s="44">
        <v>2</v>
      </c>
      <c r="B17" s="55" t="s">
        <v>150</v>
      </c>
      <c r="C17" s="69" t="s">
        <v>148</v>
      </c>
      <c r="D17" s="55" t="s">
        <v>151</v>
      </c>
      <c r="E17" s="44"/>
      <c r="F17" s="54">
        <v>218.21</v>
      </c>
      <c r="G17" s="44">
        <v>2163.48</v>
      </c>
      <c r="H17" s="37"/>
      <c r="I17" s="10"/>
      <c r="J17" s="10"/>
      <c r="K17" s="10"/>
    </row>
    <row r="18" spans="1:11" ht="31.5" customHeight="1">
      <c r="A18" s="44">
        <v>3</v>
      </c>
      <c r="B18" s="55" t="s">
        <v>152</v>
      </c>
      <c r="C18" s="69" t="s">
        <v>148</v>
      </c>
      <c r="D18" s="55" t="s">
        <v>153</v>
      </c>
      <c r="E18" s="44"/>
      <c r="F18" s="54">
        <v>627.77</v>
      </c>
      <c r="G18" s="108">
        <v>1914.7</v>
      </c>
      <c r="H18" s="37"/>
      <c r="I18" s="10"/>
      <c r="J18" s="10"/>
      <c r="K18" s="10"/>
    </row>
    <row r="19" spans="1:11" ht="15.75" customHeight="1">
      <c r="A19" s="70">
        <v>4</v>
      </c>
      <c r="B19" s="64" t="s">
        <v>86</v>
      </c>
      <c r="C19" s="65" t="s">
        <v>35</v>
      </c>
      <c r="D19" s="64" t="s">
        <v>26</v>
      </c>
      <c r="E19" s="25">
        <v>506.1</v>
      </c>
      <c r="F19" s="54">
        <v>182.96</v>
      </c>
      <c r="G19" s="26">
        <v>556.5</v>
      </c>
      <c r="H19" s="37"/>
      <c r="I19" s="10"/>
      <c r="J19" s="10"/>
      <c r="K19" s="10"/>
    </row>
    <row r="20" spans="1:11" ht="15.75" customHeight="1">
      <c r="A20" s="70">
        <v>5</v>
      </c>
      <c r="B20" s="16" t="s">
        <v>24</v>
      </c>
      <c r="C20" s="17" t="s">
        <v>25</v>
      </c>
      <c r="D20" s="44"/>
      <c r="E20" s="25">
        <v>506.1</v>
      </c>
      <c r="F20" s="54">
        <v>3.43</v>
      </c>
      <c r="G20" s="26">
        <v>7074.38</v>
      </c>
      <c r="H20" s="37"/>
      <c r="I20" s="10"/>
      <c r="J20" s="10"/>
      <c r="K20" s="10"/>
    </row>
    <row r="21" spans="1:11" ht="15.75" customHeight="1">
      <c r="A21" s="171" t="s">
        <v>130</v>
      </c>
      <c r="B21" s="171"/>
      <c r="C21" s="171"/>
      <c r="D21" s="171"/>
      <c r="E21" s="171"/>
      <c r="F21" s="171"/>
      <c r="G21" s="171"/>
      <c r="H21" s="37"/>
      <c r="I21" s="10"/>
      <c r="J21" s="10"/>
      <c r="K21" s="10"/>
    </row>
    <row r="22" spans="1:11" ht="15.75" hidden="1" customHeight="1">
      <c r="A22" s="70"/>
      <c r="B22" s="80" t="s">
        <v>31</v>
      </c>
      <c r="C22" s="80"/>
      <c r="D22" s="80"/>
      <c r="E22" s="80"/>
      <c r="F22" s="80"/>
      <c r="G22" s="26"/>
      <c r="H22" s="37"/>
      <c r="I22" s="10"/>
      <c r="J22" s="10"/>
      <c r="K22" s="10"/>
    </row>
    <row r="23" spans="1:11" ht="15.75" hidden="1" customHeight="1">
      <c r="A23" s="70">
        <v>2</v>
      </c>
      <c r="B23" s="21" t="s">
        <v>83</v>
      </c>
      <c r="C23" s="23" t="s">
        <v>32</v>
      </c>
      <c r="D23" s="44" t="s">
        <v>133</v>
      </c>
      <c r="E23" s="20">
        <v>2.31</v>
      </c>
      <c r="F23" s="61">
        <v>155.88999999999999</v>
      </c>
      <c r="G23" s="19">
        <v>187.63</v>
      </c>
      <c r="H23" s="37"/>
      <c r="I23" s="10"/>
      <c r="J23" s="10"/>
      <c r="K23" s="10"/>
    </row>
    <row r="24" spans="1:11" ht="15" hidden="1" customHeight="1">
      <c r="A24" s="70">
        <v>3</v>
      </c>
      <c r="B24" s="21" t="s">
        <v>135</v>
      </c>
      <c r="C24" s="23" t="s">
        <v>32</v>
      </c>
      <c r="D24" s="44" t="s">
        <v>134</v>
      </c>
      <c r="E24" s="19">
        <f>0.0024*3*4.5</f>
        <v>3.2399999999999998E-2</v>
      </c>
      <c r="F24" s="61">
        <v>258.63</v>
      </c>
      <c r="G24" s="26">
        <v>836.01</v>
      </c>
      <c r="H24" s="37"/>
      <c r="I24" s="10"/>
      <c r="J24" s="10"/>
      <c r="K24" s="10"/>
    </row>
    <row r="25" spans="1:11" hidden="1">
      <c r="A25" s="70">
        <v>4</v>
      </c>
      <c r="B25" s="64" t="s">
        <v>87</v>
      </c>
      <c r="C25" s="65" t="s">
        <v>35</v>
      </c>
      <c r="D25" s="70" t="s">
        <v>28</v>
      </c>
      <c r="E25" s="24">
        <v>0</v>
      </c>
      <c r="F25" s="61">
        <v>191.32</v>
      </c>
      <c r="G25" s="26">
        <v>0</v>
      </c>
      <c r="H25" s="37"/>
      <c r="I25" s="10"/>
      <c r="J25" s="10"/>
      <c r="K25" s="10"/>
    </row>
    <row r="26" spans="1:11" ht="16.5" hidden="1" customHeight="1">
      <c r="A26" s="70">
        <v>5</v>
      </c>
      <c r="B26" s="21" t="s">
        <v>30</v>
      </c>
      <c r="C26" s="23" t="s">
        <v>32</v>
      </c>
      <c r="D26" s="44" t="s">
        <v>84</v>
      </c>
      <c r="E26" s="24">
        <v>0</v>
      </c>
      <c r="F26" s="19">
        <v>3020.33</v>
      </c>
      <c r="G26" s="26">
        <v>0</v>
      </c>
      <c r="H26" s="37"/>
      <c r="I26" s="10"/>
      <c r="J26" s="10"/>
      <c r="K26" s="10"/>
    </row>
    <row r="27" spans="1:11" ht="16.5" hidden="1" customHeight="1">
      <c r="A27" s="70">
        <v>4</v>
      </c>
      <c r="B27" s="21" t="s">
        <v>118</v>
      </c>
      <c r="C27" s="23" t="s">
        <v>33</v>
      </c>
      <c r="D27" s="44" t="s">
        <v>85</v>
      </c>
      <c r="E27" s="19">
        <v>3.75</v>
      </c>
      <c r="F27" s="61">
        <v>56.69</v>
      </c>
      <c r="G27" s="19">
        <v>488.16</v>
      </c>
      <c r="H27" s="37"/>
      <c r="I27" s="10"/>
      <c r="J27" s="10"/>
      <c r="K27" s="10"/>
    </row>
    <row r="28" spans="1:11" ht="16.5" hidden="1" customHeight="1">
      <c r="A28" s="44">
        <v>7</v>
      </c>
      <c r="B28" s="64" t="s">
        <v>86</v>
      </c>
      <c r="C28" s="65" t="s">
        <v>35</v>
      </c>
      <c r="D28" s="70" t="s">
        <v>131</v>
      </c>
      <c r="E28" s="19">
        <v>0</v>
      </c>
      <c r="F28" s="61">
        <v>147.03</v>
      </c>
      <c r="G28" s="19">
        <v>447.22</v>
      </c>
      <c r="H28" s="37"/>
      <c r="I28" s="10"/>
      <c r="J28" s="10"/>
      <c r="K28" s="10"/>
    </row>
    <row r="29" spans="1:11" hidden="1">
      <c r="A29" s="44">
        <v>8</v>
      </c>
      <c r="B29" s="64" t="s">
        <v>88</v>
      </c>
      <c r="C29" s="65" t="s">
        <v>34</v>
      </c>
      <c r="D29" s="70" t="s">
        <v>28</v>
      </c>
      <c r="E29" s="19"/>
      <c r="F29" s="61">
        <v>1136.33</v>
      </c>
      <c r="G29" s="19">
        <v>0</v>
      </c>
      <c r="H29" s="37"/>
      <c r="I29" s="10"/>
      <c r="J29" s="10"/>
      <c r="K29" s="10"/>
    </row>
    <row r="30" spans="1:11">
      <c r="A30" s="70"/>
      <c r="B30" s="78" t="s">
        <v>5</v>
      </c>
      <c r="C30" s="78"/>
      <c r="D30" s="78"/>
      <c r="E30" s="19"/>
      <c r="F30" s="20"/>
      <c r="G30" s="26"/>
      <c r="H30" s="37"/>
      <c r="I30" s="10"/>
      <c r="J30" s="10"/>
      <c r="K30" s="10"/>
    </row>
    <row r="31" spans="1:11" ht="13.5" customHeight="1">
      <c r="A31" s="56">
        <v>6</v>
      </c>
      <c r="B31" s="57" t="s">
        <v>29</v>
      </c>
      <c r="C31" s="69" t="s">
        <v>34</v>
      </c>
      <c r="D31" s="55"/>
      <c r="E31" s="19">
        <v>0</v>
      </c>
      <c r="F31" s="54">
        <v>1900.37</v>
      </c>
      <c r="G31" s="19">
        <v>1583.64</v>
      </c>
      <c r="H31" s="37"/>
      <c r="I31" s="10"/>
      <c r="J31" s="10"/>
      <c r="K31" s="10"/>
    </row>
    <row r="32" spans="1:11">
      <c r="A32" s="56">
        <v>7</v>
      </c>
      <c r="B32" s="57" t="s">
        <v>161</v>
      </c>
      <c r="C32" s="106" t="s">
        <v>32</v>
      </c>
      <c r="D32" s="57" t="s">
        <v>162</v>
      </c>
      <c r="E32" s="19">
        <v>0</v>
      </c>
      <c r="F32" s="58">
        <v>2616.4899999999998</v>
      </c>
      <c r="G32" s="19">
        <v>761.4</v>
      </c>
      <c r="H32" s="37"/>
      <c r="I32" s="10"/>
      <c r="J32" s="10"/>
      <c r="K32" s="10"/>
    </row>
    <row r="33" spans="1:12" ht="15" hidden="1" customHeight="1">
      <c r="A33" s="56">
        <v>5</v>
      </c>
      <c r="B33" s="55" t="s">
        <v>163</v>
      </c>
      <c r="C33" s="69" t="s">
        <v>164</v>
      </c>
      <c r="D33" s="55" t="s">
        <v>89</v>
      </c>
      <c r="E33" s="19">
        <v>0</v>
      </c>
      <c r="F33" s="54">
        <v>226.84</v>
      </c>
      <c r="G33" s="19">
        <v>0</v>
      </c>
      <c r="H33" s="37"/>
      <c r="I33" s="10"/>
      <c r="J33" s="10"/>
      <c r="K33" s="10"/>
    </row>
    <row r="34" spans="1:12" ht="15" customHeight="1">
      <c r="A34" s="56">
        <v>8</v>
      </c>
      <c r="B34" s="55" t="s">
        <v>92</v>
      </c>
      <c r="C34" s="69" t="s">
        <v>32</v>
      </c>
      <c r="D34" s="55" t="s">
        <v>165</v>
      </c>
      <c r="E34" s="19">
        <v>0</v>
      </c>
      <c r="F34" s="54">
        <v>436.45</v>
      </c>
      <c r="G34" s="19">
        <v>656.2</v>
      </c>
      <c r="H34" s="37"/>
      <c r="I34" s="10"/>
    </row>
    <row r="35" spans="1:12" ht="45" customHeight="1">
      <c r="A35" s="56">
        <v>9</v>
      </c>
      <c r="B35" s="55" t="s">
        <v>128</v>
      </c>
      <c r="C35" s="69" t="s">
        <v>166</v>
      </c>
      <c r="D35" s="55" t="s">
        <v>167</v>
      </c>
      <c r="E35" s="19">
        <v>0</v>
      </c>
      <c r="F35" s="54">
        <v>7221.21</v>
      </c>
      <c r="G35" s="19">
        <v>1061.52</v>
      </c>
      <c r="H35" s="38"/>
    </row>
    <row r="36" spans="1:12" ht="24" customHeight="1">
      <c r="A36" s="56">
        <v>10</v>
      </c>
      <c r="B36" s="55" t="s">
        <v>168</v>
      </c>
      <c r="C36" s="69" t="s">
        <v>166</v>
      </c>
      <c r="D36" s="55" t="s">
        <v>169</v>
      </c>
      <c r="E36" s="19"/>
      <c r="F36" s="54">
        <v>533.45000000000005</v>
      </c>
      <c r="G36" s="19">
        <v>103.49</v>
      </c>
      <c r="H36" s="38"/>
    </row>
    <row r="37" spans="1:12" ht="24" customHeight="1">
      <c r="A37" s="56">
        <v>11</v>
      </c>
      <c r="B37" s="57" t="s">
        <v>96</v>
      </c>
      <c r="C37" s="106" t="s">
        <v>35</v>
      </c>
      <c r="D37" s="57"/>
      <c r="E37" s="19">
        <v>0</v>
      </c>
      <c r="F37" s="58">
        <v>992.97</v>
      </c>
      <c r="G37" s="19">
        <v>148.94999999999999</v>
      </c>
      <c r="H37" s="38"/>
    </row>
    <row r="38" spans="1:12" ht="15.75" customHeight="1">
      <c r="A38" s="196" t="s">
        <v>186</v>
      </c>
      <c r="B38" s="197"/>
      <c r="C38" s="197"/>
      <c r="D38" s="197"/>
      <c r="E38" s="197"/>
      <c r="F38" s="197"/>
      <c r="G38" s="198"/>
      <c r="H38" s="38"/>
    </row>
    <row r="39" spans="1:12" ht="23.25" hidden="1" customHeight="1">
      <c r="A39" s="70">
        <v>15</v>
      </c>
      <c r="B39" s="21" t="s">
        <v>36</v>
      </c>
      <c r="C39" s="23" t="s">
        <v>32</v>
      </c>
      <c r="D39" s="44" t="s">
        <v>77</v>
      </c>
      <c r="E39" s="26">
        <v>0.42</v>
      </c>
      <c r="F39" s="61">
        <v>809.74</v>
      </c>
      <c r="G39" s="27">
        <v>0</v>
      </c>
      <c r="H39" s="38"/>
    </row>
    <row r="40" spans="1:12" ht="23.25" hidden="1" customHeight="1">
      <c r="A40" s="70">
        <v>16</v>
      </c>
      <c r="B40" s="21" t="s">
        <v>37</v>
      </c>
      <c r="C40" s="23" t="s">
        <v>38</v>
      </c>
      <c r="D40" s="44" t="s">
        <v>77</v>
      </c>
      <c r="E40" s="26">
        <v>1.35</v>
      </c>
      <c r="F40" s="61">
        <v>72.81</v>
      </c>
      <c r="G40" s="27">
        <v>0</v>
      </c>
      <c r="H40" s="38"/>
    </row>
    <row r="41" spans="1:12" ht="30.75" hidden="1" customHeight="1">
      <c r="A41" s="70">
        <v>17</v>
      </c>
      <c r="B41" s="21" t="s">
        <v>39</v>
      </c>
      <c r="C41" s="23" t="s">
        <v>32</v>
      </c>
      <c r="D41" s="44" t="s">
        <v>77</v>
      </c>
      <c r="E41" s="26">
        <v>0.03</v>
      </c>
      <c r="F41" s="61">
        <v>579.48</v>
      </c>
      <c r="G41" s="27">
        <v>0</v>
      </c>
      <c r="H41" s="38"/>
    </row>
    <row r="42" spans="1:12" ht="30.75" hidden="1" customHeight="1">
      <c r="A42" s="70">
        <v>18</v>
      </c>
      <c r="B42" s="21" t="s">
        <v>40</v>
      </c>
      <c r="C42" s="23" t="s">
        <v>32</v>
      </c>
      <c r="D42" s="44" t="s">
        <v>77</v>
      </c>
      <c r="E42" s="26">
        <v>0.33</v>
      </c>
      <c r="F42" s="61">
        <v>579.48</v>
      </c>
      <c r="G42" s="27">
        <v>0</v>
      </c>
      <c r="H42" s="38"/>
      <c r="J42" s="28"/>
      <c r="K42" s="29"/>
      <c r="L42" s="30"/>
    </row>
    <row r="43" spans="1:12" ht="31.5" customHeight="1">
      <c r="A43" s="70">
        <v>12</v>
      </c>
      <c r="B43" s="21" t="s">
        <v>124</v>
      </c>
      <c r="C43" s="23" t="s">
        <v>32</v>
      </c>
      <c r="D43" s="44" t="s">
        <v>77</v>
      </c>
      <c r="E43" s="26">
        <v>0.22</v>
      </c>
      <c r="F43" s="61">
        <v>1711.28</v>
      </c>
      <c r="G43" s="19">
        <v>3529.52</v>
      </c>
      <c r="H43" s="38"/>
      <c r="J43" s="28"/>
      <c r="K43" s="29"/>
      <c r="L43" s="30"/>
    </row>
    <row r="44" spans="1:12" ht="14.25" hidden="1" customHeight="1">
      <c r="A44" s="70">
        <v>12</v>
      </c>
      <c r="B44" s="21" t="s">
        <v>154</v>
      </c>
      <c r="C44" s="23" t="s">
        <v>32</v>
      </c>
      <c r="D44" s="44" t="s">
        <v>77</v>
      </c>
      <c r="E44" s="26">
        <v>0.22</v>
      </c>
      <c r="F44" s="61">
        <v>1510.06</v>
      </c>
      <c r="G44" s="27">
        <v>3114.5</v>
      </c>
      <c r="H44" s="38"/>
      <c r="J44" s="28"/>
      <c r="K44" s="29"/>
      <c r="L44" s="30"/>
    </row>
    <row r="45" spans="1:12" ht="16.5" hidden="1" customHeight="1">
      <c r="A45" s="70">
        <v>13</v>
      </c>
      <c r="B45" s="21" t="s">
        <v>155</v>
      </c>
      <c r="C45" s="23" t="s">
        <v>44</v>
      </c>
      <c r="D45" s="44" t="s">
        <v>77</v>
      </c>
      <c r="E45" s="26">
        <v>0.02</v>
      </c>
      <c r="F45" s="61">
        <v>3850.4</v>
      </c>
      <c r="G45" s="27">
        <v>462.05</v>
      </c>
      <c r="H45" s="38"/>
      <c r="J45" s="28"/>
      <c r="K45" s="29"/>
      <c r="L45" s="30"/>
    </row>
    <row r="46" spans="1:12" ht="17.25" hidden="1" customHeight="1">
      <c r="A46" s="70">
        <v>14</v>
      </c>
      <c r="B46" s="21" t="s">
        <v>45</v>
      </c>
      <c r="C46" s="23" t="s">
        <v>46</v>
      </c>
      <c r="D46" s="44" t="s">
        <v>77</v>
      </c>
      <c r="E46" s="26">
        <v>0.01</v>
      </c>
      <c r="F46" s="61">
        <v>7033.13</v>
      </c>
      <c r="G46" s="27">
        <v>70.33</v>
      </c>
      <c r="H46" s="38"/>
      <c r="J46" s="28"/>
      <c r="K46" s="29"/>
      <c r="L46" s="30"/>
    </row>
    <row r="47" spans="1:12" ht="15" hidden="1" customHeight="1">
      <c r="A47" s="70">
        <v>23</v>
      </c>
      <c r="B47" s="21" t="s">
        <v>47</v>
      </c>
      <c r="C47" s="23" t="s">
        <v>33</v>
      </c>
      <c r="D47" s="70" t="s">
        <v>97</v>
      </c>
      <c r="E47" s="26">
        <v>8</v>
      </c>
      <c r="F47" s="62">
        <v>141.12</v>
      </c>
      <c r="G47" s="19">
        <v>0</v>
      </c>
      <c r="H47" s="38"/>
      <c r="J47" s="28"/>
      <c r="K47" s="29"/>
      <c r="L47" s="30"/>
    </row>
    <row r="48" spans="1:12" ht="13.5" hidden="1" customHeight="1">
      <c r="A48" s="70">
        <v>24</v>
      </c>
      <c r="B48" s="21" t="s">
        <v>48</v>
      </c>
      <c r="C48" s="23" t="s">
        <v>33</v>
      </c>
      <c r="D48" s="70" t="s">
        <v>97</v>
      </c>
      <c r="E48" s="26">
        <v>16</v>
      </c>
      <c r="F48" s="62">
        <v>65.67</v>
      </c>
      <c r="G48" s="19">
        <v>0</v>
      </c>
      <c r="H48" s="38"/>
      <c r="J48" s="28"/>
      <c r="K48" s="29"/>
      <c r="L48" s="30"/>
    </row>
    <row r="49" spans="1:12" ht="15.75" customHeight="1">
      <c r="A49" s="196" t="s">
        <v>187</v>
      </c>
      <c r="B49" s="199"/>
      <c r="C49" s="199"/>
      <c r="D49" s="199"/>
      <c r="E49" s="199"/>
      <c r="F49" s="199"/>
      <c r="G49" s="200"/>
      <c r="H49" s="38"/>
      <c r="J49" s="28"/>
      <c r="K49" s="29"/>
      <c r="L49" s="30"/>
    </row>
    <row r="50" spans="1:12" ht="17.25" customHeight="1">
      <c r="A50" s="128"/>
      <c r="B50" s="77" t="s">
        <v>50</v>
      </c>
      <c r="C50" s="23"/>
      <c r="D50" s="22"/>
      <c r="E50" s="22"/>
      <c r="F50" s="44"/>
      <c r="G50" s="26"/>
      <c r="H50" s="38"/>
      <c r="J50" s="28"/>
      <c r="K50" s="29"/>
      <c r="L50" s="30"/>
    </row>
    <row r="51" spans="1:12" ht="47.25" customHeight="1">
      <c r="A51" s="70">
        <v>13</v>
      </c>
      <c r="B51" s="21" t="s">
        <v>121</v>
      </c>
      <c r="C51" s="23" t="s">
        <v>62</v>
      </c>
      <c r="D51" s="22" t="s">
        <v>98</v>
      </c>
      <c r="E51" s="26">
        <v>0</v>
      </c>
      <c r="F51" s="61">
        <v>2306.62</v>
      </c>
      <c r="G51" s="27">
        <v>1275.56</v>
      </c>
      <c r="H51" s="38"/>
      <c r="J51" s="28"/>
      <c r="K51" s="29"/>
      <c r="L51" s="30"/>
    </row>
    <row r="52" spans="1:12" ht="16.5" hidden="1" customHeight="1">
      <c r="A52" s="70">
        <v>26</v>
      </c>
      <c r="B52" s="64" t="s">
        <v>111</v>
      </c>
      <c r="C52" s="23" t="s">
        <v>62</v>
      </c>
      <c r="D52" s="22" t="s">
        <v>112</v>
      </c>
      <c r="E52" s="26"/>
      <c r="F52" s="61">
        <v>1547.28</v>
      </c>
      <c r="G52" s="27">
        <v>0</v>
      </c>
      <c r="H52" s="38"/>
      <c r="J52" s="28"/>
      <c r="K52" s="29"/>
      <c r="L52" s="30"/>
    </row>
    <row r="53" spans="1:12" ht="16.5" customHeight="1">
      <c r="A53" s="70"/>
      <c r="B53" s="127" t="s">
        <v>51</v>
      </c>
      <c r="C53" s="127"/>
      <c r="D53" s="127"/>
      <c r="E53" s="127"/>
      <c r="F53" s="127"/>
      <c r="G53" s="60"/>
      <c r="H53" s="38"/>
      <c r="J53" s="28"/>
      <c r="K53" s="29"/>
      <c r="L53" s="30"/>
    </row>
    <row r="54" spans="1:12" ht="15" hidden="1" customHeight="1">
      <c r="A54" s="70">
        <v>27</v>
      </c>
      <c r="B54" s="21" t="s">
        <v>52</v>
      </c>
      <c r="C54" s="23" t="s">
        <v>62</v>
      </c>
      <c r="D54" s="44" t="s">
        <v>63</v>
      </c>
      <c r="E54" s="26">
        <v>0</v>
      </c>
      <c r="F54" s="61">
        <v>793.61</v>
      </c>
      <c r="G54" s="27">
        <f>E54/2</f>
        <v>0</v>
      </c>
      <c r="H54" s="38"/>
      <c r="J54" s="28"/>
      <c r="K54" s="29"/>
      <c r="L54" s="30"/>
    </row>
    <row r="55" spans="1:12" ht="15.75" customHeight="1">
      <c r="A55" s="70">
        <v>14</v>
      </c>
      <c r="B55" s="104" t="s">
        <v>156</v>
      </c>
      <c r="C55" s="82" t="s">
        <v>27</v>
      </c>
      <c r="D55" s="105" t="s">
        <v>157</v>
      </c>
      <c r="E55" s="26"/>
      <c r="F55" s="61">
        <v>2.59</v>
      </c>
      <c r="G55" s="27">
        <v>363.64</v>
      </c>
      <c r="H55" s="38"/>
      <c r="J55" s="28"/>
      <c r="K55" s="29"/>
      <c r="L55" s="30"/>
    </row>
    <row r="56" spans="1:12" ht="15.75" customHeight="1">
      <c r="A56" s="70"/>
      <c r="B56" s="127" t="s">
        <v>53</v>
      </c>
      <c r="C56" s="23"/>
      <c r="D56" s="22"/>
      <c r="E56" s="22"/>
      <c r="F56" s="44"/>
      <c r="G56" s="26"/>
      <c r="H56" s="38"/>
      <c r="J56" s="28"/>
      <c r="K56" s="29"/>
      <c r="L56" s="30"/>
    </row>
    <row r="57" spans="1:12" ht="15.75" hidden="1" customHeight="1">
      <c r="A57" s="70">
        <v>17</v>
      </c>
      <c r="B57" s="21" t="s">
        <v>54</v>
      </c>
      <c r="C57" s="23" t="s">
        <v>33</v>
      </c>
      <c r="D57" s="22" t="s">
        <v>89</v>
      </c>
      <c r="E57" s="26">
        <v>0</v>
      </c>
      <c r="F57" s="61">
        <v>276.74</v>
      </c>
      <c r="G57" s="27">
        <v>276.74</v>
      </c>
      <c r="H57" s="38"/>
      <c r="J57" s="28"/>
      <c r="K57" s="29"/>
      <c r="L57" s="30"/>
    </row>
    <row r="58" spans="1:12" ht="15.75" hidden="1" customHeight="1">
      <c r="A58" s="44">
        <v>29</v>
      </c>
      <c r="B58" s="21" t="s">
        <v>55</v>
      </c>
      <c r="C58" s="23" t="s">
        <v>33</v>
      </c>
      <c r="D58" s="22" t="s">
        <v>28</v>
      </c>
      <c r="E58" s="26">
        <v>0</v>
      </c>
      <c r="F58" s="61">
        <v>76.25</v>
      </c>
      <c r="G58" s="27">
        <f>E58/2</f>
        <v>0</v>
      </c>
      <c r="H58" s="38"/>
      <c r="J58" s="28"/>
      <c r="K58" s="29"/>
      <c r="L58" s="30"/>
    </row>
    <row r="59" spans="1:12" ht="15.75" hidden="1" customHeight="1">
      <c r="A59" s="44">
        <v>8</v>
      </c>
      <c r="B59" s="21" t="s">
        <v>56</v>
      </c>
      <c r="C59" s="23" t="s">
        <v>38</v>
      </c>
      <c r="D59" s="44" t="s">
        <v>63</v>
      </c>
      <c r="E59" s="26">
        <v>13.47</v>
      </c>
      <c r="F59" s="61">
        <v>212.15</v>
      </c>
      <c r="G59" s="26">
        <v>7955.63</v>
      </c>
      <c r="H59" s="38"/>
      <c r="J59" s="28"/>
      <c r="K59" s="29"/>
      <c r="L59" s="30"/>
    </row>
    <row r="60" spans="1:12" ht="29.25" hidden="1" customHeight="1">
      <c r="A60" s="44">
        <v>9</v>
      </c>
      <c r="B60" s="21" t="s">
        <v>57</v>
      </c>
      <c r="C60" s="23" t="s">
        <v>64</v>
      </c>
      <c r="D60" s="44" t="s">
        <v>63</v>
      </c>
      <c r="E60" s="26">
        <v>1.35</v>
      </c>
      <c r="F60" s="61">
        <v>165.21</v>
      </c>
      <c r="G60" s="26">
        <v>619.54</v>
      </c>
      <c r="H60" s="38"/>
      <c r="J60" s="28"/>
      <c r="K60" s="29"/>
      <c r="L60" s="30"/>
    </row>
    <row r="61" spans="1:12" ht="42" hidden="1" customHeight="1">
      <c r="A61" s="44">
        <v>10</v>
      </c>
      <c r="B61" s="118" t="s">
        <v>58</v>
      </c>
      <c r="C61" s="23" t="s">
        <v>65</v>
      </c>
      <c r="D61" s="44" t="s">
        <v>63</v>
      </c>
      <c r="E61" s="26">
        <v>0</v>
      </c>
      <c r="F61" s="61">
        <v>2074.63</v>
      </c>
      <c r="G61" s="26">
        <v>12447.78</v>
      </c>
      <c r="H61" s="38"/>
      <c r="J61" s="28"/>
      <c r="K61" s="29"/>
      <c r="L61" s="30"/>
    </row>
    <row r="62" spans="1:12" ht="51" hidden="1" customHeight="1">
      <c r="A62" s="44">
        <v>11</v>
      </c>
      <c r="B62" s="118" t="s">
        <v>72</v>
      </c>
      <c r="C62" s="23" t="s">
        <v>73</v>
      </c>
      <c r="D62" s="44" t="s">
        <v>63</v>
      </c>
      <c r="E62" s="18">
        <v>0</v>
      </c>
      <c r="F62" s="61">
        <v>49.88</v>
      </c>
      <c r="G62" s="26">
        <v>0</v>
      </c>
      <c r="H62" s="38"/>
      <c r="J62" s="28"/>
      <c r="K62" s="29"/>
      <c r="L62" s="30"/>
    </row>
    <row r="63" spans="1:12" ht="16.5" hidden="1" customHeight="1">
      <c r="A63" s="44">
        <v>12</v>
      </c>
      <c r="B63" s="84" t="s">
        <v>99</v>
      </c>
      <c r="C63" s="65" t="s">
        <v>35</v>
      </c>
      <c r="D63" s="44"/>
      <c r="E63" s="18"/>
      <c r="F63" s="61">
        <v>45.32</v>
      </c>
      <c r="G63" s="26">
        <v>543.84</v>
      </c>
      <c r="H63" s="38"/>
      <c r="J63" s="28"/>
      <c r="K63" s="29"/>
      <c r="L63" s="30"/>
    </row>
    <row r="64" spans="1:12" ht="15" hidden="1" customHeight="1">
      <c r="A64" s="44">
        <v>13</v>
      </c>
      <c r="B64" s="84" t="s">
        <v>100</v>
      </c>
      <c r="C64" s="65" t="s">
        <v>35</v>
      </c>
      <c r="D64" s="44"/>
      <c r="E64" s="18"/>
      <c r="F64" s="61">
        <v>42.28</v>
      </c>
      <c r="G64" s="26">
        <v>507.36</v>
      </c>
      <c r="H64" s="38"/>
      <c r="J64" s="28"/>
      <c r="K64" s="29"/>
      <c r="L64" s="30"/>
    </row>
    <row r="65" spans="1:20" ht="15.75" customHeight="1">
      <c r="A65" s="44">
        <v>15</v>
      </c>
      <c r="B65" s="64" t="s">
        <v>159</v>
      </c>
      <c r="C65" s="70" t="s">
        <v>160</v>
      </c>
      <c r="D65" s="70" t="s">
        <v>157</v>
      </c>
      <c r="E65" s="103"/>
      <c r="F65" s="61">
        <v>2.16</v>
      </c>
      <c r="G65" s="26">
        <v>4455</v>
      </c>
      <c r="H65" s="38"/>
      <c r="J65" s="28"/>
    </row>
    <row r="66" spans="1:20" hidden="1">
      <c r="A66" s="128"/>
      <c r="B66" s="201" t="s">
        <v>158</v>
      </c>
      <c r="C66" s="202"/>
      <c r="D66" s="202"/>
      <c r="E66" s="202"/>
      <c r="F66" s="203"/>
      <c r="G66" s="26"/>
    </row>
    <row r="67" spans="1:20" ht="30" hidden="1">
      <c r="A67" s="44">
        <v>36</v>
      </c>
      <c r="B67" s="21" t="s">
        <v>59</v>
      </c>
      <c r="C67" s="23" t="s">
        <v>67</v>
      </c>
      <c r="D67" s="44" t="s">
        <v>63</v>
      </c>
      <c r="E67" s="26">
        <v>0</v>
      </c>
      <c r="F67" s="63">
        <v>3779.8</v>
      </c>
      <c r="G67" s="26">
        <v>0</v>
      </c>
    </row>
    <row r="68" spans="1:20" hidden="1">
      <c r="A68" s="44"/>
      <c r="B68" s="78" t="s">
        <v>101</v>
      </c>
      <c r="C68" s="78"/>
      <c r="D68" s="78"/>
      <c r="E68" s="26"/>
      <c r="F68" s="44"/>
      <c r="G68" s="26"/>
    </row>
    <row r="69" spans="1:20" ht="15.75" hidden="1" customHeight="1">
      <c r="A69" s="44">
        <v>37</v>
      </c>
      <c r="B69" s="64" t="s">
        <v>102</v>
      </c>
      <c r="C69" s="65" t="s">
        <v>104</v>
      </c>
      <c r="D69" s="44"/>
      <c r="E69" s="26"/>
      <c r="F69" s="61">
        <v>501.62</v>
      </c>
      <c r="G69" s="26">
        <v>0</v>
      </c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11"/>
    </row>
    <row r="70" spans="1:20" ht="15.75" hidden="1" customHeight="1">
      <c r="A70" s="44">
        <v>38</v>
      </c>
      <c r="B70" s="64" t="s">
        <v>103</v>
      </c>
      <c r="C70" s="65" t="s">
        <v>33</v>
      </c>
      <c r="D70" s="44"/>
      <c r="E70" s="26"/>
      <c r="F70" s="61">
        <v>852.99</v>
      </c>
      <c r="G70" s="26">
        <v>0</v>
      </c>
      <c r="H70" s="40"/>
      <c r="I70" s="40"/>
      <c r="J70" s="3"/>
      <c r="K70" s="3"/>
      <c r="L70" s="3"/>
      <c r="M70" s="3"/>
      <c r="N70" s="3"/>
      <c r="O70" s="3"/>
      <c r="P70" s="3"/>
      <c r="Q70" s="3"/>
      <c r="R70" s="3"/>
      <c r="S70" s="3"/>
    </row>
    <row r="71" spans="1:20" ht="15.75" hidden="1">
      <c r="A71" s="44"/>
      <c r="B71" s="79" t="s">
        <v>105</v>
      </c>
      <c r="C71" s="65"/>
      <c r="D71" s="44"/>
      <c r="E71" s="26"/>
      <c r="F71" s="61"/>
      <c r="G71" s="26"/>
      <c r="H71" s="3"/>
      <c r="I71" s="3"/>
      <c r="J71" s="3"/>
      <c r="K71" s="3"/>
      <c r="L71" s="3"/>
      <c r="M71" s="3"/>
      <c r="N71" s="3"/>
      <c r="O71" s="3"/>
      <c r="Q71" s="3"/>
      <c r="R71" s="3"/>
      <c r="S71" s="3"/>
    </row>
    <row r="72" spans="1:20" hidden="1">
      <c r="A72" s="44">
        <v>39</v>
      </c>
      <c r="B72" s="66" t="s">
        <v>106</v>
      </c>
      <c r="C72" s="67" t="s">
        <v>107</v>
      </c>
      <c r="D72" s="59"/>
      <c r="E72" s="26"/>
      <c r="F72" s="62">
        <v>2759.44</v>
      </c>
      <c r="G72" s="26">
        <v>0</v>
      </c>
      <c r="H72" s="5"/>
      <c r="I72" s="5"/>
      <c r="J72" s="5"/>
      <c r="K72" s="5"/>
      <c r="L72" s="5"/>
      <c r="M72" s="5"/>
      <c r="N72" s="5"/>
      <c r="O72" s="5"/>
      <c r="P72" s="179"/>
      <c r="Q72" s="179"/>
      <c r="R72" s="179"/>
      <c r="S72" s="179"/>
    </row>
    <row r="73" spans="1:20">
      <c r="A73" s="193" t="s">
        <v>188</v>
      </c>
      <c r="B73" s="194"/>
      <c r="C73" s="194"/>
      <c r="D73" s="194"/>
      <c r="E73" s="194"/>
      <c r="F73" s="194"/>
      <c r="G73" s="195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</row>
    <row r="74" spans="1:20">
      <c r="A74" s="44">
        <v>16</v>
      </c>
      <c r="B74" s="21" t="s">
        <v>113</v>
      </c>
      <c r="C74" s="23" t="s">
        <v>68</v>
      </c>
      <c r="D74" s="22" t="s">
        <v>69</v>
      </c>
      <c r="E74" s="22">
        <v>327.9</v>
      </c>
      <c r="F74" s="61">
        <v>2.95</v>
      </c>
      <c r="G74" s="19">
        <v>6084.38</v>
      </c>
    </row>
    <row r="75" spans="1:20" ht="30">
      <c r="A75" s="44">
        <v>17</v>
      </c>
      <c r="B75" s="64" t="s">
        <v>108</v>
      </c>
      <c r="C75" s="23"/>
      <c r="D75" s="22" t="s">
        <v>69</v>
      </c>
      <c r="E75" s="22"/>
      <c r="F75" s="61">
        <v>3.05</v>
      </c>
      <c r="G75" s="19">
        <v>6290.63</v>
      </c>
    </row>
    <row r="76" spans="1:20" ht="15.75" customHeight="1">
      <c r="A76" s="128"/>
      <c r="B76" s="68" t="s">
        <v>115</v>
      </c>
      <c r="C76" s="70"/>
      <c r="D76" s="22"/>
      <c r="E76" s="22"/>
      <c r="F76" s="26"/>
      <c r="G76" s="52">
        <f>SUM(G16+G17+G18+G19+G20+G31+G32+G34+G35+G36+G37+G43+G51+G55+G65+G74+G75)</f>
        <v>39103.78</v>
      </c>
    </row>
    <row r="77" spans="1:20">
      <c r="A77" s="128"/>
      <c r="B77" s="102" t="s">
        <v>76</v>
      </c>
      <c r="C77" s="102"/>
      <c r="D77" s="102"/>
      <c r="E77" s="102"/>
      <c r="F77" s="102"/>
      <c r="G77" s="102"/>
    </row>
    <row r="78" spans="1:20">
      <c r="A78" s="44">
        <v>18</v>
      </c>
      <c r="B78" s="110" t="s">
        <v>176</v>
      </c>
      <c r="C78" s="111" t="s">
        <v>177</v>
      </c>
      <c r="D78" s="102"/>
      <c r="E78" s="102"/>
      <c r="F78" s="61">
        <v>1063.47</v>
      </c>
      <c r="G78" s="44">
        <v>2126.94</v>
      </c>
    </row>
    <row r="79" spans="1:20" ht="30">
      <c r="A79" s="44">
        <v>19</v>
      </c>
      <c r="B79" s="120" t="s">
        <v>182</v>
      </c>
      <c r="C79" s="70" t="s">
        <v>183</v>
      </c>
      <c r="D79" s="102"/>
      <c r="E79" s="102"/>
      <c r="F79" s="61">
        <v>1835.8</v>
      </c>
      <c r="G79" s="108">
        <v>1835.8</v>
      </c>
    </row>
    <row r="80" spans="1:20" ht="30">
      <c r="A80" s="44">
        <v>20</v>
      </c>
      <c r="B80" s="95" t="s">
        <v>178</v>
      </c>
      <c r="C80" s="96" t="s">
        <v>44</v>
      </c>
      <c r="D80" s="102"/>
      <c r="E80" s="102"/>
      <c r="F80" s="19">
        <v>3397.65</v>
      </c>
      <c r="G80" s="44">
        <v>67.95</v>
      </c>
    </row>
    <row r="81" spans="1:7">
      <c r="A81" s="44">
        <v>21</v>
      </c>
      <c r="B81" s="95" t="s">
        <v>179</v>
      </c>
      <c r="C81" s="98" t="s">
        <v>180</v>
      </c>
      <c r="D81" s="102"/>
      <c r="E81" s="102"/>
      <c r="F81" s="61">
        <v>7033.13</v>
      </c>
      <c r="G81" s="44">
        <v>70.33</v>
      </c>
    </row>
    <row r="82" spans="1:7" ht="30">
      <c r="A82" s="119">
        <v>22</v>
      </c>
      <c r="B82" s="95" t="s">
        <v>114</v>
      </c>
      <c r="C82" s="96" t="s">
        <v>140</v>
      </c>
      <c r="D82" s="102"/>
      <c r="E82" s="22"/>
      <c r="F82" s="19">
        <v>79.09</v>
      </c>
      <c r="G82" s="19">
        <v>158.18</v>
      </c>
    </row>
    <row r="83" spans="1:7">
      <c r="A83" s="44"/>
      <c r="B83" s="75" t="s">
        <v>60</v>
      </c>
      <c r="C83" s="71"/>
      <c r="D83" s="102"/>
      <c r="E83" s="71">
        <v>1</v>
      </c>
      <c r="F83" s="71"/>
      <c r="G83" s="52">
        <f>SUM(G78:G82)</f>
        <v>4259.2</v>
      </c>
    </row>
    <row r="84" spans="1:7" ht="15.75" customHeight="1">
      <c r="A84" s="44"/>
      <c r="B84" s="81" t="s">
        <v>109</v>
      </c>
      <c r="C84" s="22"/>
      <c r="D84" s="22"/>
      <c r="E84" s="72"/>
      <c r="F84" s="73"/>
      <c r="G84" s="25">
        <v>0</v>
      </c>
    </row>
    <row r="85" spans="1:7">
      <c r="A85" s="86"/>
      <c r="B85" s="76" t="s">
        <v>61</v>
      </c>
      <c r="C85" s="59"/>
      <c r="D85" s="59"/>
      <c r="E85" s="59"/>
      <c r="F85" s="59"/>
      <c r="G85" s="74">
        <f>G76+G83</f>
        <v>43362.979999999996</v>
      </c>
    </row>
    <row r="86" spans="1:7" ht="15.75">
      <c r="A86" s="181" t="s">
        <v>184</v>
      </c>
      <c r="B86" s="181"/>
      <c r="C86" s="181"/>
      <c r="D86" s="181"/>
      <c r="E86" s="181"/>
      <c r="F86" s="181"/>
      <c r="G86" s="181"/>
    </row>
    <row r="87" spans="1:7" ht="15.75" customHeight="1">
      <c r="A87" s="92"/>
      <c r="B87" s="182" t="s">
        <v>185</v>
      </c>
      <c r="C87" s="182"/>
      <c r="D87" s="182"/>
      <c r="E87" s="182"/>
      <c r="F87" s="182"/>
      <c r="G87" s="3"/>
    </row>
    <row r="88" spans="1:7">
      <c r="A88" s="89"/>
      <c r="B88" s="183" t="s">
        <v>6</v>
      </c>
      <c r="C88" s="183"/>
      <c r="D88" s="183"/>
      <c r="E88" s="183"/>
      <c r="F88" s="183"/>
      <c r="G88" s="5"/>
    </row>
    <row r="89" spans="1:7">
      <c r="A89" s="12"/>
      <c r="B89" s="12"/>
      <c r="C89" s="12"/>
      <c r="D89" s="12"/>
      <c r="E89" s="12"/>
      <c r="F89" s="12"/>
      <c r="G89" s="12"/>
    </row>
    <row r="90" spans="1:7" ht="15.75">
      <c r="A90" s="184" t="s">
        <v>7</v>
      </c>
      <c r="B90" s="184"/>
      <c r="C90" s="184"/>
      <c r="D90" s="184"/>
      <c r="E90" s="184"/>
      <c r="F90" s="184"/>
      <c r="G90" s="184"/>
    </row>
    <row r="91" spans="1:7" ht="16.5" customHeight="1">
      <c r="A91" s="184" t="s">
        <v>8</v>
      </c>
      <c r="B91" s="184"/>
      <c r="C91" s="184"/>
      <c r="D91" s="184"/>
      <c r="E91" s="184"/>
      <c r="F91" s="184"/>
      <c r="G91" s="184"/>
    </row>
    <row r="92" spans="1:7" ht="16.5" customHeight="1">
      <c r="A92" s="185" t="s">
        <v>79</v>
      </c>
      <c r="B92" s="185"/>
      <c r="C92" s="185"/>
      <c r="D92" s="185"/>
      <c r="E92" s="185"/>
      <c r="F92" s="185"/>
      <c r="G92" s="185"/>
    </row>
    <row r="93" spans="1:7" ht="15.75" customHeight="1">
      <c r="A93" s="13"/>
    </row>
    <row r="94" spans="1:7" ht="15.75" customHeight="1">
      <c r="A94" s="191" t="s">
        <v>9</v>
      </c>
      <c r="B94" s="191"/>
      <c r="C94" s="191"/>
      <c r="D94" s="191"/>
      <c r="E94" s="191"/>
      <c r="F94" s="191"/>
      <c r="G94" s="191"/>
    </row>
    <row r="95" spans="1:7" ht="15.75">
      <c r="A95" s="4"/>
    </row>
    <row r="96" spans="1:7" ht="15.75" customHeight="1">
      <c r="B96" s="87" t="s">
        <v>10</v>
      </c>
      <c r="C96" s="192" t="s">
        <v>191</v>
      </c>
      <c r="D96" s="192"/>
      <c r="E96" s="192"/>
      <c r="G96" s="90"/>
    </row>
    <row r="97" spans="1:7">
      <c r="A97" s="89"/>
      <c r="C97" s="183" t="s">
        <v>11</v>
      </c>
      <c r="D97" s="183"/>
      <c r="E97" s="183"/>
      <c r="G97" s="88" t="s">
        <v>12</v>
      </c>
    </row>
    <row r="98" spans="1:7" ht="15.75">
      <c r="A98" s="40"/>
      <c r="C98" s="14"/>
      <c r="D98" s="14"/>
      <c r="F98" s="14"/>
    </row>
    <row r="99" spans="1:7" ht="15.75">
      <c r="B99" s="87" t="s">
        <v>13</v>
      </c>
      <c r="C99" s="178"/>
      <c r="D99" s="178"/>
      <c r="E99" s="178"/>
      <c r="G99" s="90"/>
    </row>
    <row r="100" spans="1:7">
      <c r="A100" s="89"/>
      <c r="C100" s="179" t="s">
        <v>11</v>
      </c>
      <c r="D100" s="179"/>
      <c r="E100" s="179"/>
      <c r="G100" s="88" t="s">
        <v>12</v>
      </c>
    </row>
    <row r="101" spans="1:7" ht="15.75">
      <c r="A101" s="4" t="s">
        <v>14</v>
      </c>
    </row>
    <row r="102" spans="1:7">
      <c r="A102" s="180" t="s">
        <v>15</v>
      </c>
      <c r="B102" s="180"/>
      <c r="C102" s="180"/>
      <c r="D102" s="180"/>
      <c r="E102" s="180"/>
      <c r="F102" s="180"/>
      <c r="G102" s="180"/>
    </row>
    <row r="103" spans="1:7" ht="45" customHeight="1">
      <c r="A103" s="190" t="s">
        <v>16</v>
      </c>
      <c r="B103" s="190"/>
      <c r="C103" s="190"/>
      <c r="D103" s="190"/>
      <c r="E103" s="190"/>
      <c r="F103" s="190"/>
      <c r="G103" s="190"/>
    </row>
    <row r="104" spans="1:7" ht="30" customHeight="1">
      <c r="A104" s="190" t="s">
        <v>17</v>
      </c>
      <c r="B104" s="190"/>
      <c r="C104" s="190"/>
      <c r="D104" s="190"/>
      <c r="E104" s="190"/>
      <c r="F104" s="190"/>
      <c r="G104" s="190"/>
    </row>
    <row r="105" spans="1:7" ht="30" customHeight="1">
      <c r="A105" s="190" t="s">
        <v>22</v>
      </c>
      <c r="B105" s="190"/>
      <c r="C105" s="190"/>
      <c r="D105" s="190"/>
      <c r="E105" s="190"/>
      <c r="F105" s="190"/>
      <c r="G105" s="190"/>
    </row>
    <row r="106" spans="1:7" ht="15" customHeight="1">
      <c r="A106" s="190" t="s">
        <v>21</v>
      </c>
      <c r="B106" s="190"/>
      <c r="C106" s="190"/>
      <c r="D106" s="190"/>
      <c r="E106" s="190"/>
      <c r="F106" s="190"/>
      <c r="G106" s="190"/>
    </row>
  </sheetData>
  <autoFilter ref="G12:G67"/>
  <mergeCells count="29">
    <mergeCell ref="A94:G94"/>
    <mergeCell ref="P72:S72"/>
    <mergeCell ref="B88:F88"/>
    <mergeCell ref="A90:G90"/>
    <mergeCell ref="A91:G91"/>
    <mergeCell ref="A92:G92"/>
    <mergeCell ref="A73:G73"/>
    <mergeCell ref="A49:G49"/>
    <mergeCell ref="B66:F66"/>
    <mergeCell ref="A86:G86"/>
    <mergeCell ref="B87:F87"/>
    <mergeCell ref="A3:G3"/>
    <mergeCell ref="A4:G4"/>
    <mergeCell ref="A8:G8"/>
    <mergeCell ref="A10:G10"/>
    <mergeCell ref="A5:G5"/>
    <mergeCell ref="A14:G14"/>
    <mergeCell ref="A15:G15"/>
    <mergeCell ref="A21:G21"/>
    <mergeCell ref="A38:G38"/>
    <mergeCell ref="A103:G103"/>
    <mergeCell ref="A104:G104"/>
    <mergeCell ref="A105:G105"/>
    <mergeCell ref="A106:G106"/>
    <mergeCell ref="C96:E96"/>
    <mergeCell ref="C97:E97"/>
    <mergeCell ref="C99:E99"/>
    <mergeCell ref="C100:E100"/>
    <mergeCell ref="A102:G102"/>
  </mergeCells>
  <pageMargins left="0.70866141732283472" right="0.23622047244094491" top="0.27559055118110237" bottom="0.27559055118110237" header="0.31496062992125984" footer="0.31496062992125984"/>
  <pageSetup paperSize="9" scale="60" orientation="portrait" r:id="rId1"/>
  <colBreaks count="1" manualBreakCount="1">
    <brk id="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I187"/>
  <sheetViews>
    <sheetView workbookViewId="0">
      <selection activeCell="A5" sqref="A5:I5"/>
    </sheetView>
  </sheetViews>
  <sheetFormatPr defaultRowHeight="15"/>
  <cols>
    <col min="1" max="1" width="6.42578125" customWidth="1"/>
    <col min="2" max="2" width="53.140625" customWidth="1"/>
    <col min="3" max="3" width="18.5703125" customWidth="1"/>
    <col min="4" max="4" width="18.28515625" customWidth="1"/>
    <col min="5" max="6" width="0" hidden="1" customWidth="1"/>
    <col min="7" max="7" width="22.5703125" customWidth="1"/>
    <col min="8" max="8" width="22.5703125" hidden="1" customWidth="1"/>
    <col min="9" max="9" width="22.5703125" customWidth="1"/>
  </cols>
  <sheetData>
    <row r="1" spans="1:9" ht="15.75">
      <c r="A1" s="42" t="s">
        <v>136</v>
      </c>
      <c r="I1" s="41"/>
    </row>
    <row r="2" spans="1:9" ht="15.75">
      <c r="A2" s="43" t="s">
        <v>82</v>
      </c>
    </row>
    <row r="3" spans="1:9" ht="15.75">
      <c r="A3" s="172" t="s">
        <v>243</v>
      </c>
      <c r="B3" s="172"/>
      <c r="C3" s="172"/>
      <c r="D3" s="172"/>
      <c r="E3" s="172"/>
      <c r="F3" s="172"/>
      <c r="G3" s="172"/>
      <c r="H3" s="172"/>
      <c r="I3" s="172"/>
    </row>
    <row r="4" spans="1:9" ht="31.5" customHeight="1">
      <c r="A4" s="173" t="s">
        <v>280</v>
      </c>
      <c r="B4" s="173"/>
      <c r="C4" s="173"/>
      <c r="D4" s="173"/>
      <c r="E4" s="173"/>
      <c r="F4" s="173"/>
      <c r="G4" s="173"/>
      <c r="H4" s="173"/>
      <c r="I4" s="173"/>
    </row>
    <row r="5" spans="1:9" ht="15.75">
      <c r="A5" s="172" t="s">
        <v>116</v>
      </c>
      <c r="B5" s="174"/>
      <c r="C5" s="174"/>
      <c r="D5" s="174"/>
      <c r="E5" s="174"/>
      <c r="F5" s="174"/>
      <c r="G5" s="174"/>
      <c r="H5" s="174"/>
      <c r="I5" s="174"/>
    </row>
    <row r="6" spans="1:9" ht="15.75">
      <c r="A6" s="2"/>
      <c r="B6" s="112"/>
      <c r="C6" s="112"/>
      <c r="D6" s="112"/>
      <c r="E6" s="112"/>
      <c r="F6" s="112"/>
      <c r="G6" s="112"/>
      <c r="H6" s="112"/>
      <c r="I6" s="45">
        <v>42429</v>
      </c>
    </row>
    <row r="7" spans="1:9" ht="15.75">
      <c r="B7" s="114"/>
      <c r="C7" s="114"/>
      <c r="D7" s="114"/>
      <c r="E7" s="3"/>
      <c r="F7" s="3"/>
      <c r="G7" s="3"/>
      <c r="H7" s="3"/>
    </row>
    <row r="8" spans="1:9" ht="78.75" customHeight="1">
      <c r="A8" s="175" t="s">
        <v>246</v>
      </c>
      <c r="B8" s="175"/>
      <c r="C8" s="175"/>
      <c r="D8" s="175"/>
      <c r="E8" s="175"/>
      <c r="F8" s="175"/>
      <c r="G8" s="175"/>
      <c r="H8" s="175"/>
      <c r="I8" s="175"/>
    </row>
    <row r="9" spans="1:9" ht="15.75">
      <c r="A9" s="4"/>
    </row>
    <row r="10" spans="1:9" ht="47.25" customHeight="1">
      <c r="A10" s="176" t="s">
        <v>190</v>
      </c>
      <c r="B10" s="176"/>
      <c r="C10" s="176"/>
      <c r="D10" s="176"/>
      <c r="E10" s="176"/>
      <c r="F10" s="176"/>
      <c r="G10" s="176"/>
      <c r="H10" s="176"/>
      <c r="I10" s="176"/>
    </row>
    <row r="11" spans="1:9" ht="15.75">
      <c r="A11" s="4"/>
    </row>
    <row r="12" spans="1:9" ht="47.25" customHeight="1">
      <c r="A12" s="8" t="s">
        <v>0</v>
      </c>
      <c r="B12" s="8" t="s">
        <v>1</v>
      </c>
      <c r="C12" s="8" t="s">
        <v>2</v>
      </c>
      <c r="D12" s="8" t="s">
        <v>18</v>
      </c>
      <c r="E12" s="8" t="s">
        <v>19</v>
      </c>
      <c r="F12" s="8"/>
      <c r="G12" s="8" t="s">
        <v>23</v>
      </c>
      <c r="H12" s="8"/>
      <c r="I12" s="8" t="s">
        <v>3</v>
      </c>
    </row>
    <row r="13" spans="1:9">
      <c r="A13" s="9">
        <v>1</v>
      </c>
      <c r="B13" s="9">
        <v>2</v>
      </c>
      <c r="C13" s="9">
        <v>3</v>
      </c>
      <c r="D13" s="9">
        <v>4</v>
      </c>
      <c r="E13" s="9">
        <v>5</v>
      </c>
      <c r="F13" s="9"/>
      <c r="G13" s="9">
        <v>5</v>
      </c>
      <c r="H13" s="9"/>
      <c r="I13" s="9">
        <v>6</v>
      </c>
    </row>
    <row r="14" spans="1:9" ht="15" customHeight="1">
      <c r="A14" s="177" t="s">
        <v>74</v>
      </c>
      <c r="B14" s="177"/>
      <c r="C14" s="177"/>
      <c r="D14" s="177"/>
      <c r="E14" s="177"/>
      <c r="F14" s="177"/>
      <c r="G14" s="177"/>
      <c r="H14" s="177"/>
      <c r="I14" s="177"/>
    </row>
    <row r="15" spans="1:9" ht="15" customHeight="1">
      <c r="A15" s="171" t="s">
        <v>4</v>
      </c>
      <c r="B15" s="171"/>
      <c r="C15" s="171"/>
      <c r="D15" s="171"/>
      <c r="E15" s="171"/>
      <c r="F15" s="171"/>
      <c r="G15" s="171"/>
      <c r="H15" s="171"/>
      <c r="I15" s="171"/>
    </row>
    <row r="16" spans="1:9" ht="31.5" customHeight="1">
      <c r="A16" s="44">
        <v>1</v>
      </c>
      <c r="B16" s="143" t="s">
        <v>147</v>
      </c>
      <c r="C16" s="144" t="s">
        <v>148</v>
      </c>
      <c r="D16" s="143" t="s">
        <v>149</v>
      </c>
      <c r="E16" s="145">
        <v>38.1</v>
      </c>
      <c r="F16" s="146">
        <f>SUM(E16*156/100)</f>
        <v>59.436000000000007</v>
      </c>
      <c r="G16" s="146">
        <v>187.48</v>
      </c>
      <c r="H16" s="147">
        <f t="shared" ref="H16:H26" si="0">SUM(F16*G16/1000)</f>
        <v>11.14306128</v>
      </c>
      <c r="I16" s="19">
        <f>F16/12*G16</f>
        <v>928.58843999999999</v>
      </c>
    </row>
    <row r="17" spans="1:9" ht="31.5" customHeight="1">
      <c r="A17" s="44">
        <v>2</v>
      </c>
      <c r="B17" s="143" t="s">
        <v>150</v>
      </c>
      <c r="C17" s="144" t="s">
        <v>148</v>
      </c>
      <c r="D17" s="143" t="s">
        <v>151</v>
      </c>
      <c r="E17" s="145">
        <v>114.4</v>
      </c>
      <c r="F17" s="146">
        <f>SUM(E17*104/100)</f>
        <v>118.976</v>
      </c>
      <c r="G17" s="146">
        <v>187.48</v>
      </c>
      <c r="H17" s="147">
        <f t="shared" si="0"/>
        <v>22.305620479999998</v>
      </c>
      <c r="I17" s="19">
        <f>F17/12*G17</f>
        <v>1858.8017066666666</v>
      </c>
    </row>
    <row r="18" spans="1:9" ht="31.5" customHeight="1">
      <c r="A18" s="44">
        <v>3</v>
      </c>
      <c r="B18" s="143" t="s">
        <v>152</v>
      </c>
      <c r="C18" s="144" t="s">
        <v>148</v>
      </c>
      <c r="D18" s="143" t="s">
        <v>153</v>
      </c>
      <c r="E18" s="145">
        <f>SUM(E16+E17)</f>
        <v>152.5</v>
      </c>
      <c r="F18" s="146">
        <f>SUM(E18*24/100)</f>
        <v>36.6</v>
      </c>
      <c r="G18" s="146">
        <v>539.30999999999995</v>
      </c>
      <c r="H18" s="147">
        <f t="shared" si="0"/>
        <v>19.738745999999999</v>
      </c>
      <c r="I18" s="19">
        <f>F18/12*G18</f>
        <v>1644.8955000000001</v>
      </c>
    </row>
    <row r="19" spans="1:9" ht="15.75" hidden="1" customHeight="1">
      <c r="A19" s="44">
        <v>4</v>
      </c>
      <c r="B19" s="143" t="s">
        <v>193</v>
      </c>
      <c r="C19" s="144" t="s">
        <v>194</v>
      </c>
      <c r="D19" s="143" t="s">
        <v>195</v>
      </c>
      <c r="E19" s="145">
        <v>32.4</v>
      </c>
      <c r="F19" s="146">
        <f>SUM(E19/10)</f>
        <v>3.2399999999999998</v>
      </c>
      <c r="G19" s="146">
        <v>181.91</v>
      </c>
      <c r="H19" s="147">
        <f t="shared" si="0"/>
        <v>0.58938839999999992</v>
      </c>
      <c r="I19" s="19">
        <v>0</v>
      </c>
    </row>
    <row r="20" spans="1:9" ht="15.75" hidden="1" customHeight="1">
      <c r="A20" s="44">
        <v>5</v>
      </c>
      <c r="B20" s="143" t="s">
        <v>196</v>
      </c>
      <c r="C20" s="144" t="s">
        <v>148</v>
      </c>
      <c r="D20" s="143" t="s">
        <v>49</v>
      </c>
      <c r="E20" s="145">
        <v>12.24</v>
      </c>
      <c r="F20" s="146">
        <f>SUM(E20*2/100)</f>
        <v>0.24480000000000002</v>
      </c>
      <c r="G20" s="146">
        <v>232.92</v>
      </c>
      <c r="H20" s="147">
        <f t="shared" si="0"/>
        <v>5.7018816E-2</v>
      </c>
      <c r="I20" s="19">
        <v>0</v>
      </c>
    </row>
    <row r="21" spans="1:9" ht="15.75" hidden="1" customHeight="1">
      <c r="A21" s="44">
        <v>6</v>
      </c>
      <c r="B21" s="143" t="s">
        <v>197</v>
      </c>
      <c r="C21" s="144" t="s">
        <v>148</v>
      </c>
      <c r="D21" s="143" t="s">
        <v>49</v>
      </c>
      <c r="E21" s="145">
        <v>10.08</v>
      </c>
      <c r="F21" s="146">
        <f>SUM(E21*2/100)</f>
        <v>0.2016</v>
      </c>
      <c r="G21" s="146">
        <v>231.03</v>
      </c>
      <c r="H21" s="147">
        <f t="shared" si="0"/>
        <v>4.6575648000000004E-2</v>
      </c>
      <c r="I21" s="19">
        <v>0</v>
      </c>
    </row>
    <row r="22" spans="1:9" ht="15.75" hidden="1" customHeight="1">
      <c r="A22" s="44">
        <v>7</v>
      </c>
      <c r="B22" s="143" t="s">
        <v>198</v>
      </c>
      <c r="C22" s="144" t="s">
        <v>62</v>
      </c>
      <c r="D22" s="143" t="s">
        <v>195</v>
      </c>
      <c r="E22" s="145">
        <v>293.76</v>
      </c>
      <c r="F22" s="146">
        <f>SUM(E22/100)</f>
        <v>2.9375999999999998</v>
      </c>
      <c r="G22" s="146">
        <v>287.83999999999997</v>
      </c>
      <c r="H22" s="147">
        <f t="shared" si="0"/>
        <v>0.84555878399999984</v>
      </c>
      <c r="I22" s="19">
        <v>0</v>
      </c>
    </row>
    <row r="23" spans="1:9" ht="15.75" hidden="1" customHeight="1">
      <c r="A23" s="44">
        <v>8</v>
      </c>
      <c r="B23" s="143" t="s">
        <v>199</v>
      </c>
      <c r="C23" s="144" t="s">
        <v>62</v>
      </c>
      <c r="D23" s="143" t="s">
        <v>195</v>
      </c>
      <c r="E23" s="148">
        <v>17.64</v>
      </c>
      <c r="F23" s="146">
        <f>SUM(E23/100)</f>
        <v>0.1764</v>
      </c>
      <c r="G23" s="146">
        <v>47.34</v>
      </c>
      <c r="H23" s="147">
        <f t="shared" si="0"/>
        <v>8.3507760000000007E-3</v>
      </c>
      <c r="I23" s="19">
        <v>0</v>
      </c>
    </row>
    <row r="24" spans="1:9" ht="15.75" hidden="1" customHeight="1">
      <c r="A24" s="44">
        <v>9</v>
      </c>
      <c r="B24" s="143" t="s">
        <v>200</v>
      </c>
      <c r="C24" s="144" t="s">
        <v>62</v>
      </c>
      <c r="D24" s="143" t="s">
        <v>201</v>
      </c>
      <c r="E24" s="145">
        <v>10.8</v>
      </c>
      <c r="F24" s="146">
        <f>E24/100</f>
        <v>0.10800000000000001</v>
      </c>
      <c r="G24" s="146">
        <v>416.62</v>
      </c>
      <c r="H24" s="147">
        <f t="shared" si="0"/>
        <v>4.4994960000000007E-2</v>
      </c>
      <c r="I24" s="19">
        <v>0</v>
      </c>
    </row>
    <row r="25" spans="1:9" ht="15.75" hidden="1" customHeight="1">
      <c r="A25" s="44">
        <v>10</v>
      </c>
      <c r="B25" s="143" t="s">
        <v>202</v>
      </c>
      <c r="C25" s="144" t="s">
        <v>62</v>
      </c>
      <c r="D25" s="143" t="s">
        <v>63</v>
      </c>
      <c r="E25" s="145">
        <v>12.6</v>
      </c>
      <c r="F25" s="146">
        <v>0.13</v>
      </c>
      <c r="G25" s="146">
        <v>231.03</v>
      </c>
      <c r="H25" s="147">
        <f>G25*F25/1000</f>
        <v>3.0033900000000002E-2</v>
      </c>
      <c r="I25" s="19">
        <v>0</v>
      </c>
    </row>
    <row r="26" spans="1:9" ht="15.75" hidden="1" customHeight="1">
      <c r="A26" s="44">
        <v>11</v>
      </c>
      <c r="B26" s="143" t="s">
        <v>203</v>
      </c>
      <c r="C26" s="144" t="s">
        <v>62</v>
      </c>
      <c r="D26" s="143" t="s">
        <v>195</v>
      </c>
      <c r="E26" s="145">
        <v>14.4</v>
      </c>
      <c r="F26" s="146">
        <f>SUM(E26/100)</f>
        <v>0.14400000000000002</v>
      </c>
      <c r="G26" s="146">
        <v>556.74</v>
      </c>
      <c r="H26" s="147">
        <f t="shared" si="0"/>
        <v>8.0170560000000016E-2</v>
      </c>
      <c r="I26" s="19">
        <v>0</v>
      </c>
    </row>
    <row r="27" spans="1:9" ht="15.75" customHeight="1">
      <c r="A27" s="44">
        <v>4</v>
      </c>
      <c r="B27" s="143" t="s">
        <v>86</v>
      </c>
      <c r="C27" s="144" t="s">
        <v>35</v>
      </c>
      <c r="D27" s="143" t="s">
        <v>206</v>
      </c>
      <c r="E27" s="145">
        <v>0.1</v>
      </c>
      <c r="F27" s="146">
        <f>SUM(E27*365)</f>
        <v>36.5</v>
      </c>
      <c r="G27" s="146">
        <v>157.18</v>
      </c>
      <c r="H27" s="147">
        <f>SUM(F27*G27/1000)</f>
        <v>5.737070000000001</v>
      </c>
      <c r="I27" s="19">
        <f>F27/12*G27</f>
        <v>478.08916666666664</v>
      </c>
    </row>
    <row r="28" spans="1:9" ht="15.75" customHeight="1">
      <c r="A28" s="44">
        <v>5</v>
      </c>
      <c r="B28" s="151" t="s">
        <v>24</v>
      </c>
      <c r="C28" s="144" t="s">
        <v>25</v>
      </c>
      <c r="D28" s="151" t="s">
        <v>208</v>
      </c>
      <c r="E28" s="145">
        <v>2062.5</v>
      </c>
      <c r="F28" s="146">
        <f>SUM(E28*12)</f>
        <v>24750</v>
      </c>
      <c r="G28" s="146">
        <v>5.53</v>
      </c>
      <c r="H28" s="147">
        <f>SUM(F28*G28/1000)</f>
        <v>136.86750000000001</v>
      </c>
      <c r="I28" s="19">
        <f>F28/12*G28</f>
        <v>11405.625</v>
      </c>
    </row>
    <row r="29" spans="1:9" ht="15.75" customHeight="1">
      <c r="A29" s="186" t="s">
        <v>130</v>
      </c>
      <c r="B29" s="187"/>
      <c r="C29" s="187"/>
      <c r="D29" s="187"/>
      <c r="E29" s="187"/>
      <c r="F29" s="187"/>
      <c r="G29" s="187"/>
      <c r="H29" s="187"/>
      <c r="I29" s="188"/>
    </row>
    <row r="30" spans="1:9" ht="15.75" hidden="1" customHeight="1">
      <c r="A30" s="44"/>
      <c r="B30" s="164" t="s">
        <v>31</v>
      </c>
      <c r="C30" s="144"/>
      <c r="D30" s="143"/>
      <c r="E30" s="145"/>
      <c r="F30" s="146"/>
      <c r="G30" s="146"/>
      <c r="H30" s="147"/>
      <c r="I30" s="19"/>
    </row>
    <row r="31" spans="1:9" ht="31.5" hidden="1" customHeight="1">
      <c r="A31" s="44">
        <v>6</v>
      </c>
      <c r="B31" s="143" t="s">
        <v>236</v>
      </c>
      <c r="C31" s="144" t="s">
        <v>166</v>
      </c>
      <c r="D31" s="143" t="s">
        <v>204</v>
      </c>
      <c r="E31" s="146">
        <v>652.9</v>
      </c>
      <c r="F31" s="146">
        <f>SUM(E31*52/1000)</f>
        <v>33.950799999999994</v>
      </c>
      <c r="G31" s="146">
        <v>166.65</v>
      </c>
      <c r="H31" s="147">
        <f t="shared" ref="H31:H36" si="1">SUM(F31*G31/1000)</f>
        <v>5.6579008199999992</v>
      </c>
      <c r="I31" s="19">
        <f>F31/6*G31</f>
        <v>942.9834699999999</v>
      </c>
    </row>
    <row r="32" spans="1:9" ht="31.5" hidden="1" customHeight="1">
      <c r="A32" s="44">
        <v>7</v>
      </c>
      <c r="B32" s="143" t="s">
        <v>237</v>
      </c>
      <c r="C32" s="144" t="s">
        <v>166</v>
      </c>
      <c r="D32" s="143" t="s">
        <v>205</v>
      </c>
      <c r="E32" s="146">
        <v>63.5</v>
      </c>
      <c r="F32" s="146">
        <f>SUM(E32*78/1000)</f>
        <v>4.9530000000000003</v>
      </c>
      <c r="G32" s="146">
        <v>276.48</v>
      </c>
      <c r="H32" s="147">
        <f t="shared" si="1"/>
        <v>1.3694054400000002</v>
      </c>
      <c r="I32" s="19">
        <f t="shared" ref="I32:I34" si="2">F32/6*G32</f>
        <v>228.23424000000003</v>
      </c>
    </row>
    <row r="33" spans="1:9" ht="15.75" hidden="1" customHeight="1">
      <c r="A33" s="44">
        <v>8</v>
      </c>
      <c r="B33" s="143" t="s">
        <v>30</v>
      </c>
      <c r="C33" s="144" t="s">
        <v>166</v>
      </c>
      <c r="D33" s="143" t="s">
        <v>63</v>
      </c>
      <c r="E33" s="146">
        <v>652.9</v>
      </c>
      <c r="F33" s="146">
        <f>SUM(E33/1000)</f>
        <v>0.65289999999999992</v>
      </c>
      <c r="G33" s="146">
        <v>3228.73</v>
      </c>
      <c r="H33" s="147">
        <f t="shared" si="1"/>
        <v>2.108037817</v>
      </c>
      <c r="I33" s="19">
        <f>F33*G33</f>
        <v>2108.0378169999999</v>
      </c>
    </row>
    <row r="34" spans="1:9" ht="15.75" hidden="1" customHeight="1">
      <c r="A34" s="44">
        <v>8</v>
      </c>
      <c r="B34" s="143" t="s">
        <v>238</v>
      </c>
      <c r="C34" s="144" t="s">
        <v>33</v>
      </c>
      <c r="D34" s="143" t="s">
        <v>85</v>
      </c>
      <c r="E34" s="150">
        <v>0.33333333333333331</v>
      </c>
      <c r="F34" s="146">
        <f>155/3</f>
        <v>51.666666666666664</v>
      </c>
      <c r="G34" s="146">
        <v>60.6</v>
      </c>
      <c r="H34" s="147">
        <f>SUM(G34*155/3/1000)</f>
        <v>3.1309999999999998</v>
      </c>
      <c r="I34" s="19">
        <f t="shared" si="2"/>
        <v>521.83333333333337</v>
      </c>
    </row>
    <row r="35" spans="1:9" ht="15.75" hidden="1" customHeight="1">
      <c r="A35" s="44"/>
      <c r="B35" s="143" t="s">
        <v>87</v>
      </c>
      <c r="C35" s="144" t="s">
        <v>35</v>
      </c>
      <c r="D35" s="143" t="s">
        <v>89</v>
      </c>
      <c r="E35" s="145"/>
      <c r="F35" s="146">
        <v>2</v>
      </c>
      <c r="G35" s="146">
        <v>204.52</v>
      </c>
      <c r="H35" s="147">
        <f t="shared" si="1"/>
        <v>0.40904000000000001</v>
      </c>
      <c r="I35" s="19">
        <v>0</v>
      </c>
    </row>
    <row r="36" spans="1:9" ht="15.75" hidden="1" customHeight="1">
      <c r="A36" s="44"/>
      <c r="B36" s="143" t="s">
        <v>207</v>
      </c>
      <c r="C36" s="144" t="s">
        <v>34</v>
      </c>
      <c r="D36" s="143" t="s">
        <v>89</v>
      </c>
      <c r="E36" s="145"/>
      <c r="F36" s="146">
        <v>1</v>
      </c>
      <c r="G36" s="146">
        <v>1214.74</v>
      </c>
      <c r="H36" s="147">
        <f t="shared" si="1"/>
        <v>1.2147399999999999</v>
      </c>
      <c r="I36" s="19">
        <v>0</v>
      </c>
    </row>
    <row r="37" spans="1:9" ht="15.75" customHeight="1">
      <c r="A37" s="44"/>
      <c r="B37" s="164" t="s">
        <v>5</v>
      </c>
      <c r="C37" s="144"/>
      <c r="D37" s="143"/>
      <c r="E37" s="145"/>
      <c r="F37" s="146"/>
      <c r="G37" s="146"/>
      <c r="H37" s="147" t="s">
        <v>208</v>
      </c>
      <c r="I37" s="19"/>
    </row>
    <row r="38" spans="1:9" ht="15.75" customHeight="1">
      <c r="A38" s="44">
        <v>6</v>
      </c>
      <c r="B38" s="143" t="s">
        <v>29</v>
      </c>
      <c r="C38" s="144" t="s">
        <v>34</v>
      </c>
      <c r="D38" s="143"/>
      <c r="E38" s="145"/>
      <c r="F38" s="146">
        <v>10</v>
      </c>
      <c r="G38" s="146">
        <v>1632.6</v>
      </c>
      <c r="H38" s="147">
        <f t="shared" ref="H38:H45" si="3">SUM(F38*G38/1000)</f>
        <v>16.326000000000001</v>
      </c>
      <c r="I38" s="19">
        <f>F38/6*G38</f>
        <v>2721</v>
      </c>
    </row>
    <row r="39" spans="1:9" ht="15.75" customHeight="1">
      <c r="A39" s="44">
        <v>7</v>
      </c>
      <c r="B39" s="143" t="s">
        <v>209</v>
      </c>
      <c r="C39" s="144" t="s">
        <v>32</v>
      </c>
      <c r="D39" s="143" t="s">
        <v>210</v>
      </c>
      <c r="E39" s="146">
        <v>172.55</v>
      </c>
      <c r="F39" s="146">
        <f>SUM(E39*12/1000)</f>
        <v>2.0706000000000002</v>
      </c>
      <c r="G39" s="146">
        <v>2247.8000000000002</v>
      </c>
      <c r="H39" s="147">
        <f t="shared" si="3"/>
        <v>4.6542946800000005</v>
      </c>
      <c r="I39" s="19">
        <f>F39/6*G39</f>
        <v>775.71578000000011</v>
      </c>
    </row>
    <row r="40" spans="1:9" ht="15.75" customHeight="1">
      <c r="A40" s="44">
        <v>8</v>
      </c>
      <c r="B40" s="143" t="s">
        <v>211</v>
      </c>
      <c r="C40" s="144" t="s">
        <v>32</v>
      </c>
      <c r="D40" s="143" t="s">
        <v>162</v>
      </c>
      <c r="E40" s="145">
        <v>63.5</v>
      </c>
      <c r="F40" s="146">
        <v>1.91</v>
      </c>
      <c r="G40" s="146">
        <v>2247.8000000000002</v>
      </c>
      <c r="H40" s="147">
        <f>G40*F40/1000</f>
        <v>4.2932980000000001</v>
      </c>
      <c r="I40" s="19">
        <f>F40/6*G40</f>
        <v>715.54966666666667</v>
      </c>
    </row>
    <row r="41" spans="1:9" ht="15.75" hidden="1" customHeight="1">
      <c r="A41" s="44"/>
      <c r="B41" s="143" t="s">
        <v>163</v>
      </c>
      <c r="C41" s="144" t="s">
        <v>164</v>
      </c>
      <c r="D41" s="143" t="s">
        <v>89</v>
      </c>
      <c r="E41" s="145"/>
      <c r="F41" s="146">
        <v>75</v>
      </c>
      <c r="G41" s="146">
        <v>213.2</v>
      </c>
      <c r="H41" s="147">
        <f>G41*F41/1000</f>
        <v>15.99</v>
      </c>
      <c r="I41" s="19">
        <v>0</v>
      </c>
    </row>
    <row r="42" spans="1:9" ht="15.75" customHeight="1">
      <c r="A42" s="44">
        <v>9</v>
      </c>
      <c r="B42" s="143" t="s">
        <v>92</v>
      </c>
      <c r="C42" s="144" t="s">
        <v>32</v>
      </c>
      <c r="D42" s="143" t="s">
        <v>165</v>
      </c>
      <c r="E42" s="146">
        <v>63.5</v>
      </c>
      <c r="F42" s="146">
        <f>SUM(E42*155/1000)</f>
        <v>9.8424999999999994</v>
      </c>
      <c r="G42" s="146">
        <v>374.95</v>
      </c>
      <c r="H42" s="147">
        <f t="shared" si="3"/>
        <v>3.6904453749999999</v>
      </c>
      <c r="I42" s="19">
        <f>F42/6*G42</f>
        <v>615.07422916666667</v>
      </c>
    </row>
    <row r="43" spans="1:9" ht="15.75" customHeight="1">
      <c r="A43" s="44">
        <v>10</v>
      </c>
      <c r="B43" s="143" t="s">
        <v>128</v>
      </c>
      <c r="C43" s="144" t="s">
        <v>166</v>
      </c>
      <c r="D43" s="143" t="s">
        <v>212</v>
      </c>
      <c r="E43" s="146">
        <v>63.5</v>
      </c>
      <c r="F43" s="146">
        <f>SUM(E43*24/1000)</f>
        <v>1.524</v>
      </c>
      <c r="G43" s="146">
        <v>6203.7</v>
      </c>
      <c r="H43" s="147">
        <f t="shared" si="3"/>
        <v>9.4544388000000001</v>
      </c>
      <c r="I43" s="19">
        <f>F43/6*G43</f>
        <v>1575.7398000000001</v>
      </c>
    </row>
    <row r="44" spans="1:9" ht="15.75" customHeight="1">
      <c r="A44" s="44">
        <v>11</v>
      </c>
      <c r="B44" s="143" t="s">
        <v>168</v>
      </c>
      <c r="C44" s="144" t="s">
        <v>166</v>
      </c>
      <c r="D44" s="143" t="s">
        <v>95</v>
      </c>
      <c r="E44" s="146">
        <v>63.5</v>
      </c>
      <c r="F44" s="146">
        <f>SUM(E44*45/1000)</f>
        <v>2.8574999999999999</v>
      </c>
      <c r="G44" s="146">
        <v>458.28</v>
      </c>
      <c r="H44" s="147">
        <f t="shared" si="3"/>
        <v>1.3095350999999997</v>
      </c>
      <c r="I44" s="19">
        <f>F44/6*G44</f>
        <v>218.25584999999998</v>
      </c>
    </row>
    <row r="45" spans="1:9" ht="15.75" customHeight="1">
      <c r="A45" s="44">
        <v>12</v>
      </c>
      <c r="B45" s="143" t="s">
        <v>96</v>
      </c>
      <c r="C45" s="144" t="s">
        <v>35</v>
      </c>
      <c r="D45" s="143"/>
      <c r="E45" s="145"/>
      <c r="F45" s="146">
        <v>0.9</v>
      </c>
      <c r="G45" s="146">
        <v>853.06</v>
      </c>
      <c r="H45" s="147">
        <f t="shared" si="3"/>
        <v>0.76775400000000005</v>
      </c>
      <c r="I45" s="19">
        <f>F45/6*G45</f>
        <v>127.95899999999999</v>
      </c>
    </row>
    <row r="46" spans="1:9" ht="15.75" customHeight="1">
      <c r="A46" s="186" t="s">
        <v>186</v>
      </c>
      <c r="B46" s="187"/>
      <c r="C46" s="187"/>
      <c r="D46" s="187"/>
      <c r="E46" s="187"/>
      <c r="F46" s="187"/>
      <c r="G46" s="187"/>
      <c r="H46" s="187"/>
      <c r="I46" s="188"/>
    </row>
    <row r="47" spans="1:9" ht="15.75" hidden="1" customHeight="1">
      <c r="A47" s="44"/>
      <c r="B47" s="143" t="s">
        <v>213</v>
      </c>
      <c r="C47" s="144" t="s">
        <v>166</v>
      </c>
      <c r="D47" s="143" t="s">
        <v>49</v>
      </c>
      <c r="E47" s="145">
        <v>881.3</v>
      </c>
      <c r="F47" s="146">
        <f>SUM(E47*2/1000)</f>
        <v>1.7625999999999999</v>
      </c>
      <c r="G47" s="19">
        <v>865.61</v>
      </c>
      <c r="H47" s="147">
        <f t="shared" ref="H47:H56" si="4">SUM(F47*G47/1000)</f>
        <v>1.5257241859999999</v>
      </c>
      <c r="I47" s="19">
        <v>0</v>
      </c>
    </row>
    <row r="48" spans="1:9" ht="15.75" hidden="1" customHeight="1">
      <c r="A48" s="44"/>
      <c r="B48" s="143" t="s">
        <v>39</v>
      </c>
      <c r="C48" s="144" t="s">
        <v>166</v>
      </c>
      <c r="D48" s="143" t="s">
        <v>49</v>
      </c>
      <c r="E48" s="145">
        <v>48</v>
      </c>
      <c r="F48" s="146">
        <f>SUM(E48*2/1000)</f>
        <v>9.6000000000000002E-2</v>
      </c>
      <c r="G48" s="19">
        <v>619.46</v>
      </c>
      <c r="H48" s="147">
        <f t="shared" si="4"/>
        <v>5.9468160000000006E-2</v>
      </c>
      <c r="I48" s="19">
        <v>0</v>
      </c>
    </row>
    <row r="49" spans="1:9" ht="15.75" hidden="1" customHeight="1">
      <c r="A49" s="44"/>
      <c r="B49" s="143" t="s">
        <v>40</v>
      </c>
      <c r="C49" s="144" t="s">
        <v>166</v>
      </c>
      <c r="D49" s="143" t="s">
        <v>49</v>
      </c>
      <c r="E49" s="145">
        <v>939.64</v>
      </c>
      <c r="F49" s="146">
        <f>SUM(E49*2/1000)</f>
        <v>1.8792800000000001</v>
      </c>
      <c r="G49" s="19">
        <v>619.46</v>
      </c>
      <c r="H49" s="147">
        <f t="shared" si="4"/>
        <v>1.1641387888000001</v>
      </c>
      <c r="I49" s="19">
        <v>0</v>
      </c>
    </row>
    <row r="50" spans="1:9" ht="15.75" hidden="1" customHeight="1">
      <c r="A50" s="44"/>
      <c r="B50" s="143" t="s">
        <v>41</v>
      </c>
      <c r="C50" s="144" t="s">
        <v>166</v>
      </c>
      <c r="D50" s="143" t="s">
        <v>49</v>
      </c>
      <c r="E50" s="145">
        <v>1247.3699999999999</v>
      </c>
      <c r="F50" s="146">
        <f>SUM(E50*2/1000)</f>
        <v>2.4947399999999997</v>
      </c>
      <c r="G50" s="19">
        <v>648.64</v>
      </c>
      <c r="H50" s="147">
        <f t="shared" si="4"/>
        <v>1.6181881535999998</v>
      </c>
      <c r="I50" s="19">
        <v>0</v>
      </c>
    </row>
    <row r="51" spans="1:9" ht="15.75" hidden="1" customHeight="1">
      <c r="A51" s="44"/>
      <c r="B51" s="143" t="s">
        <v>37</v>
      </c>
      <c r="C51" s="144" t="s">
        <v>38</v>
      </c>
      <c r="D51" s="143" t="s">
        <v>49</v>
      </c>
      <c r="E51" s="145">
        <v>65.03</v>
      </c>
      <c r="F51" s="146">
        <f>SUM(E51*2/100)</f>
        <v>1.3006</v>
      </c>
      <c r="G51" s="19">
        <v>77.84</v>
      </c>
      <c r="H51" s="147">
        <f t="shared" si="4"/>
        <v>0.101238704</v>
      </c>
      <c r="I51" s="19">
        <v>0</v>
      </c>
    </row>
    <row r="52" spans="1:9" ht="15.75" customHeight="1">
      <c r="A52" s="44">
        <v>13</v>
      </c>
      <c r="B52" s="143" t="s">
        <v>71</v>
      </c>
      <c r="C52" s="144" t="s">
        <v>166</v>
      </c>
      <c r="D52" s="143" t="s">
        <v>239</v>
      </c>
      <c r="E52" s="145">
        <v>702</v>
      </c>
      <c r="F52" s="146">
        <f>SUM(E52*5/1000)</f>
        <v>3.51</v>
      </c>
      <c r="G52" s="19">
        <v>1297.28</v>
      </c>
      <c r="H52" s="147">
        <f t="shared" si="4"/>
        <v>4.5534527999999996</v>
      </c>
      <c r="I52" s="19">
        <f>F52/5*G52</f>
        <v>910.69055999999989</v>
      </c>
    </row>
    <row r="53" spans="1:9" ht="31.5" hidden="1" customHeight="1">
      <c r="A53" s="44"/>
      <c r="B53" s="143" t="s">
        <v>154</v>
      </c>
      <c r="C53" s="144" t="s">
        <v>166</v>
      </c>
      <c r="D53" s="143" t="s">
        <v>49</v>
      </c>
      <c r="E53" s="145">
        <v>702</v>
      </c>
      <c r="F53" s="146">
        <f>SUM(E53*2/1000)</f>
        <v>1.4039999999999999</v>
      </c>
      <c r="G53" s="19">
        <v>1297.28</v>
      </c>
      <c r="H53" s="147">
        <f t="shared" si="4"/>
        <v>1.8213811199999999</v>
      </c>
      <c r="I53" s="19">
        <v>0</v>
      </c>
    </row>
    <row r="54" spans="1:9" ht="31.5" hidden="1" customHeight="1">
      <c r="A54" s="44"/>
      <c r="B54" s="143" t="s">
        <v>155</v>
      </c>
      <c r="C54" s="144" t="s">
        <v>44</v>
      </c>
      <c r="D54" s="143" t="s">
        <v>49</v>
      </c>
      <c r="E54" s="145">
        <v>12</v>
      </c>
      <c r="F54" s="146">
        <f>SUM(E54*2/100)</f>
        <v>0.24</v>
      </c>
      <c r="G54" s="19">
        <v>2918.89</v>
      </c>
      <c r="H54" s="147">
        <f t="shared" si="4"/>
        <v>0.70053359999999998</v>
      </c>
      <c r="I54" s="19">
        <v>0</v>
      </c>
    </row>
    <row r="55" spans="1:9" ht="15.75" hidden="1" customHeight="1">
      <c r="A55" s="44"/>
      <c r="B55" s="143" t="s">
        <v>45</v>
      </c>
      <c r="C55" s="144" t="s">
        <v>46</v>
      </c>
      <c r="D55" s="143" t="s">
        <v>49</v>
      </c>
      <c r="E55" s="145">
        <v>1</v>
      </c>
      <c r="F55" s="146">
        <v>0.02</v>
      </c>
      <c r="G55" s="19">
        <v>6042.12</v>
      </c>
      <c r="H55" s="147">
        <f t="shared" si="4"/>
        <v>0.1208424</v>
      </c>
      <c r="I55" s="19">
        <v>0</v>
      </c>
    </row>
    <row r="56" spans="1:9" ht="15.75" hidden="1" customHeight="1">
      <c r="A56" s="44">
        <v>14</v>
      </c>
      <c r="B56" s="143" t="s">
        <v>48</v>
      </c>
      <c r="C56" s="144" t="s">
        <v>140</v>
      </c>
      <c r="D56" s="143" t="s">
        <v>97</v>
      </c>
      <c r="E56" s="145">
        <v>72</v>
      </c>
      <c r="F56" s="146">
        <f>SUM(E56)*3</f>
        <v>216</v>
      </c>
      <c r="G56" s="19">
        <v>70.209999999999994</v>
      </c>
      <c r="H56" s="147">
        <f t="shared" si="4"/>
        <v>15.165359999999998</v>
      </c>
      <c r="I56" s="19">
        <f>E56*G56</f>
        <v>5055.12</v>
      </c>
    </row>
    <row r="57" spans="1:9" ht="15.75" customHeight="1">
      <c r="A57" s="186" t="s">
        <v>187</v>
      </c>
      <c r="B57" s="187"/>
      <c r="C57" s="187"/>
      <c r="D57" s="187"/>
      <c r="E57" s="187"/>
      <c r="F57" s="187"/>
      <c r="G57" s="187"/>
      <c r="H57" s="187"/>
      <c r="I57" s="188"/>
    </row>
    <row r="58" spans="1:9" ht="15.75" customHeight="1">
      <c r="A58" s="44"/>
      <c r="B58" s="164" t="s">
        <v>50</v>
      </c>
      <c r="C58" s="144"/>
      <c r="D58" s="143"/>
      <c r="E58" s="145"/>
      <c r="F58" s="146"/>
      <c r="G58" s="146"/>
      <c r="H58" s="147"/>
      <c r="I58" s="19"/>
    </row>
    <row r="59" spans="1:9" ht="31.5" customHeight="1">
      <c r="A59" s="44">
        <v>14</v>
      </c>
      <c r="B59" s="143" t="s">
        <v>214</v>
      </c>
      <c r="C59" s="144" t="s">
        <v>148</v>
      </c>
      <c r="D59" s="143" t="s">
        <v>215</v>
      </c>
      <c r="E59" s="145">
        <v>106.13</v>
      </c>
      <c r="F59" s="146">
        <f>SUM(E59*6/100)</f>
        <v>6.3677999999999999</v>
      </c>
      <c r="G59" s="19">
        <v>1456.95</v>
      </c>
      <c r="H59" s="147">
        <f>SUM(F59*G59/1000)</f>
        <v>9.2775662100000016</v>
      </c>
      <c r="I59" s="19">
        <f>F59/6*G59</f>
        <v>1546.261035</v>
      </c>
    </row>
    <row r="60" spans="1:9" ht="15.75" hidden="1" customHeight="1">
      <c r="A60" s="44"/>
      <c r="B60" s="164" t="s">
        <v>51</v>
      </c>
      <c r="C60" s="144"/>
      <c r="D60" s="143"/>
      <c r="E60" s="145"/>
      <c r="F60" s="146"/>
      <c r="G60" s="130"/>
      <c r="H60" s="147"/>
      <c r="I60" s="19"/>
    </row>
    <row r="61" spans="1:9" ht="15.75" hidden="1" customHeight="1">
      <c r="A61" s="44"/>
      <c r="B61" s="143" t="s">
        <v>216</v>
      </c>
      <c r="C61" s="144"/>
      <c r="D61" s="143" t="s">
        <v>63</v>
      </c>
      <c r="E61" s="145">
        <v>1036</v>
      </c>
      <c r="F61" s="147">
        <v>10.36</v>
      </c>
      <c r="G61" s="19">
        <v>848.37</v>
      </c>
      <c r="H61" s="152">
        <f>F61*G61/1000</f>
        <v>8.7891131999999992</v>
      </c>
      <c r="I61" s="19">
        <v>0</v>
      </c>
    </row>
    <row r="62" spans="1:9" ht="15.75" hidden="1" customHeight="1">
      <c r="A62" s="44"/>
      <c r="B62" s="165" t="s">
        <v>53</v>
      </c>
      <c r="C62" s="153"/>
      <c r="D62" s="154"/>
      <c r="E62" s="155"/>
      <c r="F62" s="156"/>
      <c r="G62" s="156"/>
      <c r="H62" s="157" t="s">
        <v>208</v>
      </c>
      <c r="I62" s="19"/>
    </row>
    <row r="63" spans="1:9" ht="15.75" hidden="1" customHeight="1">
      <c r="A63" s="44"/>
      <c r="B63" s="21" t="s">
        <v>54</v>
      </c>
      <c r="C63" s="23" t="s">
        <v>140</v>
      </c>
      <c r="D63" s="21" t="s">
        <v>89</v>
      </c>
      <c r="E63" s="26">
        <v>10</v>
      </c>
      <c r="F63" s="146">
        <v>10</v>
      </c>
      <c r="G63" s="19">
        <v>237.74</v>
      </c>
      <c r="H63" s="141">
        <f t="shared" ref="H63:H75" si="5">SUM(F63*G63/1000)</f>
        <v>2.3774000000000002</v>
      </c>
      <c r="I63" s="19">
        <v>0</v>
      </c>
    </row>
    <row r="64" spans="1:9" ht="15.75" hidden="1" customHeight="1">
      <c r="A64" s="44"/>
      <c r="B64" s="21" t="s">
        <v>55</v>
      </c>
      <c r="C64" s="23" t="s">
        <v>140</v>
      </c>
      <c r="D64" s="21" t="s">
        <v>89</v>
      </c>
      <c r="E64" s="26">
        <v>5</v>
      </c>
      <c r="F64" s="146">
        <v>5</v>
      </c>
      <c r="G64" s="19">
        <v>81.510000000000005</v>
      </c>
      <c r="H64" s="141">
        <f t="shared" si="5"/>
        <v>0.40755000000000002</v>
      </c>
      <c r="I64" s="19">
        <v>0</v>
      </c>
    </row>
    <row r="65" spans="1:9" ht="15.75" hidden="1" customHeight="1">
      <c r="A65" s="44"/>
      <c r="B65" s="21" t="s">
        <v>56</v>
      </c>
      <c r="C65" s="23" t="s">
        <v>217</v>
      </c>
      <c r="D65" s="21" t="s">
        <v>63</v>
      </c>
      <c r="E65" s="145">
        <v>8607</v>
      </c>
      <c r="F65" s="19">
        <f>SUM(E65/100)</f>
        <v>86.07</v>
      </c>
      <c r="G65" s="19">
        <v>226.79</v>
      </c>
      <c r="H65" s="141">
        <f t="shared" si="5"/>
        <v>19.519815299999998</v>
      </c>
      <c r="I65" s="19">
        <v>0</v>
      </c>
    </row>
    <row r="66" spans="1:9" ht="15.75" hidden="1" customHeight="1">
      <c r="A66" s="44"/>
      <c r="B66" s="21" t="s">
        <v>57</v>
      </c>
      <c r="C66" s="23" t="s">
        <v>218</v>
      </c>
      <c r="D66" s="21"/>
      <c r="E66" s="145">
        <v>8607</v>
      </c>
      <c r="F66" s="19">
        <f>SUM(E66/1000)</f>
        <v>8.6069999999999993</v>
      </c>
      <c r="G66" s="19">
        <v>176.61</v>
      </c>
      <c r="H66" s="141">
        <f t="shared" si="5"/>
        <v>1.5200822700000001</v>
      </c>
      <c r="I66" s="19">
        <v>0</v>
      </c>
    </row>
    <row r="67" spans="1:9" ht="15.75" hidden="1" customHeight="1">
      <c r="A67" s="44"/>
      <c r="B67" s="21" t="s">
        <v>58</v>
      </c>
      <c r="C67" s="23" t="s">
        <v>107</v>
      </c>
      <c r="D67" s="21" t="s">
        <v>63</v>
      </c>
      <c r="E67" s="145">
        <v>1370</v>
      </c>
      <c r="F67" s="19">
        <f>SUM(E67/100)</f>
        <v>13.7</v>
      </c>
      <c r="G67" s="19">
        <v>2217.7800000000002</v>
      </c>
      <c r="H67" s="141">
        <f t="shared" si="5"/>
        <v>30.383586000000005</v>
      </c>
      <c r="I67" s="19">
        <v>0</v>
      </c>
    </row>
    <row r="68" spans="1:9" ht="15.75" hidden="1" customHeight="1">
      <c r="A68" s="44"/>
      <c r="B68" s="158" t="s">
        <v>219</v>
      </c>
      <c r="C68" s="23" t="s">
        <v>35</v>
      </c>
      <c r="D68" s="21"/>
      <c r="E68" s="145">
        <v>7.8</v>
      </c>
      <c r="F68" s="19">
        <f>SUM(E68)</f>
        <v>7.8</v>
      </c>
      <c r="G68" s="19">
        <v>42.67</v>
      </c>
      <c r="H68" s="141">
        <f t="shared" si="5"/>
        <v>0.33282600000000001</v>
      </c>
      <c r="I68" s="19">
        <v>0</v>
      </c>
    </row>
    <row r="69" spans="1:9" ht="15.75" hidden="1" customHeight="1">
      <c r="A69" s="44"/>
      <c r="B69" s="158" t="s">
        <v>220</v>
      </c>
      <c r="C69" s="23" t="s">
        <v>35</v>
      </c>
      <c r="D69" s="21"/>
      <c r="E69" s="145">
        <v>7.8</v>
      </c>
      <c r="F69" s="19">
        <f>SUM(E69)</f>
        <v>7.8</v>
      </c>
      <c r="G69" s="19">
        <v>39.81</v>
      </c>
      <c r="H69" s="141">
        <f t="shared" si="5"/>
        <v>0.31051800000000002</v>
      </c>
      <c r="I69" s="19">
        <v>0</v>
      </c>
    </row>
    <row r="70" spans="1:9" ht="15.75" hidden="1" customHeight="1">
      <c r="A70" s="44"/>
      <c r="B70" s="21" t="s">
        <v>72</v>
      </c>
      <c r="C70" s="23" t="s">
        <v>73</v>
      </c>
      <c r="D70" s="21" t="s">
        <v>63</v>
      </c>
      <c r="E70" s="26">
        <v>3</v>
      </c>
      <c r="F70" s="146">
        <v>3</v>
      </c>
      <c r="G70" s="19">
        <v>53.32</v>
      </c>
      <c r="H70" s="141">
        <f t="shared" si="5"/>
        <v>0.15996000000000002</v>
      </c>
      <c r="I70" s="19">
        <v>0</v>
      </c>
    </row>
    <row r="71" spans="1:9" ht="15.75" hidden="1" customHeight="1">
      <c r="A71" s="44"/>
      <c r="B71" s="127" t="s">
        <v>101</v>
      </c>
      <c r="C71" s="23"/>
      <c r="D71" s="21"/>
      <c r="E71" s="26"/>
      <c r="F71" s="19"/>
      <c r="G71" s="19"/>
      <c r="H71" s="141" t="s">
        <v>208</v>
      </c>
      <c r="I71" s="19"/>
    </row>
    <row r="72" spans="1:9" ht="15.75" hidden="1" customHeight="1">
      <c r="A72" s="44"/>
      <c r="B72" s="21" t="s">
        <v>102</v>
      </c>
      <c r="C72" s="23" t="s">
        <v>104</v>
      </c>
      <c r="D72" s="21"/>
      <c r="E72" s="26">
        <v>2</v>
      </c>
      <c r="F72" s="19">
        <v>0.2</v>
      </c>
      <c r="G72" s="19">
        <v>536.23</v>
      </c>
      <c r="H72" s="141">
        <f t="shared" si="5"/>
        <v>0.10724600000000001</v>
      </c>
      <c r="I72" s="19">
        <v>0</v>
      </c>
    </row>
    <row r="73" spans="1:9" ht="15.75" hidden="1" customHeight="1">
      <c r="A73" s="44"/>
      <c r="B73" s="21" t="s">
        <v>103</v>
      </c>
      <c r="C73" s="23" t="s">
        <v>33</v>
      </c>
      <c r="D73" s="21"/>
      <c r="E73" s="26">
        <v>1</v>
      </c>
      <c r="F73" s="130">
        <v>1</v>
      </c>
      <c r="G73" s="19">
        <v>911.85</v>
      </c>
      <c r="H73" s="141">
        <f>F73*G73/1000</f>
        <v>0.91185000000000005</v>
      </c>
      <c r="I73" s="19">
        <v>0</v>
      </c>
    </row>
    <row r="74" spans="1:9" ht="15.75" hidden="1" customHeight="1">
      <c r="A74" s="44"/>
      <c r="B74" s="160" t="s">
        <v>105</v>
      </c>
      <c r="C74" s="23"/>
      <c r="D74" s="21"/>
      <c r="E74" s="26"/>
      <c r="F74" s="19"/>
      <c r="G74" s="19" t="s">
        <v>208</v>
      </c>
      <c r="H74" s="141" t="s">
        <v>208</v>
      </c>
      <c r="I74" s="19"/>
    </row>
    <row r="75" spans="1:9" ht="15.75" hidden="1" customHeight="1">
      <c r="A75" s="44"/>
      <c r="B75" s="81" t="s">
        <v>240</v>
      </c>
      <c r="C75" s="23" t="s">
        <v>107</v>
      </c>
      <c r="D75" s="21"/>
      <c r="E75" s="26"/>
      <c r="F75" s="19">
        <v>1</v>
      </c>
      <c r="G75" s="19">
        <v>2831.38</v>
      </c>
      <c r="H75" s="141">
        <f t="shared" si="5"/>
        <v>2.8313800000000002</v>
      </c>
      <c r="I75" s="19">
        <v>0</v>
      </c>
    </row>
    <row r="76" spans="1:9" ht="15.75" hidden="1" customHeight="1">
      <c r="A76" s="44"/>
      <c r="B76" s="168" t="s">
        <v>158</v>
      </c>
      <c r="C76" s="168"/>
      <c r="D76" s="168"/>
      <c r="E76" s="168"/>
      <c r="F76" s="168"/>
      <c r="G76" s="149"/>
      <c r="H76" s="161">
        <f>SUM(H59:H75)</f>
        <v>76.928892980000001</v>
      </c>
      <c r="I76" s="149"/>
    </row>
    <row r="77" spans="1:9" ht="15.75" hidden="1" customHeight="1">
      <c r="A77" s="44"/>
      <c r="B77" s="166" t="s">
        <v>221</v>
      </c>
      <c r="C77" s="32"/>
      <c r="D77" s="31"/>
      <c r="E77" s="162"/>
      <c r="F77" s="167">
        <v>1</v>
      </c>
      <c r="G77" s="19">
        <v>7528.4</v>
      </c>
      <c r="H77" s="141">
        <f>G77*F77/1000</f>
        <v>7.5283999999999995</v>
      </c>
      <c r="I77" s="19">
        <v>0</v>
      </c>
    </row>
    <row r="78" spans="1:9" ht="15.75" customHeight="1">
      <c r="A78" s="186" t="s">
        <v>188</v>
      </c>
      <c r="B78" s="187"/>
      <c r="C78" s="187"/>
      <c r="D78" s="187"/>
      <c r="E78" s="187"/>
      <c r="F78" s="187"/>
      <c r="G78" s="187"/>
      <c r="H78" s="187"/>
      <c r="I78" s="188"/>
    </row>
    <row r="79" spans="1:9" ht="15.75" customHeight="1">
      <c r="A79" s="44">
        <v>15</v>
      </c>
      <c r="B79" s="143" t="s">
        <v>222</v>
      </c>
      <c r="C79" s="23" t="s">
        <v>68</v>
      </c>
      <c r="D79" s="163" t="s">
        <v>69</v>
      </c>
      <c r="E79" s="19">
        <v>2062.5</v>
      </c>
      <c r="F79" s="19">
        <f>SUM(E79*12)</f>
        <v>24750</v>
      </c>
      <c r="G79" s="19">
        <v>2.2400000000000002</v>
      </c>
      <c r="H79" s="141">
        <f>SUM(F79*G79/1000)</f>
        <v>55.440000000000005</v>
      </c>
      <c r="I79" s="19">
        <f>F79/12*G79</f>
        <v>4620</v>
      </c>
    </row>
    <row r="80" spans="1:9" ht="31.5" customHeight="1">
      <c r="A80" s="44">
        <v>16</v>
      </c>
      <c r="B80" s="21" t="s">
        <v>108</v>
      </c>
      <c r="C80" s="23"/>
      <c r="D80" s="163" t="s">
        <v>69</v>
      </c>
      <c r="E80" s="145">
        <f>E79</f>
        <v>2062.5</v>
      </c>
      <c r="F80" s="19">
        <f>E80*12</f>
        <v>24750</v>
      </c>
      <c r="G80" s="19">
        <v>1.74</v>
      </c>
      <c r="H80" s="141">
        <f>F80*G80/1000</f>
        <v>43.064999999999998</v>
      </c>
      <c r="I80" s="19">
        <f>F80/12*G80</f>
        <v>3588.75</v>
      </c>
    </row>
    <row r="81" spans="1:9" ht="15.75" customHeight="1">
      <c r="A81" s="44"/>
      <c r="B81" s="68" t="s">
        <v>115</v>
      </c>
      <c r="C81" s="160"/>
      <c r="D81" s="159"/>
      <c r="E81" s="149"/>
      <c r="F81" s="149"/>
      <c r="G81" s="149"/>
      <c r="H81" s="161">
        <f>H80</f>
        <v>43.064999999999998</v>
      </c>
      <c r="I81" s="149">
        <f>I16+I17+I18+I27+I28+I38+I39+I40+I42+I43+I44+I45+I52+I59+I79+I80</f>
        <v>33730.995734166667</v>
      </c>
    </row>
    <row r="82" spans="1:9" ht="15.75" customHeight="1">
      <c r="A82" s="44"/>
      <c r="B82" s="102" t="s">
        <v>76</v>
      </c>
      <c r="C82" s="23"/>
      <c r="D82" s="81"/>
      <c r="E82" s="19"/>
      <c r="F82" s="19"/>
      <c r="G82" s="19"/>
      <c r="H82" s="161" t="e">
        <f>SUM(H81+#REF!+H76+H57+H46+#REF!+H29)</f>
        <v>#REF!</v>
      </c>
      <c r="I82" s="19"/>
    </row>
    <row r="83" spans="1:9" ht="15.75" hidden="1" customHeight="1">
      <c r="A83" s="44"/>
      <c r="B83" s="95" t="s">
        <v>227</v>
      </c>
      <c r="C83" s="96" t="s">
        <v>228</v>
      </c>
      <c r="D83" s="81"/>
      <c r="E83" s="19"/>
      <c r="F83" s="19">
        <v>1.5</v>
      </c>
      <c r="G83" s="19">
        <v>1501</v>
      </c>
      <c r="H83" s="141">
        <f>G83*F83/1000</f>
        <v>2.2515000000000001</v>
      </c>
      <c r="I83" s="19">
        <v>0</v>
      </c>
    </row>
    <row r="84" spans="1:9" ht="15.75" hidden="1" customHeight="1">
      <c r="A84" s="44"/>
      <c r="B84" s="95" t="s">
        <v>229</v>
      </c>
      <c r="C84" s="96" t="s">
        <v>129</v>
      </c>
      <c r="D84" s="81"/>
      <c r="E84" s="19"/>
      <c r="F84" s="19">
        <v>3</v>
      </c>
      <c r="G84" s="19">
        <v>185.81</v>
      </c>
      <c r="H84" s="141">
        <f>G84*F84/1000</f>
        <v>0.55743000000000009</v>
      </c>
      <c r="I84" s="19">
        <v>0</v>
      </c>
    </row>
    <row r="85" spans="1:9" ht="15.75" hidden="1" customHeight="1">
      <c r="A85" s="44"/>
      <c r="B85" s="95" t="s">
        <v>230</v>
      </c>
      <c r="C85" s="96" t="s">
        <v>171</v>
      </c>
      <c r="D85" s="81"/>
      <c r="E85" s="19"/>
      <c r="F85" s="19">
        <v>1</v>
      </c>
      <c r="G85" s="19">
        <v>625.07000000000005</v>
      </c>
      <c r="H85" s="141">
        <f>G85*F85/1000</f>
        <v>0.62507000000000001</v>
      </c>
      <c r="I85" s="19">
        <v>0</v>
      </c>
    </row>
    <row r="86" spans="1:9" ht="15.75" hidden="1" customHeight="1">
      <c r="A86" s="44"/>
      <c r="B86" s="95" t="s">
        <v>231</v>
      </c>
      <c r="C86" s="96" t="s">
        <v>180</v>
      </c>
      <c r="D86" s="81"/>
      <c r="E86" s="19"/>
      <c r="F86" s="19">
        <f>1/100</f>
        <v>0.01</v>
      </c>
      <c r="G86" s="19">
        <v>7033.13</v>
      </c>
      <c r="H86" s="141">
        <f t="shared" ref="H86" si="6">G86*F86/1000</f>
        <v>7.0331299999999999E-2</v>
      </c>
      <c r="I86" s="19">
        <v>0</v>
      </c>
    </row>
    <row r="87" spans="1:9" ht="30.75" hidden="1" customHeight="1">
      <c r="A87" s="44"/>
      <c r="B87" s="95" t="s">
        <v>232</v>
      </c>
      <c r="C87" s="96" t="s">
        <v>171</v>
      </c>
      <c r="D87" s="81"/>
      <c r="E87" s="19"/>
      <c r="F87" s="19">
        <v>1</v>
      </c>
      <c r="G87" s="19">
        <v>476.76</v>
      </c>
      <c r="H87" s="141">
        <f t="shared" ref="H87:H89" si="7">G87*F87/1000</f>
        <v>0.47676000000000002</v>
      </c>
      <c r="I87" s="19">
        <v>0</v>
      </c>
    </row>
    <row r="88" spans="1:9" ht="30.75" hidden="1" customHeight="1">
      <c r="A88" s="44"/>
      <c r="B88" s="95" t="s">
        <v>233</v>
      </c>
      <c r="C88" s="96" t="s">
        <v>171</v>
      </c>
      <c r="D88" s="81"/>
      <c r="E88" s="19"/>
      <c r="F88" s="19">
        <v>1</v>
      </c>
      <c r="G88" s="19">
        <v>968.53</v>
      </c>
      <c r="H88" s="141">
        <f t="shared" si="7"/>
        <v>0.96853</v>
      </c>
      <c r="I88" s="19">
        <v>0</v>
      </c>
    </row>
    <row r="89" spans="1:9" ht="30.75" hidden="1" customHeight="1">
      <c r="A89" s="44"/>
      <c r="B89" s="95" t="s">
        <v>234</v>
      </c>
      <c r="C89" s="96" t="s">
        <v>235</v>
      </c>
      <c r="D89" s="81"/>
      <c r="E89" s="19"/>
      <c r="F89" s="19">
        <f>1.57/10</f>
        <v>0.157</v>
      </c>
      <c r="G89" s="19">
        <v>5641.28</v>
      </c>
      <c r="H89" s="141">
        <f t="shared" si="7"/>
        <v>0.88568095999999996</v>
      </c>
      <c r="I89" s="19">
        <v>0</v>
      </c>
    </row>
    <row r="90" spans="1:9" ht="15.75" customHeight="1">
      <c r="A90" s="44"/>
      <c r="B90" s="75" t="s">
        <v>60</v>
      </c>
      <c r="C90" s="71"/>
      <c r="D90" s="85"/>
      <c r="E90" s="71">
        <v>1</v>
      </c>
      <c r="F90" s="71"/>
      <c r="G90" s="71"/>
      <c r="H90" s="71"/>
      <c r="I90" s="52">
        <f>SUM(I83:I89)</f>
        <v>0</v>
      </c>
    </row>
    <row r="91" spans="1:9">
      <c r="A91" s="44"/>
      <c r="B91" s="81" t="s">
        <v>109</v>
      </c>
      <c r="C91" s="22"/>
      <c r="D91" s="22"/>
      <c r="E91" s="72"/>
      <c r="F91" s="72"/>
      <c r="G91" s="73"/>
      <c r="H91" s="73"/>
      <c r="I91" s="25">
        <v>0</v>
      </c>
    </row>
    <row r="92" spans="1:9">
      <c r="A92" s="86"/>
      <c r="B92" s="76" t="s">
        <v>61</v>
      </c>
      <c r="C92" s="59"/>
      <c r="D92" s="59"/>
      <c r="E92" s="59"/>
      <c r="F92" s="59"/>
      <c r="G92" s="59"/>
      <c r="H92" s="59"/>
      <c r="I92" s="74">
        <f>I81+I90</f>
        <v>33730.995734166667</v>
      </c>
    </row>
    <row r="93" spans="1:9" ht="15.75" customHeight="1">
      <c r="A93" s="181" t="s">
        <v>244</v>
      </c>
      <c r="B93" s="181"/>
      <c r="C93" s="181"/>
      <c r="D93" s="181"/>
      <c r="E93" s="181"/>
      <c r="F93" s="181"/>
      <c r="G93" s="181"/>
      <c r="H93" s="181"/>
      <c r="I93" s="181"/>
    </row>
    <row r="94" spans="1:9" ht="15.75">
      <c r="A94" s="117"/>
      <c r="B94" s="182" t="s">
        <v>245</v>
      </c>
      <c r="C94" s="182"/>
      <c r="D94" s="182"/>
      <c r="E94" s="182"/>
      <c r="F94" s="182"/>
      <c r="G94" s="182"/>
      <c r="H94" s="135"/>
      <c r="I94" s="3"/>
    </row>
    <row r="95" spans="1:9">
      <c r="A95" s="116"/>
      <c r="B95" s="183" t="s">
        <v>6</v>
      </c>
      <c r="C95" s="183"/>
      <c r="D95" s="183"/>
      <c r="E95" s="183"/>
      <c r="F95" s="183"/>
      <c r="G95" s="183"/>
      <c r="H95" s="39"/>
      <c r="I95" s="5"/>
    </row>
    <row r="96" spans="1:9">
      <c r="A96" s="12"/>
      <c r="B96" s="12"/>
      <c r="C96" s="12"/>
      <c r="D96" s="12"/>
      <c r="E96" s="12"/>
      <c r="F96" s="12"/>
      <c r="G96" s="12"/>
      <c r="H96" s="12"/>
      <c r="I96" s="12"/>
    </row>
    <row r="97" spans="1:9" ht="15.75">
      <c r="A97" s="184" t="s">
        <v>7</v>
      </c>
      <c r="B97" s="184"/>
      <c r="C97" s="184"/>
      <c r="D97" s="184"/>
      <c r="E97" s="184"/>
      <c r="F97" s="184"/>
      <c r="G97" s="184"/>
      <c r="H97" s="184"/>
      <c r="I97" s="184"/>
    </row>
    <row r="98" spans="1:9" ht="15.75">
      <c r="A98" s="184" t="s">
        <v>8</v>
      </c>
      <c r="B98" s="184"/>
      <c r="C98" s="184"/>
      <c r="D98" s="184"/>
      <c r="E98" s="184"/>
      <c r="F98" s="184"/>
      <c r="G98" s="184"/>
      <c r="H98" s="184"/>
      <c r="I98" s="184"/>
    </row>
    <row r="99" spans="1:9" ht="15.75" customHeight="1">
      <c r="A99" s="185" t="s">
        <v>79</v>
      </c>
      <c r="B99" s="185"/>
      <c r="C99" s="185"/>
      <c r="D99" s="185"/>
      <c r="E99" s="185"/>
      <c r="F99" s="185"/>
      <c r="G99" s="185"/>
      <c r="H99" s="185"/>
      <c r="I99" s="185"/>
    </row>
    <row r="100" spans="1:9" ht="15.75">
      <c r="A100" s="13"/>
    </row>
    <row r="101" spans="1:9" ht="15.75">
      <c r="A101" s="191" t="s">
        <v>9</v>
      </c>
      <c r="B101" s="191"/>
      <c r="C101" s="191"/>
      <c r="D101" s="191"/>
      <c r="E101" s="191"/>
      <c r="F101" s="191"/>
      <c r="G101" s="191"/>
      <c r="H101" s="191"/>
      <c r="I101" s="191"/>
    </row>
    <row r="102" spans="1:9" ht="15.75">
      <c r="A102" s="4"/>
    </row>
    <row r="103" spans="1:9" ht="15.75" customHeight="1">
      <c r="B103" s="114" t="s">
        <v>10</v>
      </c>
      <c r="C103" s="192" t="s">
        <v>191</v>
      </c>
      <c r="D103" s="192"/>
      <c r="E103" s="192"/>
      <c r="F103" s="131"/>
      <c r="I103" s="115"/>
    </row>
    <row r="104" spans="1:9">
      <c r="A104" s="116"/>
      <c r="C104" s="183" t="s">
        <v>11</v>
      </c>
      <c r="D104" s="183"/>
      <c r="E104" s="183"/>
      <c r="F104" s="39"/>
      <c r="I104" s="113" t="s">
        <v>12</v>
      </c>
    </row>
    <row r="105" spans="1:9" ht="15.75">
      <c r="A105" s="40"/>
      <c r="C105" s="14"/>
      <c r="D105" s="14"/>
      <c r="G105" s="14"/>
      <c r="H105" s="14"/>
    </row>
    <row r="106" spans="1:9" ht="15.75" customHeight="1">
      <c r="B106" s="114" t="s">
        <v>13</v>
      </c>
      <c r="C106" s="178"/>
      <c r="D106" s="178"/>
      <c r="E106" s="178"/>
      <c r="F106" s="132"/>
      <c r="I106" s="115"/>
    </row>
    <row r="107" spans="1:9">
      <c r="A107" s="116"/>
      <c r="C107" s="179" t="s">
        <v>11</v>
      </c>
      <c r="D107" s="179"/>
      <c r="E107" s="179"/>
      <c r="F107" s="116"/>
      <c r="I107" s="113" t="s">
        <v>12</v>
      </c>
    </row>
    <row r="108" spans="1:9" ht="15.75">
      <c r="A108" s="4" t="s">
        <v>14</v>
      </c>
    </row>
    <row r="109" spans="1:9">
      <c r="A109" s="180" t="s">
        <v>15</v>
      </c>
      <c r="B109" s="180"/>
      <c r="C109" s="180"/>
      <c r="D109" s="180"/>
      <c r="E109" s="180"/>
      <c r="F109" s="180"/>
      <c r="G109" s="180"/>
      <c r="H109" s="180"/>
      <c r="I109" s="180"/>
    </row>
    <row r="110" spans="1:9" ht="45" customHeight="1">
      <c r="A110" s="190" t="s">
        <v>16</v>
      </c>
      <c r="B110" s="190"/>
      <c r="C110" s="190"/>
      <c r="D110" s="190"/>
      <c r="E110" s="190"/>
      <c r="F110" s="190"/>
      <c r="G110" s="190"/>
      <c r="H110" s="190"/>
      <c r="I110" s="190"/>
    </row>
    <row r="111" spans="1:9" ht="30" customHeight="1">
      <c r="A111" s="190" t="s">
        <v>17</v>
      </c>
      <c r="B111" s="190"/>
      <c r="C111" s="190"/>
      <c r="D111" s="190"/>
      <c r="E111" s="190"/>
      <c r="F111" s="190"/>
      <c r="G111" s="190"/>
      <c r="H111" s="190"/>
      <c r="I111" s="190"/>
    </row>
    <row r="112" spans="1:9" ht="30" customHeight="1">
      <c r="A112" s="190" t="s">
        <v>22</v>
      </c>
      <c r="B112" s="190"/>
      <c r="C112" s="190"/>
      <c r="D112" s="190"/>
      <c r="E112" s="190"/>
      <c r="F112" s="190"/>
      <c r="G112" s="190"/>
      <c r="H112" s="190"/>
      <c r="I112" s="190"/>
    </row>
    <row r="113" spans="1:9" ht="15" customHeight="1">
      <c r="A113" s="190" t="s">
        <v>21</v>
      </c>
      <c r="B113" s="190"/>
      <c r="C113" s="190"/>
      <c r="D113" s="190"/>
      <c r="E113" s="190"/>
      <c r="F113" s="190"/>
      <c r="G113" s="190"/>
      <c r="H113" s="190"/>
      <c r="I113" s="190"/>
    </row>
    <row r="180" spans="1:9" ht="15.75">
      <c r="A180" s="4" t="s">
        <v>14</v>
      </c>
    </row>
    <row r="181" spans="1:9">
      <c r="A181" s="180" t="s">
        <v>15</v>
      </c>
      <c r="B181" s="180"/>
      <c r="C181" s="180"/>
      <c r="D181" s="180"/>
      <c r="E181" s="180"/>
      <c r="F181" s="180"/>
      <c r="G181" s="180"/>
      <c r="H181" s="180"/>
      <c r="I181" s="180"/>
    </row>
    <row r="182" spans="1:9" ht="16.5" customHeight="1">
      <c r="A182" s="189" t="s">
        <v>16</v>
      </c>
      <c r="B182" s="189"/>
      <c r="C182" s="189"/>
      <c r="D182" s="189"/>
      <c r="E182" s="189"/>
      <c r="F182" s="189"/>
      <c r="G182" s="189"/>
      <c r="H182" s="189"/>
      <c r="I182" s="189"/>
    </row>
    <row r="183" spans="1:9" ht="16.5" customHeight="1">
      <c r="A183" s="189" t="s">
        <v>17</v>
      </c>
      <c r="B183" s="189"/>
      <c r="C183" s="189"/>
      <c r="D183" s="189"/>
      <c r="E183" s="189"/>
      <c r="F183" s="189"/>
      <c r="G183" s="189"/>
      <c r="H183" s="189"/>
      <c r="I183" s="189"/>
    </row>
    <row r="184" spans="1:9" ht="16.5" customHeight="1">
      <c r="A184" s="189" t="s">
        <v>22</v>
      </c>
      <c r="B184" s="189"/>
      <c r="C184" s="189"/>
      <c r="D184" s="189"/>
      <c r="E184" s="189"/>
      <c r="F184" s="189"/>
      <c r="G184" s="189"/>
      <c r="H184" s="189"/>
      <c r="I184" s="189"/>
    </row>
    <row r="185" spans="1:9" ht="16.5" customHeight="1">
      <c r="A185" s="189" t="s">
        <v>21</v>
      </c>
      <c r="B185" s="189"/>
      <c r="C185" s="189"/>
      <c r="D185" s="189"/>
      <c r="E185" s="189"/>
      <c r="F185" s="189"/>
      <c r="G185" s="189"/>
      <c r="H185" s="189"/>
      <c r="I185" s="189"/>
    </row>
    <row r="187" spans="1:9">
      <c r="A187" s="15" t="s">
        <v>20</v>
      </c>
      <c r="B187" s="15"/>
      <c r="C187" s="15"/>
      <c r="D187" s="15"/>
      <c r="E187" s="15"/>
      <c r="F187" s="15"/>
      <c r="G187" s="15"/>
      <c r="H187" s="15"/>
    </row>
  </sheetData>
  <mergeCells count="32">
    <mergeCell ref="A184:I184"/>
    <mergeCell ref="A185:I185"/>
    <mergeCell ref="A111:I111"/>
    <mergeCell ref="A112:I112"/>
    <mergeCell ref="A113:I113"/>
    <mergeCell ref="A181:I181"/>
    <mergeCell ref="A182:I182"/>
    <mergeCell ref="A183:I183"/>
    <mergeCell ref="A110:I110"/>
    <mergeCell ref="B94:G94"/>
    <mergeCell ref="B95:G95"/>
    <mergeCell ref="A97:I97"/>
    <mergeCell ref="A98:I98"/>
    <mergeCell ref="A99:I99"/>
    <mergeCell ref="A101:I101"/>
    <mergeCell ref="C103:E103"/>
    <mergeCell ref="C104:E104"/>
    <mergeCell ref="C106:E106"/>
    <mergeCell ref="C107:E107"/>
    <mergeCell ref="A109:I109"/>
    <mergeCell ref="A93:I93"/>
    <mergeCell ref="A3:I3"/>
    <mergeCell ref="A4:I4"/>
    <mergeCell ref="A5:I5"/>
    <mergeCell ref="A8:I8"/>
    <mergeCell ref="A10:I10"/>
    <mergeCell ref="A14:I14"/>
    <mergeCell ref="A15:I15"/>
    <mergeCell ref="A29:I29"/>
    <mergeCell ref="A46:I46"/>
    <mergeCell ref="A57:I57"/>
    <mergeCell ref="A78:I78"/>
  </mergeCells>
  <pageMargins left="0.70866141732283472" right="0.70866141732283472" top="0.27559055118110237" bottom="0.27559055118110237" header="0.31496062992125984" footer="0.31496062992125984"/>
  <pageSetup paperSize="9" scale="60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181"/>
  <sheetViews>
    <sheetView workbookViewId="0">
      <selection activeCell="A4" sqref="A4:I4"/>
    </sheetView>
  </sheetViews>
  <sheetFormatPr defaultRowHeight="15"/>
  <cols>
    <col min="1" max="1" width="6.42578125" customWidth="1"/>
    <col min="2" max="2" width="53.140625" customWidth="1"/>
    <col min="3" max="3" width="18.5703125" customWidth="1"/>
    <col min="4" max="4" width="18.28515625" customWidth="1"/>
    <col min="5" max="6" width="0" hidden="1" customWidth="1"/>
    <col min="7" max="7" width="22.5703125" customWidth="1"/>
    <col min="8" max="8" width="22.5703125" hidden="1" customWidth="1"/>
    <col min="9" max="9" width="22.5703125" customWidth="1"/>
  </cols>
  <sheetData>
    <row r="1" spans="1:9" ht="15.75">
      <c r="A1" s="42" t="s">
        <v>136</v>
      </c>
      <c r="I1" s="41"/>
    </row>
    <row r="2" spans="1:9" ht="15.75">
      <c r="A2" s="43" t="s">
        <v>82</v>
      </c>
    </row>
    <row r="3" spans="1:9" ht="15.75">
      <c r="A3" s="172" t="s">
        <v>247</v>
      </c>
      <c r="B3" s="172"/>
      <c r="C3" s="172"/>
      <c r="D3" s="172"/>
      <c r="E3" s="172"/>
      <c r="F3" s="172"/>
      <c r="G3" s="172"/>
      <c r="H3" s="172"/>
      <c r="I3" s="172"/>
    </row>
    <row r="4" spans="1:9" ht="31.5" customHeight="1">
      <c r="A4" s="173" t="s">
        <v>280</v>
      </c>
      <c r="B4" s="173"/>
      <c r="C4" s="173"/>
      <c r="D4" s="173"/>
      <c r="E4" s="173"/>
      <c r="F4" s="173"/>
      <c r="G4" s="173"/>
      <c r="H4" s="173"/>
      <c r="I4" s="173"/>
    </row>
    <row r="5" spans="1:9" ht="15.75">
      <c r="A5" s="172" t="s">
        <v>119</v>
      </c>
      <c r="B5" s="174"/>
      <c r="C5" s="174"/>
      <c r="D5" s="174"/>
      <c r="E5" s="174"/>
      <c r="F5" s="174"/>
      <c r="G5" s="174"/>
      <c r="H5" s="174"/>
      <c r="I5" s="174"/>
    </row>
    <row r="6" spans="1:9" ht="15.75">
      <c r="A6" s="2"/>
      <c r="B6" s="112"/>
      <c r="C6" s="112"/>
      <c r="D6" s="112"/>
      <c r="E6" s="112"/>
      <c r="F6" s="112"/>
      <c r="G6" s="112"/>
      <c r="H6" s="112"/>
      <c r="I6" s="45">
        <v>42460</v>
      </c>
    </row>
    <row r="7" spans="1:9" ht="15.75">
      <c r="B7" s="114"/>
      <c r="C7" s="114"/>
      <c r="D7" s="114"/>
      <c r="E7" s="3"/>
      <c r="F7" s="3"/>
      <c r="G7" s="3"/>
      <c r="H7" s="3"/>
    </row>
    <row r="8" spans="1:9" ht="78.75" customHeight="1">
      <c r="A8" s="175" t="s">
        <v>246</v>
      </c>
      <c r="B8" s="175"/>
      <c r="C8" s="175"/>
      <c r="D8" s="175"/>
      <c r="E8" s="175"/>
      <c r="F8" s="175"/>
      <c r="G8" s="175"/>
      <c r="H8" s="175"/>
      <c r="I8" s="175"/>
    </row>
    <row r="9" spans="1:9" ht="15.75">
      <c r="A9" s="4"/>
    </row>
    <row r="10" spans="1:9" ht="47.25" customHeight="1">
      <c r="A10" s="176" t="s">
        <v>190</v>
      </c>
      <c r="B10" s="176"/>
      <c r="C10" s="176"/>
      <c r="D10" s="176"/>
      <c r="E10" s="176"/>
      <c r="F10" s="176"/>
      <c r="G10" s="176"/>
      <c r="H10" s="176"/>
      <c r="I10" s="176"/>
    </row>
    <row r="11" spans="1:9" ht="15.75">
      <c r="A11" s="4"/>
    </row>
    <row r="12" spans="1:9" ht="47.25" customHeight="1">
      <c r="A12" s="8" t="s">
        <v>0</v>
      </c>
      <c r="B12" s="8" t="s">
        <v>1</v>
      </c>
      <c r="C12" s="8" t="s">
        <v>2</v>
      </c>
      <c r="D12" s="8" t="s">
        <v>18</v>
      </c>
      <c r="E12" s="8" t="s">
        <v>19</v>
      </c>
      <c r="F12" s="8"/>
      <c r="G12" s="8" t="s">
        <v>23</v>
      </c>
      <c r="H12" s="8"/>
      <c r="I12" s="8" t="s">
        <v>3</v>
      </c>
    </row>
    <row r="13" spans="1:9">
      <c r="A13" s="9">
        <v>1</v>
      </c>
      <c r="B13" s="9">
        <v>2</v>
      </c>
      <c r="C13" s="9">
        <v>3</v>
      </c>
      <c r="D13" s="9">
        <v>4</v>
      </c>
      <c r="E13" s="9">
        <v>5</v>
      </c>
      <c r="F13" s="9"/>
      <c r="G13" s="9">
        <v>5</v>
      </c>
      <c r="H13" s="9"/>
      <c r="I13" s="9">
        <v>6</v>
      </c>
    </row>
    <row r="14" spans="1:9" ht="15" customHeight="1">
      <c r="A14" s="177" t="s">
        <v>74</v>
      </c>
      <c r="B14" s="177"/>
      <c r="C14" s="177"/>
      <c r="D14" s="177"/>
      <c r="E14" s="177"/>
      <c r="F14" s="177"/>
      <c r="G14" s="177"/>
      <c r="H14" s="177"/>
      <c r="I14" s="177"/>
    </row>
    <row r="15" spans="1:9" ht="15" customHeight="1">
      <c r="A15" s="171" t="s">
        <v>4</v>
      </c>
      <c r="B15" s="171"/>
      <c r="C15" s="171"/>
      <c r="D15" s="171"/>
      <c r="E15" s="171"/>
      <c r="F15" s="171"/>
      <c r="G15" s="171"/>
      <c r="H15" s="171"/>
      <c r="I15" s="171"/>
    </row>
    <row r="16" spans="1:9" ht="31.5" customHeight="1">
      <c r="A16" s="44">
        <v>1</v>
      </c>
      <c r="B16" s="143" t="s">
        <v>147</v>
      </c>
      <c r="C16" s="144" t="s">
        <v>148</v>
      </c>
      <c r="D16" s="143" t="s">
        <v>149</v>
      </c>
      <c r="E16" s="145">
        <v>38.1</v>
      </c>
      <c r="F16" s="146">
        <f>SUM(E16*156/100)</f>
        <v>59.436000000000007</v>
      </c>
      <c r="G16" s="146">
        <v>187.48</v>
      </c>
      <c r="H16" s="147">
        <f t="shared" ref="H16:H26" si="0">SUM(F16*G16/1000)</f>
        <v>11.14306128</v>
      </c>
      <c r="I16" s="19">
        <f>F16/12*G16</f>
        <v>928.58843999999999</v>
      </c>
    </row>
    <row r="17" spans="1:9" ht="31.5" customHeight="1">
      <c r="A17" s="44">
        <v>2</v>
      </c>
      <c r="B17" s="143" t="s">
        <v>150</v>
      </c>
      <c r="C17" s="144" t="s">
        <v>148</v>
      </c>
      <c r="D17" s="143" t="s">
        <v>151</v>
      </c>
      <c r="E17" s="145">
        <v>114.4</v>
      </c>
      <c r="F17" s="146">
        <f>SUM(E17*104/100)</f>
        <v>118.976</v>
      </c>
      <c r="G17" s="146">
        <v>187.48</v>
      </c>
      <c r="H17" s="147">
        <f t="shared" si="0"/>
        <v>22.305620479999998</v>
      </c>
      <c r="I17" s="19">
        <f>F17/12*G17</f>
        <v>1858.8017066666666</v>
      </c>
    </row>
    <row r="18" spans="1:9" ht="31.5" customHeight="1">
      <c r="A18" s="44">
        <v>3</v>
      </c>
      <c r="B18" s="143" t="s">
        <v>152</v>
      </c>
      <c r="C18" s="144" t="s">
        <v>148</v>
      </c>
      <c r="D18" s="143" t="s">
        <v>153</v>
      </c>
      <c r="E18" s="145">
        <f>SUM(E16+E17)</f>
        <v>152.5</v>
      </c>
      <c r="F18" s="146">
        <f>SUM(E18*24/100)</f>
        <v>36.6</v>
      </c>
      <c r="G18" s="146">
        <v>539.30999999999995</v>
      </c>
      <c r="H18" s="147">
        <f t="shared" si="0"/>
        <v>19.738745999999999</v>
      </c>
      <c r="I18" s="19">
        <f>F18/12*G18</f>
        <v>1644.8955000000001</v>
      </c>
    </row>
    <row r="19" spans="1:9" ht="15.75" hidden="1" customHeight="1">
      <c r="A19" s="44">
        <v>4</v>
      </c>
      <c r="B19" s="143" t="s">
        <v>193</v>
      </c>
      <c r="C19" s="144" t="s">
        <v>194</v>
      </c>
      <c r="D19" s="143" t="s">
        <v>195</v>
      </c>
      <c r="E19" s="145">
        <v>32.4</v>
      </c>
      <c r="F19" s="146">
        <f>SUM(E19/10)</f>
        <v>3.2399999999999998</v>
      </c>
      <c r="G19" s="146">
        <v>181.91</v>
      </c>
      <c r="H19" s="147">
        <f t="shared" si="0"/>
        <v>0.58938839999999992</v>
      </c>
      <c r="I19" s="19">
        <v>0</v>
      </c>
    </row>
    <row r="20" spans="1:9" ht="15.75" hidden="1" customHeight="1">
      <c r="A20" s="44">
        <v>5</v>
      </c>
      <c r="B20" s="143" t="s">
        <v>196</v>
      </c>
      <c r="C20" s="144" t="s">
        <v>148</v>
      </c>
      <c r="D20" s="143" t="s">
        <v>49</v>
      </c>
      <c r="E20" s="145">
        <v>12.24</v>
      </c>
      <c r="F20" s="146">
        <f>SUM(E20*2/100)</f>
        <v>0.24480000000000002</v>
      </c>
      <c r="G20" s="146">
        <v>232.92</v>
      </c>
      <c r="H20" s="147">
        <f t="shared" si="0"/>
        <v>5.7018816E-2</v>
      </c>
      <c r="I20" s="19">
        <v>0</v>
      </c>
    </row>
    <row r="21" spans="1:9" ht="15.75" hidden="1" customHeight="1">
      <c r="A21" s="44">
        <v>6</v>
      </c>
      <c r="B21" s="143" t="s">
        <v>197</v>
      </c>
      <c r="C21" s="144" t="s">
        <v>148</v>
      </c>
      <c r="D21" s="143" t="s">
        <v>49</v>
      </c>
      <c r="E21" s="145">
        <v>10.08</v>
      </c>
      <c r="F21" s="146">
        <f>SUM(E21*2/100)</f>
        <v>0.2016</v>
      </c>
      <c r="G21" s="146">
        <v>231.03</v>
      </c>
      <c r="H21" s="147">
        <f t="shared" si="0"/>
        <v>4.6575648000000004E-2</v>
      </c>
      <c r="I21" s="19">
        <v>0</v>
      </c>
    </row>
    <row r="22" spans="1:9" ht="15.75" hidden="1" customHeight="1">
      <c r="A22" s="44">
        <v>7</v>
      </c>
      <c r="B22" s="143" t="s">
        <v>198</v>
      </c>
      <c r="C22" s="144" t="s">
        <v>62</v>
      </c>
      <c r="D22" s="143" t="s">
        <v>195</v>
      </c>
      <c r="E22" s="145">
        <v>293.76</v>
      </c>
      <c r="F22" s="146">
        <f>SUM(E22/100)</f>
        <v>2.9375999999999998</v>
      </c>
      <c r="G22" s="146">
        <v>287.83999999999997</v>
      </c>
      <c r="H22" s="147">
        <f t="shared" si="0"/>
        <v>0.84555878399999984</v>
      </c>
      <c r="I22" s="19">
        <v>0</v>
      </c>
    </row>
    <row r="23" spans="1:9" ht="15.75" hidden="1" customHeight="1">
      <c r="A23" s="44">
        <v>8</v>
      </c>
      <c r="B23" s="143" t="s">
        <v>199</v>
      </c>
      <c r="C23" s="144" t="s">
        <v>62</v>
      </c>
      <c r="D23" s="143" t="s">
        <v>195</v>
      </c>
      <c r="E23" s="148">
        <v>17.64</v>
      </c>
      <c r="F23" s="146">
        <f>SUM(E23/100)</f>
        <v>0.1764</v>
      </c>
      <c r="G23" s="146">
        <v>47.34</v>
      </c>
      <c r="H23" s="147">
        <f t="shared" si="0"/>
        <v>8.3507760000000007E-3</v>
      </c>
      <c r="I23" s="19">
        <v>0</v>
      </c>
    </row>
    <row r="24" spans="1:9" ht="15.75" hidden="1" customHeight="1">
      <c r="A24" s="44">
        <v>9</v>
      </c>
      <c r="B24" s="143" t="s">
        <v>200</v>
      </c>
      <c r="C24" s="144" t="s">
        <v>62</v>
      </c>
      <c r="D24" s="143" t="s">
        <v>201</v>
      </c>
      <c r="E24" s="145">
        <v>10.8</v>
      </c>
      <c r="F24" s="146">
        <f>E24/100</f>
        <v>0.10800000000000001</v>
      </c>
      <c r="G24" s="146">
        <v>416.62</v>
      </c>
      <c r="H24" s="147">
        <f t="shared" si="0"/>
        <v>4.4994960000000007E-2</v>
      </c>
      <c r="I24" s="19">
        <v>0</v>
      </c>
    </row>
    <row r="25" spans="1:9" ht="15.75" hidden="1" customHeight="1">
      <c r="A25" s="44">
        <v>10</v>
      </c>
      <c r="B25" s="143" t="s">
        <v>202</v>
      </c>
      <c r="C25" s="144" t="s">
        <v>62</v>
      </c>
      <c r="D25" s="143" t="s">
        <v>63</v>
      </c>
      <c r="E25" s="145">
        <v>12.6</v>
      </c>
      <c r="F25" s="146">
        <v>0.13</v>
      </c>
      <c r="G25" s="146">
        <v>231.03</v>
      </c>
      <c r="H25" s="147">
        <f>G25*F25/1000</f>
        <v>3.0033900000000002E-2</v>
      </c>
      <c r="I25" s="19">
        <v>0</v>
      </c>
    </row>
    <row r="26" spans="1:9" ht="15.75" hidden="1" customHeight="1">
      <c r="A26" s="44">
        <v>11</v>
      </c>
      <c r="B26" s="143" t="s">
        <v>203</v>
      </c>
      <c r="C26" s="144" t="s">
        <v>62</v>
      </c>
      <c r="D26" s="143" t="s">
        <v>195</v>
      </c>
      <c r="E26" s="145">
        <v>14.4</v>
      </c>
      <c r="F26" s="146">
        <f>SUM(E26/100)</f>
        <v>0.14400000000000002</v>
      </c>
      <c r="G26" s="146">
        <v>556.74</v>
      </c>
      <c r="H26" s="147">
        <f t="shared" si="0"/>
        <v>8.0170560000000016E-2</v>
      </c>
      <c r="I26" s="19">
        <v>0</v>
      </c>
    </row>
    <row r="27" spans="1:9" ht="15.75" customHeight="1">
      <c r="A27" s="44">
        <v>4</v>
      </c>
      <c r="B27" s="143" t="s">
        <v>86</v>
      </c>
      <c r="C27" s="144" t="s">
        <v>35</v>
      </c>
      <c r="D27" s="143" t="s">
        <v>206</v>
      </c>
      <c r="E27" s="145">
        <v>0.1</v>
      </c>
      <c r="F27" s="146">
        <f>SUM(E27*365)</f>
        <v>36.5</v>
      </c>
      <c r="G27" s="146">
        <v>157.18</v>
      </c>
      <c r="H27" s="147">
        <f>SUM(F27*G27/1000)</f>
        <v>5.737070000000001</v>
      </c>
      <c r="I27" s="19">
        <f>F27/12*G27</f>
        <v>478.08916666666664</v>
      </c>
    </row>
    <row r="28" spans="1:9" ht="15.75" customHeight="1">
      <c r="A28" s="44">
        <v>5</v>
      </c>
      <c r="B28" s="151" t="s">
        <v>24</v>
      </c>
      <c r="C28" s="144" t="s">
        <v>25</v>
      </c>
      <c r="D28" s="151" t="s">
        <v>208</v>
      </c>
      <c r="E28" s="145">
        <v>2062.5</v>
      </c>
      <c r="F28" s="146">
        <f>SUM(E28*12)</f>
        <v>24750</v>
      </c>
      <c r="G28" s="146">
        <v>5.53</v>
      </c>
      <c r="H28" s="147">
        <f>SUM(F28*G28/1000)</f>
        <v>136.86750000000001</v>
      </c>
      <c r="I28" s="19">
        <f>F28/12*G28</f>
        <v>11405.625</v>
      </c>
    </row>
    <row r="29" spans="1:9" ht="15.75" customHeight="1">
      <c r="A29" s="186" t="s">
        <v>130</v>
      </c>
      <c r="B29" s="187"/>
      <c r="C29" s="187"/>
      <c r="D29" s="187"/>
      <c r="E29" s="187"/>
      <c r="F29" s="187"/>
      <c r="G29" s="187"/>
      <c r="H29" s="187"/>
      <c r="I29" s="188"/>
    </row>
    <row r="30" spans="1:9" ht="15.75" hidden="1" customHeight="1">
      <c r="A30" s="44"/>
      <c r="B30" s="164" t="s">
        <v>31</v>
      </c>
      <c r="C30" s="144"/>
      <c r="D30" s="143"/>
      <c r="E30" s="145"/>
      <c r="F30" s="146"/>
      <c r="G30" s="146"/>
      <c r="H30" s="147"/>
      <c r="I30" s="19"/>
    </row>
    <row r="31" spans="1:9" ht="31.5" hidden="1" customHeight="1">
      <c r="A31" s="44">
        <v>6</v>
      </c>
      <c r="B31" s="143" t="s">
        <v>236</v>
      </c>
      <c r="C31" s="144" t="s">
        <v>166</v>
      </c>
      <c r="D31" s="143" t="s">
        <v>204</v>
      </c>
      <c r="E31" s="146">
        <v>652.9</v>
      </c>
      <c r="F31" s="146">
        <f>SUM(E31*52/1000)</f>
        <v>33.950799999999994</v>
      </c>
      <c r="G31" s="146">
        <v>166.65</v>
      </c>
      <c r="H31" s="147">
        <f t="shared" ref="H31:H36" si="1">SUM(F31*G31/1000)</f>
        <v>5.6579008199999992</v>
      </c>
      <c r="I31" s="19">
        <f>F31/6*G31</f>
        <v>942.9834699999999</v>
      </c>
    </row>
    <row r="32" spans="1:9" ht="31.5" hidden="1" customHeight="1">
      <c r="A32" s="44">
        <v>7</v>
      </c>
      <c r="B32" s="143" t="s">
        <v>237</v>
      </c>
      <c r="C32" s="144" t="s">
        <v>166</v>
      </c>
      <c r="D32" s="143" t="s">
        <v>205</v>
      </c>
      <c r="E32" s="146">
        <v>63.5</v>
      </c>
      <c r="F32" s="146">
        <f>SUM(E32*78/1000)</f>
        <v>4.9530000000000003</v>
      </c>
      <c r="G32" s="146">
        <v>276.48</v>
      </c>
      <c r="H32" s="147">
        <f t="shared" si="1"/>
        <v>1.3694054400000002</v>
      </c>
      <c r="I32" s="19">
        <f t="shared" ref="I32:I34" si="2">F32/6*G32</f>
        <v>228.23424000000003</v>
      </c>
    </row>
    <row r="33" spans="1:9" ht="15.75" hidden="1" customHeight="1">
      <c r="A33" s="44">
        <v>8</v>
      </c>
      <c r="B33" s="143" t="s">
        <v>30</v>
      </c>
      <c r="C33" s="144" t="s">
        <v>166</v>
      </c>
      <c r="D33" s="143" t="s">
        <v>63</v>
      </c>
      <c r="E33" s="146">
        <v>652.9</v>
      </c>
      <c r="F33" s="146">
        <f>SUM(E33/1000)</f>
        <v>0.65289999999999992</v>
      </c>
      <c r="G33" s="146">
        <v>3228.73</v>
      </c>
      <c r="H33" s="147">
        <f t="shared" si="1"/>
        <v>2.108037817</v>
      </c>
      <c r="I33" s="19">
        <f>F33*G33</f>
        <v>2108.0378169999999</v>
      </c>
    </row>
    <row r="34" spans="1:9" ht="15.75" hidden="1" customHeight="1">
      <c r="A34" s="44">
        <v>8</v>
      </c>
      <c r="B34" s="143" t="s">
        <v>238</v>
      </c>
      <c r="C34" s="144" t="s">
        <v>33</v>
      </c>
      <c r="D34" s="143" t="s">
        <v>85</v>
      </c>
      <c r="E34" s="150">
        <v>0.33333333333333331</v>
      </c>
      <c r="F34" s="146">
        <f>155/3</f>
        <v>51.666666666666664</v>
      </c>
      <c r="G34" s="146">
        <v>60.6</v>
      </c>
      <c r="H34" s="147">
        <f>SUM(G34*155/3/1000)</f>
        <v>3.1309999999999998</v>
      </c>
      <c r="I34" s="19">
        <f t="shared" si="2"/>
        <v>521.83333333333337</v>
      </c>
    </row>
    <row r="35" spans="1:9" ht="15.75" hidden="1" customHeight="1">
      <c r="A35" s="44"/>
      <c r="B35" s="143" t="s">
        <v>87</v>
      </c>
      <c r="C35" s="144" t="s">
        <v>35</v>
      </c>
      <c r="D35" s="143" t="s">
        <v>89</v>
      </c>
      <c r="E35" s="145"/>
      <c r="F35" s="146">
        <v>2</v>
      </c>
      <c r="G35" s="146">
        <v>204.52</v>
      </c>
      <c r="H35" s="147">
        <f t="shared" si="1"/>
        <v>0.40904000000000001</v>
      </c>
      <c r="I35" s="19">
        <v>0</v>
      </c>
    </row>
    <row r="36" spans="1:9" ht="15.75" hidden="1" customHeight="1">
      <c r="A36" s="44"/>
      <c r="B36" s="143" t="s">
        <v>207</v>
      </c>
      <c r="C36" s="144" t="s">
        <v>34</v>
      </c>
      <c r="D36" s="143" t="s">
        <v>89</v>
      </c>
      <c r="E36" s="145"/>
      <c r="F36" s="146">
        <v>1</v>
      </c>
      <c r="G36" s="146">
        <v>1214.74</v>
      </c>
      <c r="H36" s="147">
        <f t="shared" si="1"/>
        <v>1.2147399999999999</v>
      </c>
      <c r="I36" s="19">
        <v>0</v>
      </c>
    </row>
    <row r="37" spans="1:9" ht="15.75" customHeight="1">
      <c r="A37" s="44"/>
      <c r="B37" s="164" t="s">
        <v>5</v>
      </c>
      <c r="C37" s="144"/>
      <c r="D37" s="143"/>
      <c r="E37" s="145"/>
      <c r="F37" s="146"/>
      <c r="G37" s="146"/>
      <c r="H37" s="147" t="s">
        <v>208</v>
      </c>
      <c r="I37" s="19"/>
    </row>
    <row r="38" spans="1:9" ht="15.75" customHeight="1">
      <c r="A38" s="44">
        <v>6</v>
      </c>
      <c r="B38" s="143" t="s">
        <v>29</v>
      </c>
      <c r="C38" s="144" t="s">
        <v>34</v>
      </c>
      <c r="D38" s="143"/>
      <c r="E38" s="145"/>
      <c r="F38" s="146">
        <v>10</v>
      </c>
      <c r="G38" s="146">
        <v>1632.6</v>
      </c>
      <c r="H38" s="147">
        <f t="shared" ref="H38:H45" si="3">SUM(F38*G38/1000)</f>
        <v>16.326000000000001</v>
      </c>
      <c r="I38" s="19">
        <f>F38/6*G38</f>
        <v>2721</v>
      </c>
    </row>
    <row r="39" spans="1:9" ht="15.75" customHeight="1">
      <c r="A39" s="44">
        <v>7</v>
      </c>
      <c r="B39" s="143" t="s">
        <v>209</v>
      </c>
      <c r="C39" s="144" t="s">
        <v>32</v>
      </c>
      <c r="D39" s="143" t="s">
        <v>210</v>
      </c>
      <c r="E39" s="146">
        <v>172.55</v>
      </c>
      <c r="F39" s="146">
        <f>SUM(E39*12/1000)</f>
        <v>2.0706000000000002</v>
      </c>
      <c r="G39" s="146">
        <v>2247.8000000000002</v>
      </c>
      <c r="H39" s="147">
        <f t="shared" si="3"/>
        <v>4.6542946800000005</v>
      </c>
      <c r="I39" s="19">
        <f>F39/6*G39</f>
        <v>775.71578000000011</v>
      </c>
    </row>
    <row r="40" spans="1:9" ht="15.75" customHeight="1">
      <c r="A40" s="44">
        <v>8</v>
      </c>
      <c r="B40" s="143" t="s">
        <v>211</v>
      </c>
      <c r="C40" s="144" t="s">
        <v>32</v>
      </c>
      <c r="D40" s="143" t="s">
        <v>162</v>
      </c>
      <c r="E40" s="145">
        <v>63.5</v>
      </c>
      <c r="F40" s="146">
        <v>1.91</v>
      </c>
      <c r="G40" s="146">
        <v>2247.8000000000002</v>
      </c>
      <c r="H40" s="147">
        <f>G40*F40/1000</f>
        <v>4.2932980000000001</v>
      </c>
      <c r="I40" s="19">
        <f>F40/6*G40</f>
        <v>715.54966666666667</v>
      </c>
    </row>
    <row r="41" spans="1:9" ht="15.75" hidden="1" customHeight="1">
      <c r="A41" s="44"/>
      <c r="B41" s="143" t="s">
        <v>163</v>
      </c>
      <c r="C41" s="144" t="s">
        <v>164</v>
      </c>
      <c r="D41" s="143" t="s">
        <v>89</v>
      </c>
      <c r="E41" s="145"/>
      <c r="F41" s="146">
        <v>75</v>
      </c>
      <c r="G41" s="146">
        <v>213.2</v>
      </c>
      <c r="H41" s="147">
        <f>G41*F41/1000</f>
        <v>15.99</v>
      </c>
      <c r="I41" s="19">
        <v>0</v>
      </c>
    </row>
    <row r="42" spans="1:9" ht="15.75" customHeight="1">
      <c r="A42" s="44">
        <v>9</v>
      </c>
      <c r="B42" s="143" t="s">
        <v>92</v>
      </c>
      <c r="C42" s="144" t="s">
        <v>32</v>
      </c>
      <c r="D42" s="143" t="s">
        <v>165</v>
      </c>
      <c r="E42" s="146">
        <v>63.5</v>
      </c>
      <c r="F42" s="146">
        <f>SUM(E42*155/1000)</f>
        <v>9.8424999999999994</v>
      </c>
      <c r="G42" s="146">
        <v>374.95</v>
      </c>
      <c r="H42" s="147">
        <f t="shared" si="3"/>
        <v>3.6904453749999999</v>
      </c>
      <c r="I42" s="19">
        <f>F42/6*G42</f>
        <v>615.07422916666667</v>
      </c>
    </row>
    <row r="43" spans="1:9" ht="15.75" customHeight="1">
      <c r="A43" s="44">
        <v>10</v>
      </c>
      <c r="B43" s="143" t="s">
        <v>128</v>
      </c>
      <c r="C43" s="144" t="s">
        <v>166</v>
      </c>
      <c r="D43" s="143" t="s">
        <v>212</v>
      </c>
      <c r="E43" s="146">
        <v>63.5</v>
      </c>
      <c r="F43" s="146">
        <f>SUM(E43*24/1000)</f>
        <v>1.524</v>
      </c>
      <c r="G43" s="146">
        <v>6203.7</v>
      </c>
      <c r="H43" s="147">
        <f t="shared" si="3"/>
        <v>9.4544388000000001</v>
      </c>
      <c r="I43" s="19">
        <f>F43/6*G43</f>
        <v>1575.7398000000001</v>
      </c>
    </row>
    <row r="44" spans="1:9" ht="15.75" customHeight="1">
      <c r="A44" s="44">
        <v>11</v>
      </c>
      <c r="B44" s="143" t="s">
        <v>168</v>
      </c>
      <c r="C44" s="144" t="s">
        <v>166</v>
      </c>
      <c r="D44" s="143" t="s">
        <v>95</v>
      </c>
      <c r="E44" s="146">
        <v>63.5</v>
      </c>
      <c r="F44" s="146">
        <f>SUM(E44*45/1000)</f>
        <v>2.8574999999999999</v>
      </c>
      <c r="G44" s="146">
        <v>458.28</v>
      </c>
      <c r="H44" s="147">
        <f t="shared" si="3"/>
        <v>1.3095350999999997</v>
      </c>
      <c r="I44" s="19">
        <f>F44/6*G44</f>
        <v>218.25584999999998</v>
      </c>
    </row>
    <row r="45" spans="1:9" ht="15.75" customHeight="1">
      <c r="A45" s="44">
        <v>12</v>
      </c>
      <c r="B45" s="143" t="s">
        <v>96</v>
      </c>
      <c r="C45" s="144" t="s">
        <v>35</v>
      </c>
      <c r="D45" s="143"/>
      <c r="E45" s="145"/>
      <c r="F45" s="146">
        <v>0.9</v>
      </c>
      <c r="G45" s="146">
        <v>853.06</v>
      </c>
      <c r="H45" s="147">
        <f t="shared" si="3"/>
        <v>0.76775400000000005</v>
      </c>
      <c r="I45" s="19">
        <f>F45/6*G45</f>
        <v>127.95899999999999</v>
      </c>
    </row>
    <row r="46" spans="1:9" ht="15.75" hidden="1" customHeight="1">
      <c r="A46" s="186" t="s">
        <v>186</v>
      </c>
      <c r="B46" s="187"/>
      <c r="C46" s="187"/>
      <c r="D46" s="187"/>
      <c r="E46" s="187"/>
      <c r="F46" s="187"/>
      <c r="G46" s="187"/>
      <c r="H46" s="187"/>
      <c r="I46" s="188"/>
    </row>
    <row r="47" spans="1:9" ht="15.75" hidden="1" customHeight="1">
      <c r="A47" s="44"/>
      <c r="B47" s="143" t="s">
        <v>213</v>
      </c>
      <c r="C47" s="144" t="s">
        <v>166</v>
      </c>
      <c r="D47" s="143" t="s">
        <v>49</v>
      </c>
      <c r="E47" s="145">
        <v>881.3</v>
      </c>
      <c r="F47" s="146">
        <f>SUM(E47*2/1000)</f>
        <v>1.7625999999999999</v>
      </c>
      <c r="G47" s="19">
        <v>865.61</v>
      </c>
      <c r="H47" s="147">
        <f t="shared" ref="H47:H56" si="4">SUM(F47*G47/1000)</f>
        <v>1.5257241859999999</v>
      </c>
      <c r="I47" s="19">
        <v>0</v>
      </c>
    </row>
    <row r="48" spans="1:9" ht="15.75" hidden="1" customHeight="1">
      <c r="A48" s="44"/>
      <c r="B48" s="143" t="s">
        <v>39</v>
      </c>
      <c r="C48" s="144" t="s">
        <v>166</v>
      </c>
      <c r="D48" s="143" t="s">
        <v>49</v>
      </c>
      <c r="E48" s="145">
        <v>48</v>
      </c>
      <c r="F48" s="146">
        <f>SUM(E48*2/1000)</f>
        <v>9.6000000000000002E-2</v>
      </c>
      <c r="G48" s="19">
        <v>619.46</v>
      </c>
      <c r="H48" s="147">
        <f t="shared" si="4"/>
        <v>5.9468160000000006E-2</v>
      </c>
      <c r="I48" s="19">
        <v>0</v>
      </c>
    </row>
    <row r="49" spans="1:9" ht="15.75" hidden="1" customHeight="1">
      <c r="A49" s="44"/>
      <c r="B49" s="143" t="s">
        <v>40</v>
      </c>
      <c r="C49" s="144" t="s">
        <v>166</v>
      </c>
      <c r="D49" s="143" t="s">
        <v>49</v>
      </c>
      <c r="E49" s="145">
        <v>939.64</v>
      </c>
      <c r="F49" s="146">
        <f>SUM(E49*2/1000)</f>
        <v>1.8792800000000001</v>
      </c>
      <c r="G49" s="19">
        <v>619.46</v>
      </c>
      <c r="H49" s="147">
        <f t="shared" si="4"/>
        <v>1.1641387888000001</v>
      </c>
      <c r="I49" s="19">
        <v>0</v>
      </c>
    </row>
    <row r="50" spans="1:9" ht="15.75" hidden="1" customHeight="1">
      <c r="A50" s="44"/>
      <c r="B50" s="143" t="s">
        <v>41</v>
      </c>
      <c r="C50" s="144" t="s">
        <v>166</v>
      </c>
      <c r="D50" s="143" t="s">
        <v>49</v>
      </c>
      <c r="E50" s="145">
        <v>1247.3699999999999</v>
      </c>
      <c r="F50" s="146">
        <f>SUM(E50*2/1000)</f>
        <v>2.4947399999999997</v>
      </c>
      <c r="G50" s="19">
        <v>648.64</v>
      </c>
      <c r="H50" s="147">
        <f t="shared" si="4"/>
        <v>1.6181881535999998</v>
      </c>
      <c r="I50" s="19">
        <v>0</v>
      </c>
    </row>
    <row r="51" spans="1:9" ht="15.75" hidden="1" customHeight="1">
      <c r="A51" s="44"/>
      <c r="B51" s="143" t="s">
        <v>37</v>
      </c>
      <c r="C51" s="144" t="s">
        <v>38</v>
      </c>
      <c r="D51" s="143" t="s">
        <v>49</v>
      </c>
      <c r="E51" s="145">
        <v>65.03</v>
      </c>
      <c r="F51" s="146">
        <f>SUM(E51*2/100)</f>
        <v>1.3006</v>
      </c>
      <c r="G51" s="19">
        <v>77.84</v>
      </c>
      <c r="H51" s="147">
        <f t="shared" si="4"/>
        <v>0.101238704</v>
      </c>
      <c r="I51" s="19">
        <v>0</v>
      </c>
    </row>
    <row r="52" spans="1:9" ht="15.75" hidden="1" customHeight="1">
      <c r="A52" s="44">
        <v>13</v>
      </c>
      <c r="B52" s="143" t="s">
        <v>71</v>
      </c>
      <c r="C52" s="144" t="s">
        <v>166</v>
      </c>
      <c r="D52" s="143" t="s">
        <v>239</v>
      </c>
      <c r="E52" s="145">
        <v>702</v>
      </c>
      <c r="F52" s="146">
        <f>SUM(E52*5/1000)</f>
        <v>3.51</v>
      </c>
      <c r="G52" s="19">
        <v>1297.28</v>
      </c>
      <c r="H52" s="147">
        <f t="shared" si="4"/>
        <v>4.5534527999999996</v>
      </c>
      <c r="I52" s="19">
        <f>F52/5*G52</f>
        <v>910.69055999999989</v>
      </c>
    </row>
    <row r="53" spans="1:9" ht="31.5" hidden="1" customHeight="1">
      <c r="A53" s="44"/>
      <c r="B53" s="143" t="s">
        <v>154</v>
      </c>
      <c r="C53" s="144" t="s">
        <v>166</v>
      </c>
      <c r="D53" s="143" t="s">
        <v>49</v>
      </c>
      <c r="E53" s="145">
        <v>702</v>
      </c>
      <c r="F53" s="146">
        <f>SUM(E53*2/1000)</f>
        <v>1.4039999999999999</v>
      </c>
      <c r="G53" s="19">
        <v>1297.28</v>
      </c>
      <c r="H53" s="147">
        <f t="shared" si="4"/>
        <v>1.8213811199999999</v>
      </c>
      <c r="I53" s="19">
        <v>0</v>
      </c>
    </row>
    <row r="54" spans="1:9" ht="31.5" hidden="1" customHeight="1">
      <c r="A54" s="44"/>
      <c r="B54" s="143" t="s">
        <v>155</v>
      </c>
      <c r="C54" s="144" t="s">
        <v>44</v>
      </c>
      <c r="D54" s="143" t="s">
        <v>49</v>
      </c>
      <c r="E54" s="145">
        <v>12</v>
      </c>
      <c r="F54" s="146">
        <f>SUM(E54*2/100)</f>
        <v>0.24</v>
      </c>
      <c r="G54" s="19">
        <v>2918.89</v>
      </c>
      <c r="H54" s="147">
        <f t="shared" si="4"/>
        <v>0.70053359999999998</v>
      </c>
      <c r="I54" s="19">
        <v>0</v>
      </c>
    </row>
    <row r="55" spans="1:9" ht="15.75" hidden="1" customHeight="1">
      <c r="A55" s="44"/>
      <c r="B55" s="143" t="s">
        <v>45</v>
      </c>
      <c r="C55" s="144" t="s">
        <v>46</v>
      </c>
      <c r="D55" s="143" t="s">
        <v>49</v>
      </c>
      <c r="E55" s="145">
        <v>1</v>
      </c>
      <c r="F55" s="146">
        <v>0.02</v>
      </c>
      <c r="G55" s="19">
        <v>6042.12</v>
      </c>
      <c r="H55" s="147">
        <f t="shared" si="4"/>
        <v>0.1208424</v>
      </c>
      <c r="I55" s="19">
        <v>0</v>
      </c>
    </row>
    <row r="56" spans="1:9" ht="15.75" hidden="1" customHeight="1">
      <c r="A56" s="44">
        <v>14</v>
      </c>
      <c r="B56" s="143" t="s">
        <v>48</v>
      </c>
      <c r="C56" s="144" t="s">
        <v>140</v>
      </c>
      <c r="D56" s="143" t="s">
        <v>97</v>
      </c>
      <c r="E56" s="145">
        <v>72</v>
      </c>
      <c r="F56" s="146">
        <f>SUM(E56)*3</f>
        <v>216</v>
      </c>
      <c r="G56" s="19">
        <v>70.209999999999994</v>
      </c>
      <c r="H56" s="147">
        <f t="shared" si="4"/>
        <v>15.165359999999998</v>
      </c>
      <c r="I56" s="19">
        <f>E56*G56</f>
        <v>5055.12</v>
      </c>
    </row>
    <row r="57" spans="1:9" ht="15.75" customHeight="1">
      <c r="A57" s="186" t="s">
        <v>248</v>
      </c>
      <c r="B57" s="187"/>
      <c r="C57" s="187"/>
      <c r="D57" s="187"/>
      <c r="E57" s="187"/>
      <c r="F57" s="187"/>
      <c r="G57" s="187"/>
      <c r="H57" s="187"/>
      <c r="I57" s="188"/>
    </row>
    <row r="58" spans="1:9" ht="15.75" customHeight="1">
      <c r="A58" s="44"/>
      <c r="B58" s="164" t="s">
        <v>50</v>
      </c>
      <c r="C58" s="144"/>
      <c r="D58" s="143"/>
      <c r="E58" s="145"/>
      <c r="F58" s="146"/>
      <c r="G58" s="146"/>
      <c r="H58" s="147"/>
      <c r="I58" s="19"/>
    </row>
    <row r="59" spans="1:9" ht="31.5" customHeight="1">
      <c r="A59" s="44">
        <v>13</v>
      </c>
      <c r="B59" s="143" t="s">
        <v>214</v>
      </c>
      <c r="C59" s="144" t="s">
        <v>148</v>
      </c>
      <c r="D59" s="143" t="s">
        <v>215</v>
      </c>
      <c r="E59" s="145">
        <v>106.13</v>
      </c>
      <c r="F59" s="146">
        <f>SUM(E59*6/100)</f>
        <v>6.3677999999999999</v>
      </c>
      <c r="G59" s="19">
        <v>1456.95</v>
      </c>
      <c r="H59" s="147">
        <f>SUM(F59*G59/1000)</f>
        <v>9.2775662100000016</v>
      </c>
      <c r="I59" s="19">
        <f>F59/6*G59</f>
        <v>1546.261035</v>
      </c>
    </row>
    <row r="60" spans="1:9" ht="15.75" hidden="1" customHeight="1">
      <c r="A60" s="44"/>
      <c r="B60" s="164" t="s">
        <v>51</v>
      </c>
      <c r="C60" s="144"/>
      <c r="D60" s="143"/>
      <c r="E60" s="145"/>
      <c r="F60" s="146"/>
      <c r="G60" s="130"/>
      <c r="H60" s="147"/>
      <c r="I60" s="19"/>
    </row>
    <row r="61" spans="1:9" ht="15.75" hidden="1" customHeight="1">
      <c r="A61" s="44"/>
      <c r="B61" s="143" t="s">
        <v>216</v>
      </c>
      <c r="C61" s="144"/>
      <c r="D61" s="143" t="s">
        <v>63</v>
      </c>
      <c r="E61" s="145">
        <v>1036</v>
      </c>
      <c r="F61" s="147">
        <v>10.36</v>
      </c>
      <c r="G61" s="19">
        <v>848.37</v>
      </c>
      <c r="H61" s="152">
        <f>F61*G61/1000</f>
        <v>8.7891131999999992</v>
      </c>
      <c r="I61" s="19">
        <v>0</v>
      </c>
    </row>
    <row r="62" spans="1:9" ht="15.75" hidden="1" customHeight="1">
      <c r="A62" s="44"/>
      <c r="B62" s="165" t="s">
        <v>53</v>
      </c>
      <c r="C62" s="153"/>
      <c r="D62" s="154"/>
      <c r="E62" s="155"/>
      <c r="F62" s="156"/>
      <c r="G62" s="156"/>
      <c r="H62" s="157" t="s">
        <v>208</v>
      </c>
      <c r="I62" s="19"/>
    </row>
    <row r="63" spans="1:9" ht="15.75" hidden="1" customHeight="1">
      <c r="A63" s="44"/>
      <c r="B63" s="21" t="s">
        <v>54</v>
      </c>
      <c r="C63" s="23" t="s">
        <v>140</v>
      </c>
      <c r="D63" s="21" t="s">
        <v>89</v>
      </c>
      <c r="E63" s="26">
        <v>10</v>
      </c>
      <c r="F63" s="146">
        <v>10</v>
      </c>
      <c r="G63" s="19">
        <v>237.74</v>
      </c>
      <c r="H63" s="141">
        <f t="shared" ref="H63:H75" si="5">SUM(F63*G63/1000)</f>
        <v>2.3774000000000002</v>
      </c>
      <c r="I63" s="19">
        <v>0</v>
      </c>
    </row>
    <row r="64" spans="1:9" ht="15.75" hidden="1" customHeight="1">
      <c r="A64" s="44"/>
      <c r="B64" s="21" t="s">
        <v>55</v>
      </c>
      <c r="C64" s="23" t="s">
        <v>140</v>
      </c>
      <c r="D64" s="21" t="s">
        <v>89</v>
      </c>
      <c r="E64" s="26">
        <v>5</v>
      </c>
      <c r="F64" s="146">
        <v>5</v>
      </c>
      <c r="G64" s="19">
        <v>81.510000000000005</v>
      </c>
      <c r="H64" s="141">
        <f t="shared" si="5"/>
        <v>0.40755000000000002</v>
      </c>
      <c r="I64" s="19">
        <v>0</v>
      </c>
    </row>
    <row r="65" spans="1:9" ht="15.75" hidden="1" customHeight="1">
      <c r="A65" s="44"/>
      <c r="B65" s="21" t="s">
        <v>56</v>
      </c>
      <c r="C65" s="23" t="s">
        <v>217</v>
      </c>
      <c r="D65" s="21" t="s">
        <v>63</v>
      </c>
      <c r="E65" s="145">
        <v>8607</v>
      </c>
      <c r="F65" s="19">
        <f>SUM(E65/100)</f>
        <v>86.07</v>
      </c>
      <c r="G65" s="19">
        <v>226.79</v>
      </c>
      <c r="H65" s="141">
        <f t="shared" si="5"/>
        <v>19.519815299999998</v>
      </c>
      <c r="I65" s="19">
        <v>0</v>
      </c>
    </row>
    <row r="66" spans="1:9" ht="15.75" hidden="1" customHeight="1">
      <c r="A66" s="44"/>
      <c r="B66" s="21" t="s">
        <v>57</v>
      </c>
      <c r="C66" s="23" t="s">
        <v>218</v>
      </c>
      <c r="D66" s="21"/>
      <c r="E66" s="145">
        <v>8607</v>
      </c>
      <c r="F66" s="19">
        <f>SUM(E66/1000)</f>
        <v>8.6069999999999993</v>
      </c>
      <c r="G66" s="19">
        <v>176.61</v>
      </c>
      <c r="H66" s="141">
        <f t="shared" si="5"/>
        <v>1.5200822700000001</v>
      </c>
      <c r="I66" s="19">
        <v>0</v>
      </c>
    </row>
    <row r="67" spans="1:9" ht="15.75" hidden="1" customHeight="1">
      <c r="A67" s="44"/>
      <c r="B67" s="21" t="s">
        <v>58</v>
      </c>
      <c r="C67" s="23" t="s">
        <v>107</v>
      </c>
      <c r="D67" s="21" t="s">
        <v>63</v>
      </c>
      <c r="E67" s="145">
        <v>1370</v>
      </c>
      <c r="F67" s="19">
        <f>SUM(E67/100)</f>
        <v>13.7</v>
      </c>
      <c r="G67" s="19">
        <v>2217.7800000000002</v>
      </c>
      <c r="H67" s="141">
        <f t="shared" si="5"/>
        <v>30.383586000000005</v>
      </c>
      <c r="I67" s="19">
        <v>0</v>
      </c>
    </row>
    <row r="68" spans="1:9" ht="15.75" hidden="1" customHeight="1">
      <c r="A68" s="44"/>
      <c r="B68" s="158" t="s">
        <v>219</v>
      </c>
      <c r="C68" s="23" t="s">
        <v>35</v>
      </c>
      <c r="D68" s="21"/>
      <c r="E68" s="145">
        <v>7.8</v>
      </c>
      <c r="F68" s="19">
        <f>SUM(E68)</f>
        <v>7.8</v>
      </c>
      <c r="G68" s="19">
        <v>42.67</v>
      </c>
      <c r="H68" s="141">
        <f t="shared" si="5"/>
        <v>0.33282600000000001</v>
      </c>
      <c r="I68" s="19">
        <v>0</v>
      </c>
    </row>
    <row r="69" spans="1:9" ht="15.75" hidden="1" customHeight="1">
      <c r="A69" s="44"/>
      <c r="B69" s="158" t="s">
        <v>220</v>
      </c>
      <c r="C69" s="23" t="s">
        <v>35</v>
      </c>
      <c r="D69" s="21"/>
      <c r="E69" s="145">
        <v>7.8</v>
      </c>
      <c r="F69" s="19">
        <f>SUM(E69)</f>
        <v>7.8</v>
      </c>
      <c r="G69" s="19">
        <v>39.81</v>
      </c>
      <c r="H69" s="141">
        <f t="shared" si="5"/>
        <v>0.31051800000000002</v>
      </c>
      <c r="I69" s="19">
        <v>0</v>
      </c>
    </row>
    <row r="70" spans="1:9" ht="15.75" hidden="1" customHeight="1">
      <c r="A70" s="44"/>
      <c r="B70" s="21" t="s">
        <v>72</v>
      </c>
      <c r="C70" s="23" t="s">
        <v>73</v>
      </c>
      <c r="D70" s="21" t="s">
        <v>63</v>
      </c>
      <c r="E70" s="26">
        <v>3</v>
      </c>
      <c r="F70" s="146">
        <v>3</v>
      </c>
      <c r="G70" s="19">
        <v>53.32</v>
      </c>
      <c r="H70" s="141">
        <f t="shared" si="5"/>
        <v>0.15996000000000002</v>
      </c>
      <c r="I70" s="19">
        <v>0</v>
      </c>
    </row>
    <row r="71" spans="1:9" ht="15.75" hidden="1" customHeight="1">
      <c r="A71" s="44"/>
      <c r="B71" s="127" t="s">
        <v>101</v>
      </c>
      <c r="C71" s="23"/>
      <c r="D71" s="21"/>
      <c r="E71" s="26"/>
      <c r="F71" s="19"/>
      <c r="G71" s="19"/>
      <c r="H71" s="141" t="s">
        <v>208</v>
      </c>
      <c r="I71" s="19"/>
    </row>
    <row r="72" spans="1:9" ht="15.75" hidden="1" customHeight="1">
      <c r="A72" s="44"/>
      <c r="B72" s="21" t="s">
        <v>102</v>
      </c>
      <c r="C72" s="23" t="s">
        <v>104</v>
      </c>
      <c r="D72" s="21"/>
      <c r="E72" s="26">
        <v>2</v>
      </c>
      <c r="F72" s="19">
        <v>0.2</v>
      </c>
      <c r="G72" s="19">
        <v>536.23</v>
      </c>
      <c r="H72" s="141">
        <f t="shared" si="5"/>
        <v>0.10724600000000001</v>
      </c>
      <c r="I72" s="19">
        <v>0</v>
      </c>
    </row>
    <row r="73" spans="1:9" ht="15.75" hidden="1" customHeight="1">
      <c r="A73" s="44"/>
      <c r="B73" s="21" t="s">
        <v>103</v>
      </c>
      <c r="C73" s="23" t="s">
        <v>33</v>
      </c>
      <c r="D73" s="21"/>
      <c r="E73" s="26">
        <v>1</v>
      </c>
      <c r="F73" s="130">
        <v>1</v>
      </c>
      <c r="G73" s="19">
        <v>911.85</v>
      </c>
      <c r="H73" s="141">
        <f>F73*G73/1000</f>
        <v>0.91185000000000005</v>
      </c>
      <c r="I73" s="19">
        <v>0</v>
      </c>
    </row>
    <row r="74" spans="1:9" ht="15.75" hidden="1" customHeight="1">
      <c r="A74" s="44"/>
      <c r="B74" s="160" t="s">
        <v>105</v>
      </c>
      <c r="C74" s="23"/>
      <c r="D74" s="21"/>
      <c r="E74" s="26"/>
      <c r="F74" s="19"/>
      <c r="G74" s="19" t="s">
        <v>208</v>
      </c>
      <c r="H74" s="141" t="s">
        <v>208</v>
      </c>
      <c r="I74" s="19"/>
    </row>
    <row r="75" spans="1:9" ht="15.75" hidden="1" customHeight="1">
      <c r="A75" s="44"/>
      <c r="B75" s="81" t="s">
        <v>240</v>
      </c>
      <c r="C75" s="23" t="s">
        <v>107</v>
      </c>
      <c r="D75" s="21"/>
      <c r="E75" s="26"/>
      <c r="F75" s="19">
        <v>1</v>
      </c>
      <c r="G75" s="19">
        <v>2831.38</v>
      </c>
      <c r="H75" s="141">
        <f t="shared" si="5"/>
        <v>2.8313800000000002</v>
      </c>
      <c r="I75" s="19">
        <v>0</v>
      </c>
    </row>
    <row r="76" spans="1:9" ht="15.75" hidden="1" customHeight="1">
      <c r="A76" s="44"/>
      <c r="B76" s="168" t="s">
        <v>158</v>
      </c>
      <c r="C76" s="168"/>
      <c r="D76" s="168"/>
      <c r="E76" s="168"/>
      <c r="F76" s="168"/>
      <c r="G76" s="149"/>
      <c r="H76" s="161">
        <f>SUM(H59:H75)</f>
        <v>76.928892980000001</v>
      </c>
      <c r="I76" s="149"/>
    </row>
    <row r="77" spans="1:9" ht="15.75" hidden="1" customHeight="1">
      <c r="A77" s="44"/>
      <c r="B77" s="166" t="s">
        <v>221</v>
      </c>
      <c r="C77" s="32"/>
      <c r="D77" s="31"/>
      <c r="E77" s="162"/>
      <c r="F77" s="167">
        <v>1</v>
      </c>
      <c r="G77" s="19">
        <v>7528.4</v>
      </c>
      <c r="H77" s="141">
        <f>G77*F77/1000</f>
        <v>7.5283999999999995</v>
      </c>
      <c r="I77" s="19">
        <v>0</v>
      </c>
    </row>
    <row r="78" spans="1:9" ht="15.75" customHeight="1">
      <c r="A78" s="186" t="s">
        <v>249</v>
      </c>
      <c r="B78" s="187"/>
      <c r="C78" s="187"/>
      <c r="D78" s="187"/>
      <c r="E78" s="187"/>
      <c r="F78" s="187"/>
      <c r="G78" s="187"/>
      <c r="H78" s="187"/>
      <c r="I78" s="188"/>
    </row>
    <row r="79" spans="1:9" ht="15.75" customHeight="1">
      <c r="A79" s="44">
        <v>14</v>
      </c>
      <c r="B79" s="143" t="s">
        <v>222</v>
      </c>
      <c r="C79" s="23" t="s">
        <v>68</v>
      </c>
      <c r="D79" s="163" t="s">
        <v>69</v>
      </c>
      <c r="E79" s="19">
        <v>2062.5</v>
      </c>
      <c r="F79" s="19">
        <f>SUM(E79*12)</f>
        <v>24750</v>
      </c>
      <c r="G79" s="19">
        <v>2.2400000000000002</v>
      </c>
      <c r="H79" s="141">
        <f>SUM(F79*G79/1000)</f>
        <v>55.440000000000005</v>
      </c>
      <c r="I79" s="19">
        <f>F79/12*G79</f>
        <v>4620</v>
      </c>
    </row>
    <row r="80" spans="1:9" ht="31.5" customHeight="1">
      <c r="A80" s="44">
        <v>15</v>
      </c>
      <c r="B80" s="21" t="s">
        <v>108</v>
      </c>
      <c r="C80" s="23"/>
      <c r="D80" s="163" t="s">
        <v>69</v>
      </c>
      <c r="E80" s="145">
        <f>E79</f>
        <v>2062.5</v>
      </c>
      <c r="F80" s="19">
        <f>E80*12</f>
        <v>24750</v>
      </c>
      <c r="G80" s="19">
        <v>1.74</v>
      </c>
      <c r="H80" s="141">
        <f>F80*G80/1000</f>
        <v>43.064999999999998</v>
      </c>
      <c r="I80" s="19">
        <f>F80/12*G80</f>
        <v>3588.75</v>
      </c>
    </row>
    <row r="81" spans="1:9" ht="15.75" customHeight="1">
      <c r="A81" s="44"/>
      <c r="B81" s="68" t="s">
        <v>115</v>
      </c>
      <c r="C81" s="160"/>
      <c r="D81" s="159"/>
      <c r="E81" s="149"/>
      <c r="F81" s="149"/>
      <c r="G81" s="149"/>
      <c r="H81" s="161">
        <f>H80</f>
        <v>43.064999999999998</v>
      </c>
      <c r="I81" s="149">
        <f>I16+I17+I18+I27+I28+I38+I39+I40+I42+I43+I44+I45+I59+I79+I80</f>
        <v>32820.305174166671</v>
      </c>
    </row>
    <row r="82" spans="1:9" ht="15.75" customHeight="1">
      <c r="A82" s="44"/>
      <c r="B82" s="102" t="s">
        <v>76</v>
      </c>
      <c r="C82" s="23"/>
      <c r="D82" s="81"/>
      <c r="E82" s="19"/>
      <c r="F82" s="19"/>
      <c r="G82" s="19"/>
      <c r="H82" s="161" t="e">
        <f>SUM(H81+#REF!+H76+H57+H46+#REF!+H29)</f>
        <v>#REF!</v>
      </c>
      <c r="I82" s="19"/>
    </row>
    <row r="83" spans="1:9" ht="15.75" customHeight="1">
      <c r="A83" s="44">
        <v>16</v>
      </c>
      <c r="B83" s="95" t="s">
        <v>227</v>
      </c>
      <c r="C83" s="96" t="s">
        <v>228</v>
      </c>
      <c r="D83" s="81"/>
      <c r="E83" s="19"/>
      <c r="F83" s="19">
        <v>1.5</v>
      </c>
      <c r="G83" s="19">
        <v>1501</v>
      </c>
      <c r="H83" s="141">
        <f>G83*F83/1000</f>
        <v>2.2515000000000001</v>
      </c>
      <c r="I83" s="19">
        <f>G83*0.5</f>
        <v>750.5</v>
      </c>
    </row>
    <row r="84" spans="1:9" ht="15.75" customHeight="1">
      <c r="A84" s="44"/>
      <c r="B84" s="75" t="s">
        <v>60</v>
      </c>
      <c r="C84" s="71"/>
      <c r="D84" s="85"/>
      <c r="E84" s="71">
        <v>1</v>
      </c>
      <c r="F84" s="71"/>
      <c r="G84" s="71"/>
      <c r="H84" s="71"/>
      <c r="I84" s="52">
        <f>SUM(I83:I83)</f>
        <v>750.5</v>
      </c>
    </row>
    <row r="85" spans="1:9">
      <c r="A85" s="44"/>
      <c r="B85" s="81" t="s">
        <v>109</v>
      </c>
      <c r="C85" s="22"/>
      <c r="D85" s="22"/>
      <c r="E85" s="72"/>
      <c r="F85" s="72"/>
      <c r="G85" s="73"/>
      <c r="H85" s="73"/>
      <c r="I85" s="25">
        <v>0</v>
      </c>
    </row>
    <row r="86" spans="1:9">
      <c r="A86" s="86"/>
      <c r="B86" s="76" t="s">
        <v>61</v>
      </c>
      <c r="C86" s="59"/>
      <c r="D86" s="59"/>
      <c r="E86" s="59"/>
      <c r="F86" s="59"/>
      <c r="G86" s="59"/>
      <c r="H86" s="59"/>
      <c r="I86" s="74">
        <f>I81+I84</f>
        <v>33570.805174166671</v>
      </c>
    </row>
    <row r="87" spans="1:9" ht="15.75" customHeight="1">
      <c r="A87" s="181" t="s">
        <v>250</v>
      </c>
      <c r="B87" s="181"/>
      <c r="C87" s="181"/>
      <c r="D87" s="181"/>
      <c r="E87" s="181"/>
      <c r="F87" s="181"/>
      <c r="G87" s="181"/>
      <c r="H87" s="181"/>
      <c r="I87" s="181"/>
    </row>
    <row r="88" spans="1:9" ht="15.75">
      <c r="A88" s="117"/>
      <c r="B88" s="182" t="s">
        <v>251</v>
      </c>
      <c r="C88" s="182"/>
      <c r="D88" s="182"/>
      <c r="E88" s="182"/>
      <c r="F88" s="182"/>
      <c r="G88" s="182"/>
      <c r="H88" s="135"/>
      <c r="I88" s="3"/>
    </row>
    <row r="89" spans="1:9">
      <c r="A89" s="116"/>
      <c r="B89" s="183" t="s">
        <v>6</v>
      </c>
      <c r="C89" s="183"/>
      <c r="D89" s="183"/>
      <c r="E89" s="183"/>
      <c r="F89" s="183"/>
      <c r="G89" s="183"/>
      <c r="H89" s="39"/>
      <c r="I89" s="5"/>
    </row>
    <row r="90" spans="1:9">
      <c r="A90" s="12"/>
      <c r="B90" s="12"/>
      <c r="C90" s="12"/>
      <c r="D90" s="12"/>
      <c r="E90" s="12"/>
      <c r="F90" s="12"/>
      <c r="G90" s="12"/>
      <c r="H90" s="12"/>
      <c r="I90" s="12"/>
    </row>
    <row r="91" spans="1:9" ht="15.75">
      <c r="A91" s="184" t="s">
        <v>7</v>
      </c>
      <c r="B91" s="184"/>
      <c r="C91" s="184"/>
      <c r="D91" s="184"/>
      <c r="E91" s="184"/>
      <c r="F91" s="184"/>
      <c r="G91" s="184"/>
      <c r="H91" s="184"/>
      <c r="I91" s="184"/>
    </row>
    <row r="92" spans="1:9" ht="15.75">
      <c r="A92" s="184" t="s">
        <v>8</v>
      </c>
      <c r="B92" s="184"/>
      <c r="C92" s="184"/>
      <c r="D92" s="184"/>
      <c r="E92" s="184"/>
      <c r="F92" s="184"/>
      <c r="G92" s="184"/>
      <c r="H92" s="184"/>
      <c r="I92" s="184"/>
    </row>
    <row r="93" spans="1:9" ht="15.75" customHeight="1">
      <c r="A93" s="185" t="s">
        <v>79</v>
      </c>
      <c r="B93" s="185"/>
      <c r="C93" s="185"/>
      <c r="D93" s="185"/>
      <c r="E93" s="185"/>
      <c r="F93" s="185"/>
      <c r="G93" s="185"/>
      <c r="H93" s="185"/>
      <c r="I93" s="185"/>
    </row>
    <row r="94" spans="1:9" ht="15.75">
      <c r="A94" s="13"/>
    </row>
    <row r="95" spans="1:9" ht="15.75">
      <c r="A95" s="191" t="s">
        <v>9</v>
      </c>
      <c r="B95" s="191"/>
      <c r="C95" s="191"/>
      <c r="D95" s="191"/>
      <c r="E95" s="191"/>
      <c r="F95" s="191"/>
      <c r="G95" s="191"/>
      <c r="H95" s="191"/>
      <c r="I95" s="191"/>
    </row>
    <row r="96" spans="1:9" ht="15.75">
      <c r="A96" s="4"/>
    </row>
    <row r="97" spans="1:9" ht="15.75" customHeight="1">
      <c r="B97" s="114" t="s">
        <v>10</v>
      </c>
      <c r="C97" s="192" t="s">
        <v>191</v>
      </c>
      <c r="D97" s="192"/>
      <c r="E97" s="192"/>
      <c r="F97" s="131"/>
      <c r="I97" s="115"/>
    </row>
    <row r="98" spans="1:9">
      <c r="A98" s="116"/>
      <c r="C98" s="183" t="s">
        <v>11</v>
      </c>
      <c r="D98" s="183"/>
      <c r="E98" s="183"/>
      <c r="F98" s="39"/>
      <c r="I98" s="113" t="s">
        <v>12</v>
      </c>
    </row>
    <row r="99" spans="1:9" ht="15.75">
      <c r="A99" s="40"/>
      <c r="C99" s="14"/>
      <c r="D99" s="14"/>
      <c r="G99" s="14"/>
      <c r="H99" s="14"/>
    </row>
    <row r="100" spans="1:9" ht="15.75" customHeight="1">
      <c r="B100" s="114" t="s">
        <v>13</v>
      </c>
      <c r="C100" s="178"/>
      <c r="D100" s="178"/>
      <c r="E100" s="178"/>
      <c r="F100" s="132"/>
      <c r="I100" s="115"/>
    </row>
    <row r="101" spans="1:9">
      <c r="A101" s="116"/>
      <c r="C101" s="179" t="s">
        <v>11</v>
      </c>
      <c r="D101" s="179"/>
      <c r="E101" s="179"/>
      <c r="F101" s="116"/>
      <c r="I101" s="113" t="s">
        <v>12</v>
      </c>
    </row>
    <row r="102" spans="1:9" ht="15.75">
      <c r="A102" s="4" t="s">
        <v>14</v>
      </c>
    </row>
    <row r="103" spans="1:9">
      <c r="A103" s="180" t="s">
        <v>15</v>
      </c>
      <c r="B103" s="180"/>
      <c r="C103" s="180"/>
      <c r="D103" s="180"/>
      <c r="E103" s="180"/>
      <c r="F103" s="180"/>
      <c r="G103" s="180"/>
      <c r="H103" s="180"/>
      <c r="I103" s="180"/>
    </row>
    <row r="104" spans="1:9" ht="45" customHeight="1">
      <c r="A104" s="190" t="s">
        <v>16</v>
      </c>
      <c r="B104" s="190"/>
      <c r="C104" s="190"/>
      <c r="D104" s="190"/>
      <c r="E104" s="190"/>
      <c r="F104" s="190"/>
      <c r="G104" s="190"/>
      <c r="H104" s="190"/>
      <c r="I104" s="190"/>
    </row>
    <row r="105" spans="1:9" ht="30" customHeight="1">
      <c r="A105" s="190" t="s">
        <v>17</v>
      </c>
      <c r="B105" s="190"/>
      <c r="C105" s="190"/>
      <c r="D105" s="190"/>
      <c r="E105" s="190"/>
      <c r="F105" s="190"/>
      <c r="G105" s="190"/>
      <c r="H105" s="190"/>
      <c r="I105" s="190"/>
    </row>
    <row r="106" spans="1:9" ht="30" customHeight="1">
      <c r="A106" s="190" t="s">
        <v>22</v>
      </c>
      <c r="B106" s="190"/>
      <c r="C106" s="190"/>
      <c r="D106" s="190"/>
      <c r="E106" s="190"/>
      <c r="F106" s="190"/>
      <c r="G106" s="190"/>
      <c r="H106" s="190"/>
      <c r="I106" s="190"/>
    </row>
    <row r="107" spans="1:9" ht="15" customHeight="1">
      <c r="A107" s="190" t="s">
        <v>21</v>
      </c>
      <c r="B107" s="190"/>
      <c r="C107" s="190"/>
      <c r="D107" s="190"/>
      <c r="E107" s="190"/>
      <c r="F107" s="190"/>
      <c r="G107" s="190"/>
      <c r="H107" s="190"/>
      <c r="I107" s="190"/>
    </row>
    <row r="174" spans="1:9" ht="15.75">
      <c r="A174" s="4" t="s">
        <v>14</v>
      </c>
    </row>
    <row r="175" spans="1:9">
      <c r="A175" s="180" t="s">
        <v>15</v>
      </c>
      <c r="B175" s="180"/>
      <c r="C175" s="180"/>
      <c r="D175" s="180"/>
      <c r="E175" s="180"/>
      <c r="F175" s="180"/>
      <c r="G175" s="180"/>
      <c r="H175" s="180"/>
      <c r="I175" s="180"/>
    </row>
    <row r="176" spans="1:9" ht="16.5" customHeight="1">
      <c r="A176" s="189" t="s">
        <v>16</v>
      </c>
      <c r="B176" s="189"/>
      <c r="C176" s="189"/>
      <c r="D176" s="189"/>
      <c r="E176" s="189"/>
      <c r="F176" s="189"/>
      <c r="G176" s="189"/>
      <c r="H176" s="189"/>
      <c r="I176" s="189"/>
    </row>
    <row r="177" spans="1:9" ht="16.5" customHeight="1">
      <c r="A177" s="189" t="s">
        <v>17</v>
      </c>
      <c r="B177" s="189"/>
      <c r="C177" s="189"/>
      <c r="D177" s="189"/>
      <c r="E177" s="189"/>
      <c r="F177" s="189"/>
      <c r="G177" s="189"/>
      <c r="H177" s="189"/>
      <c r="I177" s="189"/>
    </row>
    <row r="178" spans="1:9" ht="16.5" customHeight="1">
      <c r="A178" s="189" t="s">
        <v>22</v>
      </c>
      <c r="B178" s="189"/>
      <c r="C178" s="189"/>
      <c r="D178" s="189"/>
      <c r="E178" s="189"/>
      <c r="F178" s="189"/>
      <c r="G178" s="189"/>
      <c r="H178" s="189"/>
      <c r="I178" s="189"/>
    </row>
    <row r="179" spans="1:9" ht="16.5" customHeight="1">
      <c r="A179" s="189" t="s">
        <v>21</v>
      </c>
      <c r="B179" s="189"/>
      <c r="C179" s="189"/>
      <c r="D179" s="189"/>
      <c r="E179" s="189"/>
      <c r="F179" s="189"/>
      <c r="G179" s="189"/>
      <c r="H179" s="189"/>
      <c r="I179" s="189"/>
    </row>
    <row r="181" spans="1:9">
      <c r="A181" s="15" t="s">
        <v>20</v>
      </c>
      <c r="B181" s="15"/>
      <c r="C181" s="15"/>
      <c r="D181" s="15"/>
      <c r="E181" s="15"/>
      <c r="F181" s="15"/>
      <c r="G181" s="15"/>
      <c r="H181" s="15"/>
    </row>
  </sheetData>
  <mergeCells count="32">
    <mergeCell ref="A178:I178"/>
    <mergeCell ref="A179:I179"/>
    <mergeCell ref="A105:I105"/>
    <mergeCell ref="A106:I106"/>
    <mergeCell ref="A107:I107"/>
    <mergeCell ref="A175:I175"/>
    <mergeCell ref="A176:I176"/>
    <mergeCell ref="A177:I177"/>
    <mergeCell ref="A104:I104"/>
    <mergeCell ref="B88:G88"/>
    <mergeCell ref="B89:G89"/>
    <mergeCell ref="A91:I91"/>
    <mergeCell ref="A92:I92"/>
    <mergeCell ref="A93:I93"/>
    <mergeCell ref="A95:I95"/>
    <mergeCell ref="C97:E97"/>
    <mergeCell ref="C98:E98"/>
    <mergeCell ref="C100:E100"/>
    <mergeCell ref="C101:E101"/>
    <mergeCell ref="A103:I103"/>
    <mergeCell ref="A87:I87"/>
    <mergeCell ref="A3:I3"/>
    <mergeCell ref="A4:I4"/>
    <mergeCell ref="A5:I5"/>
    <mergeCell ref="A8:I8"/>
    <mergeCell ref="A10:I10"/>
    <mergeCell ref="A14:I14"/>
    <mergeCell ref="A15:I15"/>
    <mergeCell ref="A29:I29"/>
    <mergeCell ref="A46:I46"/>
    <mergeCell ref="A57:I57"/>
    <mergeCell ref="A78:I78"/>
  </mergeCells>
  <pageMargins left="0.70866141732283472" right="0.70866141732283472" top="0.27559055118110237" bottom="0.27559055118110237" header="0.31496062992125984" footer="0.31496062992125984"/>
  <pageSetup paperSize="9" scale="60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181"/>
  <sheetViews>
    <sheetView workbookViewId="0">
      <selection activeCell="A4" sqref="A4:I4"/>
    </sheetView>
  </sheetViews>
  <sheetFormatPr defaultRowHeight="15"/>
  <cols>
    <col min="1" max="1" width="6.42578125" customWidth="1"/>
    <col min="2" max="2" width="53.140625" customWidth="1"/>
    <col min="3" max="3" width="18.5703125" customWidth="1"/>
    <col min="4" max="4" width="18.28515625" customWidth="1"/>
    <col min="5" max="6" width="0" hidden="1" customWidth="1"/>
    <col min="7" max="7" width="22.5703125" customWidth="1"/>
    <col min="8" max="8" width="22.5703125" hidden="1" customWidth="1"/>
    <col min="9" max="9" width="22.5703125" customWidth="1"/>
  </cols>
  <sheetData>
    <row r="1" spans="1:9" ht="15.75">
      <c r="A1" s="42" t="s">
        <v>136</v>
      </c>
      <c r="I1" s="41"/>
    </row>
    <row r="2" spans="1:9" ht="15.75">
      <c r="A2" s="43" t="s">
        <v>82</v>
      </c>
    </row>
    <row r="3" spans="1:9" ht="15.75">
      <c r="A3" s="172" t="s">
        <v>252</v>
      </c>
      <c r="B3" s="172"/>
      <c r="C3" s="172"/>
      <c r="D3" s="172"/>
      <c r="E3" s="172"/>
      <c r="F3" s="172"/>
      <c r="G3" s="172"/>
      <c r="H3" s="172"/>
      <c r="I3" s="172"/>
    </row>
    <row r="4" spans="1:9" ht="31.5" customHeight="1">
      <c r="A4" s="173" t="s">
        <v>280</v>
      </c>
      <c r="B4" s="173"/>
      <c r="C4" s="173"/>
      <c r="D4" s="173"/>
      <c r="E4" s="173"/>
      <c r="F4" s="173"/>
      <c r="G4" s="173"/>
      <c r="H4" s="173"/>
      <c r="I4" s="173"/>
    </row>
    <row r="5" spans="1:9" ht="15.75">
      <c r="A5" s="172" t="s">
        <v>120</v>
      </c>
      <c r="B5" s="174"/>
      <c r="C5" s="174"/>
      <c r="D5" s="174"/>
      <c r="E5" s="174"/>
      <c r="F5" s="174"/>
      <c r="G5" s="174"/>
      <c r="H5" s="174"/>
      <c r="I5" s="174"/>
    </row>
    <row r="6" spans="1:9" ht="15.75">
      <c r="A6" s="2"/>
      <c r="B6" s="112"/>
      <c r="C6" s="112"/>
      <c r="D6" s="112"/>
      <c r="E6" s="112"/>
      <c r="F6" s="112"/>
      <c r="G6" s="112"/>
      <c r="H6" s="112"/>
      <c r="I6" s="45">
        <v>42490</v>
      </c>
    </row>
    <row r="7" spans="1:9" ht="15.75">
      <c r="B7" s="114"/>
      <c r="C7" s="114"/>
      <c r="D7" s="114"/>
      <c r="E7" s="3"/>
      <c r="F7" s="3"/>
      <c r="G7" s="3"/>
      <c r="H7" s="3"/>
    </row>
    <row r="8" spans="1:9" ht="78.75" customHeight="1">
      <c r="A8" s="175" t="s">
        <v>246</v>
      </c>
      <c r="B8" s="175"/>
      <c r="C8" s="175"/>
      <c r="D8" s="175"/>
      <c r="E8" s="175"/>
      <c r="F8" s="175"/>
      <c r="G8" s="175"/>
      <c r="H8" s="175"/>
      <c r="I8" s="175"/>
    </row>
    <row r="9" spans="1:9" ht="15.75">
      <c r="A9" s="4"/>
    </row>
    <row r="10" spans="1:9" ht="47.25" customHeight="1">
      <c r="A10" s="176" t="s">
        <v>190</v>
      </c>
      <c r="B10" s="176"/>
      <c r="C10" s="176"/>
      <c r="D10" s="176"/>
      <c r="E10" s="176"/>
      <c r="F10" s="176"/>
      <c r="G10" s="176"/>
      <c r="H10" s="176"/>
      <c r="I10" s="176"/>
    </row>
    <row r="11" spans="1:9" ht="15.75">
      <c r="A11" s="4"/>
    </row>
    <row r="12" spans="1:9" ht="47.25" customHeight="1">
      <c r="A12" s="8" t="s">
        <v>0</v>
      </c>
      <c r="B12" s="8" t="s">
        <v>1</v>
      </c>
      <c r="C12" s="8" t="s">
        <v>2</v>
      </c>
      <c r="D12" s="8" t="s">
        <v>18</v>
      </c>
      <c r="E12" s="8" t="s">
        <v>19</v>
      </c>
      <c r="F12" s="8"/>
      <c r="G12" s="8" t="s">
        <v>23</v>
      </c>
      <c r="H12" s="8"/>
      <c r="I12" s="8" t="s">
        <v>3</v>
      </c>
    </row>
    <row r="13" spans="1:9">
      <c r="A13" s="9">
        <v>1</v>
      </c>
      <c r="B13" s="9">
        <v>2</v>
      </c>
      <c r="C13" s="9">
        <v>3</v>
      </c>
      <c r="D13" s="9">
        <v>4</v>
      </c>
      <c r="E13" s="9">
        <v>5</v>
      </c>
      <c r="F13" s="9"/>
      <c r="G13" s="9">
        <v>5</v>
      </c>
      <c r="H13" s="9"/>
      <c r="I13" s="9">
        <v>6</v>
      </c>
    </row>
    <row r="14" spans="1:9" ht="15" customHeight="1">
      <c r="A14" s="177" t="s">
        <v>74</v>
      </c>
      <c r="B14" s="177"/>
      <c r="C14" s="177"/>
      <c r="D14" s="177"/>
      <c r="E14" s="177"/>
      <c r="F14" s="177"/>
      <c r="G14" s="177"/>
      <c r="H14" s="177"/>
      <c r="I14" s="177"/>
    </row>
    <row r="15" spans="1:9" ht="15" customHeight="1">
      <c r="A15" s="171" t="s">
        <v>4</v>
      </c>
      <c r="B15" s="171"/>
      <c r="C15" s="171"/>
      <c r="D15" s="171"/>
      <c r="E15" s="171"/>
      <c r="F15" s="171"/>
      <c r="G15" s="171"/>
      <c r="H15" s="171"/>
      <c r="I15" s="171"/>
    </row>
    <row r="16" spans="1:9" ht="31.5" customHeight="1">
      <c r="A16" s="44">
        <v>1</v>
      </c>
      <c r="B16" s="143" t="s">
        <v>147</v>
      </c>
      <c r="C16" s="144" t="s">
        <v>148</v>
      </c>
      <c r="D16" s="143" t="s">
        <v>149</v>
      </c>
      <c r="E16" s="145">
        <v>38.1</v>
      </c>
      <c r="F16" s="146">
        <f>SUM(E16*156/100)</f>
        <v>59.436000000000007</v>
      </c>
      <c r="G16" s="146">
        <v>187.48</v>
      </c>
      <c r="H16" s="147">
        <f t="shared" ref="H16:H26" si="0">SUM(F16*G16/1000)</f>
        <v>11.14306128</v>
      </c>
      <c r="I16" s="19">
        <f>F16/12*G16</f>
        <v>928.58843999999999</v>
      </c>
    </row>
    <row r="17" spans="1:9" ht="31.5" customHeight="1">
      <c r="A17" s="44">
        <v>2</v>
      </c>
      <c r="B17" s="143" t="s">
        <v>150</v>
      </c>
      <c r="C17" s="144" t="s">
        <v>148</v>
      </c>
      <c r="D17" s="143" t="s">
        <v>151</v>
      </c>
      <c r="E17" s="145">
        <v>114.4</v>
      </c>
      <c r="F17" s="146">
        <f>SUM(E17*104/100)</f>
        <v>118.976</v>
      </c>
      <c r="G17" s="146">
        <v>187.48</v>
      </c>
      <c r="H17" s="147">
        <f t="shared" si="0"/>
        <v>22.305620479999998</v>
      </c>
      <c r="I17" s="19">
        <f>F17/12*G17</f>
        <v>1858.8017066666666</v>
      </c>
    </row>
    <row r="18" spans="1:9" ht="31.5" customHeight="1">
      <c r="A18" s="44">
        <v>3</v>
      </c>
      <c r="B18" s="143" t="s">
        <v>152</v>
      </c>
      <c r="C18" s="144" t="s">
        <v>148</v>
      </c>
      <c r="D18" s="143" t="s">
        <v>153</v>
      </c>
      <c r="E18" s="145">
        <f>SUM(E16+E17)</f>
        <v>152.5</v>
      </c>
      <c r="F18" s="146">
        <f>SUM(E18*24/100)</f>
        <v>36.6</v>
      </c>
      <c r="G18" s="146">
        <v>539.30999999999995</v>
      </c>
      <c r="H18" s="147">
        <f t="shared" si="0"/>
        <v>19.738745999999999</v>
      </c>
      <c r="I18" s="19">
        <f>F18/12*G18</f>
        <v>1644.8955000000001</v>
      </c>
    </row>
    <row r="19" spans="1:9" ht="15.75" hidden="1" customHeight="1">
      <c r="A19" s="44">
        <v>4</v>
      </c>
      <c r="B19" s="143" t="s">
        <v>193</v>
      </c>
      <c r="C19" s="144" t="s">
        <v>194</v>
      </c>
      <c r="D19" s="143" t="s">
        <v>195</v>
      </c>
      <c r="E19" s="145">
        <v>32.4</v>
      </c>
      <c r="F19" s="146">
        <f>SUM(E19/10)</f>
        <v>3.2399999999999998</v>
      </c>
      <c r="G19" s="146">
        <v>181.91</v>
      </c>
      <c r="H19" s="147">
        <f t="shared" si="0"/>
        <v>0.58938839999999992</v>
      </c>
      <c r="I19" s="19">
        <v>0</v>
      </c>
    </row>
    <row r="20" spans="1:9" ht="15.75" hidden="1" customHeight="1">
      <c r="A20" s="44">
        <v>5</v>
      </c>
      <c r="B20" s="143" t="s">
        <v>196</v>
      </c>
      <c r="C20" s="144" t="s">
        <v>148</v>
      </c>
      <c r="D20" s="143" t="s">
        <v>49</v>
      </c>
      <c r="E20" s="145">
        <v>12.24</v>
      </c>
      <c r="F20" s="146">
        <f>SUM(E20*2/100)</f>
        <v>0.24480000000000002</v>
      </c>
      <c r="G20" s="146">
        <v>232.92</v>
      </c>
      <c r="H20" s="147">
        <f t="shared" si="0"/>
        <v>5.7018816E-2</v>
      </c>
      <c r="I20" s="19">
        <v>0</v>
      </c>
    </row>
    <row r="21" spans="1:9" ht="15.75" hidden="1" customHeight="1">
      <c r="A21" s="44">
        <v>6</v>
      </c>
      <c r="B21" s="143" t="s">
        <v>197</v>
      </c>
      <c r="C21" s="144" t="s">
        <v>148</v>
      </c>
      <c r="D21" s="143" t="s">
        <v>49</v>
      </c>
      <c r="E21" s="145">
        <v>10.08</v>
      </c>
      <c r="F21" s="146">
        <f>SUM(E21*2/100)</f>
        <v>0.2016</v>
      </c>
      <c r="G21" s="146">
        <v>231.03</v>
      </c>
      <c r="H21" s="147">
        <f t="shared" si="0"/>
        <v>4.6575648000000004E-2</v>
      </c>
      <c r="I21" s="19">
        <v>0</v>
      </c>
    </row>
    <row r="22" spans="1:9" ht="15.75" hidden="1" customHeight="1">
      <c r="A22" s="44">
        <v>7</v>
      </c>
      <c r="B22" s="143" t="s">
        <v>198</v>
      </c>
      <c r="C22" s="144" t="s">
        <v>62</v>
      </c>
      <c r="D22" s="143" t="s">
        <v>195</v>
      </c>
      <c r="E22" s="145">
        <v>293.76</v>
      </c>
      <c r="F22" s="146">
        <f>SUM(E22/100)</f>
        <v>2.9375999999999998</v>
      </c>
      <c r="G22" s="146">
        <v>287.83999999999997</v>
      </c>
      <c r="H22" s="147">
        <f t="shared" si="0"/>
        <v>0.84555878399999984</v>
      </c>
      <c r="I22" s="19">
        <v>0</v>
      </c>
    </row>
    <row r="23" spans="1:9" ht="15.75" hidden="1" customHeight="1">
      <c r="A23" s="44">
        <v>8</v>
      </c>
      <c r="B23" s="143" t="s">
        <v>199</v>
      </c>
      <c r="C23" s="144" t="s">
        <v>62</v>
      </c>
      <c r="D23" s="143" t="s">
        <v>195</v>
      </c>
      <c r="E23" s="148">
        <v>17.64</v>
      </c>
      <c r="F23" s="146">
        <f>SUM(E23/100)</f>
        <v>0.1764</v>
      </c>
      <c r="G23" s="146">
        <v>47.34</v>
      </c>
      <c r="H23" s="147">
        <f t="shared" si="0"/>
        <v>8.3507760000000007E-3</v>
      </c>
      <c r="I23" s="19">
        <v>0</v>
      </c>
    </row>
    <row r="24" spans="1:9" ht="15.75" hidden="1" customHeight="1">
      <c r="A24" s="44">
        <v>9</v>
      </c>
      <c r="B24" s="143" t="s">
        <v>200</v>
      </c>
      <c r="C24" s="144" t="s">
        <v>62</v>
      </c>
      <c r="D24" s="143" t="s">
        <v>201</v>
      </c>
      <c r="E24" s="145">
        <v>10.8</v>
      </c>
      <c r="F24" s="146">
        <f>E24/100</f>
        <v>0.10800000000000001</v>
      </c>
      <c r="G24" s="146">
        <v>416.62</v>
      </c>
      <c r="H24" s="147">
        <f t="shared" si="0"/>
        <v>4.4994960000000007E-2</v>
      </c>
      <c r="I24" s="19">
        <v>0</v>
      </c>
    </row>
    <row r="25" spans="1:9" ht="15.75" hidden="1" customHeight="1">
      <c r="A25" s="44">
        <v>10</v>
      </c>
      <c r="B25" s="143" t="s">
        <v>202</v>
      </c>
      <c r="C25" s="144" t="s">
        <v>62</v>
      </c>
      <c r="D25" s="143" t="s">
        <v>63</v>
      </c>
      <c r="E25" s="145">
        <v>12.6</v>
      </c>
      <c r="F25" s="146">
        <v>0.13</v>
      </c>
      <c r="G25" s="146">
        <v>231.03</v>
      </c>
      <c r="H25" s="147">
        <f>G25*F25/1000</f>
        <v>3.0033900000000002E-2</v>
      </c>
      <c r="I25" s="19">
        <v>0</v>
      </c>
    </row>
    <row r="26" spans="1:9" ht="15.75" hidden="1" customHeight="1">
      <c r="A26" s="44">
        <v>11</v>
      </c>
      <c r="B26" s="143" t="s">
        <v>203</v>
      </c>
      <c r="C26" s="144" t="s">
        <v>62</v>
      </c>
      <c r="D26" s="143" t="s">
        <v>195</v>
      </c>
      <c r="E26" s="145">
        <v>14.4</v>
      </c>
      <c r="F26" s="146">
        <f>SUM(E26/100)</f>
        <v>0.14400000000000002</v>
      </c>
      <c r="G26" s="146">
        <v>556.74</v>
      </c>
      <c r="H26" s="147">
        <f t="shared" si="0"/>
        <v>8.0170560000000016E-2</v>
      </c>
      <c r="I26" s="19">
        <v>0</v>
      </c>
    </row>
    <row r="27" spans="1:9" ht="15.75" customHeight="1">
      <c r="A27" s="44">
        <v>4</v>
      </c>
      <c r="B27" s="143" t="s">
        <v>86</v>
      </c>
      <c r="C27" s="144" t="s">
        <v>35</v>
      </c>
      <c r="D27" s="143" t="s">
        <v>206</v>
      </c>
      <c r="E27" s="145">
        <v>0.1</v>
      </c>
      <c r="F27" s="146">
        <f>SUM(E27*365)</f>
        <v>36.5</v>
      </c>
      <c r="G27" s="146">
        <v>157.18</v>
      </c>
      <c r="H27" s="147">
        <f>SUM(F27*G27/1000)</f>
        <v>5.737070000000001</v>
      </c>
      <c r="I27" s="19">
        <f>F27/12*G27</f>
        <v>478.08916666666664</v>
      </c>
    </row>
    <row r="28" spans="1:9" ht="15.75" customHeight="1">
      <c r="A28" s="44">
        <v>5</v>
      </c>
      <c r="B28" s="151" t="s">
        <v>24</v>
      </c>
      <c r="C28" s="144" t="s">
        <v>25</v>
      </c>
      <c r="D28" s="151" t="s">
        <v>208</v>
      </c>
      <c r="E28" s="145">
        <v>2062.5</v>
      </c>
      <c r="F28" s="146">
        <f>SUM(E28*12)</f>
        <v>24750</v>
      </c>
      <c r="G28" s="146">
        <v>5.53</v>
      </c>
      <c r="H28" s="147">
        <f>SUM(F28*G28/1000)</f>
        <v>136.86750000000001</v>
      </c>
      <c r="I28" s="19">
        <f>F28/12*G28</f>
        <v>11405.625</v>
      </c>
    </row>
    <row r="29" spans="1:9" ht="15.75" customHeight="1">
      <c r="A29" s="186" t="s">
        <v>130</v>
      </c>
      <c r="B29" s="187"/>
      <c r="C29" s="187"/>
      <c r="D29" s="187"/>
      <c r="E29" s="187"/>
      <c r="F29" s="187"/>
      <c r="G29" s="187"/>
      <c r="H29" s="187"/>
      <c r="I29" s="188"/>
    </row>
    <row r="30" spans="1:9" ht="15.75" hidden="1" customHeight="1">
      <c r="A30" s="44"/>
      <c r="B30" s="164" t="s">
        <v>31</v>
      </c>
      <c r="C30" s="144"/>
      <c r="D30" s="143"/>
      <c r="E30" s="145"/>
      <c r="F30" s="146"/>
      <c r="G30" s="146"/>
      <c r="H30" s="147"/>
      <c r="I30" s="19"/>
    </row>
    <row r="31" spans="1:9" ht="31.5" hidden="1" customHeight="1">
      <c r="A31" s="44">
        <v>6</v>
      </c>
      <c r="B31" s="143" t="s">
        <v>236</v>
      </c>
      <c r="C31" s="144" t="s">
        <v>166</v>
      </c>
      <c r="D31" s="143" t="s">
        <v>204</v>
      </c>
      <c r="E31" s="146">
        <v>652.9</v>
      </c>
      <c r="F31" s="146">
        <f>SUM(E31*52/1000)</f>
        <v>33.950799999999994</v>
      </c>
      <c r="G31" s="146">
        <v>166.65</v>
      </c>
      <c r="H31" s="147">
        <f t="shared" ref="H31:H36" si="1">SUM(F31*G31/1000)</f>
        <v>5.6579008199999992</v>
      </c>
      <c r="I31" s="19">
        <f>F31/6*G31</f>
        <v>942.9834699999999</v>
      </c>
    </row>
    <row r="32" spans="1:9" ht="31.5" hidden="1" customHeight="1">
      <c r="A32" s="44">
        <v>7</v>
      </c>
      <c r="B32" s="143" t="s">
        <v>237</v>
      </c>
      <c r="C32" s="144" t="s">
        <v>166</v>
      </c>
      <c r="D32" s="143" t="s">
        <v>205</v>
      </c>
      <c r="E32" s="146">
        <v>63.5</v>
      </c>
      <c r="F32" s="146">
        <f>SUM(E32*78/1000)</f>
        <v>4.9530000000000003</v>
      </c>
      <c r="G32" s="146">
        <v>276.48</v>
      </c>
      <c r="H32" s="147">
        <f t="shared" si="1"/>
        <v>1.3694054400000002</v>
      </c>
      <c r="I32" s="19">
        <f t="shared" ref="I32:I34" si="2">F32/6*G32</f>
        <v>228.23424000000003</v>
      </c>
    </row>
    <row r="33" spans="1:9" ht="15.75" hidden="1" customHeight="1">
      <c r="A33" s="44">
        <v>8</v>
      </c>
      <c r="B33" s="143" t="s">
        <v>30</v>
      </c>
      <c r="C33" s="144" t="s">
        <v>166</v>
      </c>
      <c r="D33" s="143" t="s">
        <v>63</v>
      </c>
      <c r="E33" s="146">
        <v>652.9</v>
      </c>
      <c r="F33" s="146">
        <f>SUM(E33/1000)</f>
        <v>0.65289999999999992</v>
      </c>
      <c r="G33" s="146">
        <v>3228.73</v>
      </c>
      <c r="H33" s="147">
        <f t="shared" si="1"/>
        <v>2.108037817</v>
      </c>
      <c r="I33" s="19">
        <f>F33*G33</f>
        <v>2108.0378169999999</v>
      </c>
    </row>
    <row r="34" spans="1:9" ht="15.75" hidden="1" customHeight="1">
      <c r="A34" s="44">
        <v>8</v>
      </c>
      <c r="B34" s="143" t="s">
        <v>238</v>
      </c>
      <c r="C34" s="144" t="s">
        <v>33</v>
      </c>
      <c r="D34" s="143" t="s">
        <v>85</v>
      </c>
      <c r="E34" s="150">
        <v>0.33333333333333331</v>
      </c>
      <c r="F34" s="146">
        <f>155/3</f>
        <v>51.666666666666664</v>
      </c>
      <c r="G34" s="146">
        <v>60.6</v>
      </c>
      <c r="H34" s="147">
        <f>SUM(G34*155/3/1000)</f>
        <v>3.1309999999999998</v>
      </c>
      <c r="I34" s="19">
        <f t="shared" si="2"/>
        <v>521.83333333333337</v>
      </c>
    </row>
    <row r="35" spans="1:9" ht="15.75" hidden="1" customHeight="1">
      <c r="A35" s="44"/>
      <c r="B35" s="143" t="s">
        <v>87</v>
      </c>
      <c r="C35" s="144" t="s">
        <v>35</v>
      </c>
      <c r="D35" s="143" t="s">
        <v>89</v>
      </c>
      <c r="E35" s="145"/>
      <c r="F35" s="146">
        <v>2</v>
      </c>
      <c r="G35" s="146">
        <v>204.52</v>
      </c>
      <c r="H35" s="147">
        <f t="shared" si="1"/>
        <v>0.40904000000000001</v>
      </c>
      <c r="I35" s="19">
        <v>0</v>
      </c>
    </row>
    <row r="36" spans="1:9" ht="15.75" hidden="1" customHeight="1">
      <c r="A36" s="44"/>
      <c r="B36" s="143" t="s">
        <v>207</v>
      </c>
      <c r="C36" s="144" t="s">
        <v>34</v>
      </c>
      <c r="D36" s="143" t="s">
        <v>89</v>
      </c>
      <c r="E36" s="145"/>
      <c r="F36" s="146">
        <v>1</v>
      </c>
      <c r="G36" s="146">
        <v>1214.74</v>
      </c>
      <c r="H36" s="147">
        <f t="shared" si="1"/>
        <v>1.2147399999999999</v>
      </c>
      <c r="I36" s="19">
        <v>0</v>
      </c>
    </row>
    <row r="37" spans="1:9" ht="15.75" customHeight="1">
      <c r="A37" s="44"/>
      <c r="B37" s="164" t="s">
        <v>5</v>
      </c>
      <c r="C37" s="144"/>
      <c r="D37" s="143"/>
      <c r="E37" s="145"/>
      <c r="F37" s="146"/>
      <c r="G37" s="146"/>
      <c r="H37" s="147" t="s">
        <v>208</v>
      </c>
      <c r="I37" s="19"/>
    </row>
    <row r="38" spans="1:9" ht="15.75" customHeight="1">
      <c r="A38" s="44">
        <v>6</v>
      </c>
      <c r="B38" s="143" t="s">
        <v>29</v>
      </c>
      <c r="C38" s="144" t="s">
        <v>34</v>
      </c>
      <c r="D38" s="143"/>
      <c r="E38" s="145"/>
      <c r="F38" s="146">
        <v>10</v>
      </c>
      <c r="G38" s="146">
        <v>1632.6</v>
      </c>
      <c r="H38" s="147">
        <f t="shared" ref="H38:H45" si="3">SUM(F38*G38/1000)</f>
        <v>16.326000000000001</v>
      </c>
      <c r="I38" s="19">
        <f>F38/6*G38</f>
        <v>2721</v>
      </c>
    </row>
    <row r="39" spans="1:9" ht="15.75" customHeight="1">
      <c r="A39" s="44">
        <v>7</v>
      </c>
      <c r="B39" s="143" t="s">
        <v>209</v>
      </c>
      <c r="C39" s="144" t="s">
        <v>32</v>
      </c>
      <c r="D39" s="143" t="s">
        <v>210</v>
      </c>
      <c r="E39" s="146">
        <v>172.55</v>
      </c>
      <c r="F39" s="146">
        <f>SUM(E39*12/1000)</f>
        <v>2.0706000000000002</v>
      </c>
      <c r="G39" s="146">
        <v>2247.8000000000002</v>
      </c>
      <c r="H39" s="147">
        <f t="shared" si="3"/>
        <v>4.6542946800000005</v>
      </c>
      <c r="I39" s="19">
        <f>F39/6*G39</f>
        <v>775.71578000000011</v>
      </c>
    </row>
    <row r="40" spans="1:9" ht="15.75" customHeight="1">
      <c r="A40" s="44">
        <v>8</v>
      </c>
      <c r="B40" s="143" t="s">
        <v>211</v>
      </c>
      <c r="C40" s="144" t="s">
        <v>32</v>
      </c>
      <c r="D40" s="143" t="s">
        <v>162</v>
      </c>
      <c r="E40" s="145">
        <v>63.5</v>
      </c>
      <c r="F40" s="146">
        <v>1.91</v>
      </c>
      <c r="G40" s="146">
        <v>2247.8000000000002</v>
      </c>
      <c r="H40" s="147">
        <f>G40*F40/1000</f>
        <v>4.2932980000000001</v>
      </c>
      <c r="I40" s="19">
        <f>F40/6*G40</f>
        <v>715.54966666666667</v>
      </c>
    </row>
    <row r="41" spans="1:9" ht="15.75" hidden="1" customHeight="1">
      <c r="A41" s="44"/>
      <c r="B41" s="143" t="s">
        <v>163</v>
      </c>
      <c r="C41" s="144" t="s">
        <v>164</v>
      </c>
      <c r="D41" s="143" t="s">
        <v>89</v>
      </c>
      <c r="E41" s="145"/>
      <c r="F41" s="146">
        <v>75</v>
      </c>
      <c r="G41" s="146">
        <v>213.2</v>
      </c>
      <c r="H41" s="147">
        <f>G41*F41/1000</f>
        <v>15.99</v>
      </c>
      <c r="I41" s="19">
        <v>0</v>
      </c>
    </row>
    <row r="42" spans="1:9" ht="15.75" customHeight="1">
      <c r="A42" s="44">
        <v>9</v>
      </c>
      <c r="B42" s="143" t="s">
        <v>92</v>
      </c>
      <c r="C42" s="144" t="s">
        <v>32</v>
      </c>
      <c r="D42" s="143" t="s">
        <v>165</v>
      </c>
      <c r="E42" s="146">
        <v>63.5</v>
      </c>
      <c r="F42" s="146">
        <f>SUM(E42*155/1000)</f>
        <v>9.8424999999999994</v>
      </c>
      <c r="G42" s="146">
        <v>374.95</v>
      </c>
      <c r="H42" s="147">
        <f t="shared" si="3"/>
        <v>3.6904453749999999</v>
      </c>
      <c r="I42" s="19">
        <f>F42/6*G42</f>
        <v>615.07422916666667</v>
      </c>
    </row>
    <row r="43" spans="1:9" ht="15.75" customHeight="1">
      <c r="A43" s="44">
        <v>10</v>
      </c>
      <c r="B43" s="143" t="s">
        <v>128</v>
      </c>
      <c r="C43" s="144" t="s">
        <v>166</v>
      </c>
      <c r="D43" s="143" t="s">
        <v>212</v>
      </c>
      <c r="E43" s="146">
        <v>63.5</v>
      </c>
      <c r="F43" s="146">
        <f>SUM(E43*24/1000)</f>
        <v>1.524</v>
      </c>
      <c r="G43" s="146">
        <v>6203.7</v>
      </c>
      <c r="H43" s="147">
        <f t="shared" si="3"/>
        <v>9.4544388000000001</v>
      </c>
      <c r="I43" s="19">
        <f>F43/6*G43</f>
        <v>1575.7398000000001</v>
      </c>
    </row>
    <row r="44" spans="1:9" ht="15.75" customHeight="1">
      <c r="A44" s="44">
        <v>11</v>
      </c>
      <c r="B44" s="143" t="s">
        <v>168</v>
      </c>
      <c r="C44" s="144" t="s">
        <v>166</v>
      </c>
      <c r="D44" s="143" t="s">
        <v>95</v>
      </c>
      <c r="E44" s="146">
        <v>63.5</v>
      </c>
      <c r="F44" s="146">
        <f>SUM(E44*45/1000)</f>
        <v>2.8574999999999999</v>
      </c>
      <c r="G44" s="146">
        <v>458.28</v>
      </c>
      <c r="H44" s="147">
        <f t="shared" si="3"/>
        <v>1.3095350999999997</v>
      </c>
      <c r="I44" s="19">
        <f>F44/6*G44</f>
        <v>218.25584999999998</v>
      </c>
    </row>
    <row r="45" spans="1:9" ht="15.75" customHeight="1">
      <c r="A45" s="44">
        <v>12</v>
      </c>
      <c r="B45" s="143" t="s">
        <v>96</v>
      </c>
      <c r="C45" s="144" t="s">
        <v>35</v>
      </c>
      <c r="D45" s="143"/>
      <c r="E45" s="145"/>
      <c r="F45" s="146">
        <v>0.9</v>
      </c>
      <c r="G45" s="146">
        <v>853.06</v>
      </c>
      <c r="H45" s="147">
        <f t="shared" si="3"/>
        <v>0.76775400000000005</v>
      </c>
      <c r="I45" s="19">
        <f>F45/6*G45</f>
        <v>127.95899999999999</v>
      </c>
    </row>
    <row r="46" spans="1:9" ht="15.75" customHeight="1">
      <c r="A46" s="186" t="s">
        <v>186</v>
      </c>
      <c r="B46" s="187"/>
      <c r="C46" s="187"/>
      <c r="D46" s="187"/>
      <c r="E46" s="187"/>
      <c r="F46" s="187"/>
      <c r="G46" s="187"/>
      <c r="H46" s="187"/>
      <c r="I46" s="188"/>
    </row>
    <row r="47" spans="1:9" ht="15.75" hidden="1" customHeight="1">
      <c r="A47" s="44"/>
      <c r="B47" s="143" t="s">
        <v>213</v>
      </c>
      <c r="C47" s="144" t="s">
        <v>166</v>
      </c>
      <c r="D47" s="143" t="s">
        <v>49</v>
      </c>
      <c r="E47" s="145">
        <v>881.3</v>
      </c>
      <c r="F47" s="146">
        <f>SUM(E47*2/1000)</f>
        <v>1.7625999999999999</v>
      </c>
      <c r="G47" s="19">
        <v>865.61</v>
      </c>
      <c r="H47" s="147">
        <f t="shared" ref="H47:H56" si="4">SUM(F47*G47/1000)</f>
        <v>1.5257241859999999</v>
      </c>
      <c r="I47" s="19">
        <v>0</v>
      </c>
    </row>
    <row r="48" spans="1:9" ht="15.75" hidden="1" customHeight="1">
      <c r="A48" s="44"/>
      <c r="B48" s="143" t="s">
        <v>39</v>
      </c>
      <c r="C48" s="144" t="s">
        <v>166</v>
      </c>
      <c r="D48" s="143" t="s">
        <v>49</v>
      </c>
      <c r="E48" s="145">
        <v>48</v>
      </c>
      <c r="F48" s="146">
        <f>SUM(E48*2/1000)</f>
        <v>9.6000000000000002E-2</v>
      </c>
      <c r="G48" s="19">
        <v>619.46</v>
      </c>
      <c r="H48" s="147">
        <f t="shared" si="4"/>
        <v>5.9468160000000006E-2</v>
      </c>
      <c r="I48" s="19">
        <v>0</v>
      </c>
    </row>
    <row r="49" spans="1:9" ht="15.75" hidden="1" customHeight="1">
      <c r="A49" s="44"/>
      <c r="B49" s="143" t="s">
        <v>40</v>
      </c>
      <c r="C49" s="144" t="s">
        <v>166</v>
      </c>
      <c r="D49" s="143" t="s">
        <v>49</v>
      </c>
      <c r="E49" s="145">
        <v>939.64</v>
      </c>
      <c r="F49" s="146">
        <f>SUM(E49*2/1000)</f>
        <v>1.8792800000000001</v>
      </c>
      <c r="G49" s="19">
        <v>619.46</v>
      </c>
      <c r="H49" s="147">
        <f t="shared" si="4"/>
        <v>1.1641387888000001</v>
      </c>
      <c r="I49" s="19">
        <v>0</v>
      </c>
    </row>
    <row r="50" spans="1:9" ht="15.75" hidden="1" customHeight="1">
      <c r="A50" s="44"/>
      <c r="B50" s="143" t="s">
        <v>41</v>
      </c>
      <c r="C50" s="144" t="s">
        <v>166</v>
      </c>
      <c r="D50" s="143" t="s">
        <v>49</v>
      </c>
      <c r="E50" s="145">
        <v>1247.3699999999999</v>
      </c>
      <c r="F50" s="146">
        <f>SUM(E50*2/1000)</f>
        <v>2.4947399999999997</v>
      </c>
      <c r="G50" s="19">
        <v>648.64</v>
      </c>
      <c r="H50" s="147">
        <f t="shared" si="4"/>
        <v>1.6181881535999998</v>
      </c>
      <c r="I50" s="19">
        <v>0</v>
      </c>
    </row>
    <row r="51" spans="1:9" ht="15.75" hidden="1" customHeight="1">
      <c r="A51" s="44"/>
      <c r="B51" s="143" t="s">
        <v>37</v>
      </c>
      <c r="C51" s="144" t="s">
        <v>38</v>
      </c>
      <c r="D51" s="143" t="s">
        <v>49</v>
      </c>
      <c r="E51" s="145">
        <v>65.03</v>
      </c>
      <c r="F51" s="146">
        <f>SUM(E51*2/100)</f>
        <v>1.3006</v>
      </c>
      <c r="G51" s="19">
        <v>77.84</v>
      </c>
      <c r="H51" s="147">
        <f t="shared" si="4"/>
        <v>0.101238704</v>
      </c>
      <c r="I51" s="19">
        <v>0</v>
      </c>
    </row>
    <row r="52" spans="1:9" ht="15.75" hidden="1" customHeight="1">
      <c r="A52" s="44">
        <v>13</v>
      </c>
      <c r="B52" s="143" t="s">
        <v>71</v>
      </c>
      <c r="C52" s="144" t="s">
        <v>166</v>
      </c>
      <c r="D52" s="143" t="s">
        <v>239</v>
      </c>
      <c r="E52" s="145">
        <v>702</v>
      </c>
      <c r="F52" s="146">
        <f>SUM(E52*5/1000)</f>
        <v>3.51</v>
      </c>
      <c r="G52" s="19">
        <v>1297.28</v>
      </c>
      <c r="H52" s="147">
        <f t="shared" si="4"/>
        <v>4.5534527999999996</v>
      </c>
      <c r="I52" s="19">
        <f>F52/5*G52</f>
        <v>910.69055999999989</v>
      </c>
    </row>
    <row r="53" spans="1:9" ht="31.5" hidden="1" customHeight="1">
      <c r="A53" s="44"/>
      <c r="B53" s="143" t="s">
        <v>154</v>
      </c>
      <c r="C53" s="144" t="s">
        <v>166</v>
      </c>
      <c r="D53" s="143" t="s">
        <v>49</v>
      </c>
      <c r="E53" s="145">
        <v>702</v>
      </c>
      <c r="F53" s="146">
        <f>SUM(E53*2/1000)</f>
        <v>1.4039999999999999</v>
      </c>
      <c r="G53" s="19">
        <v>1297.28</v>
      </c>
      <c r="H53" s="147">
        <f t="shared" si="4"/>
        <v>1.8213811199999999</v>
      </c>
      <c r="I53" s="19">
        <v>0</v>
      </c>
    </row>
    <row r="54" spans="1:9" ht="31.5" hidden="1" customHeight="1">
      <c r="A54" s="44"/>
      <c r="B54" s="143" t="s">
        <v>155</v>
      </c>
      <c r="C54" s="144" t="s">
        <v>44</v>
      </c>
      <c r="D54" s="143" t="s">
        <v>49</v>
      </c>
      <c r="E54" s="145">
        <v>12</v>
      </c>
      <c r="F54" s="146">
        <f>SUM(E54*2/100)</f>
        <v>0.24</v>
      </c>
      <c r="G54" s="19">
        <v>2918.89</v>
      </c>
      <c r="H54" s="147">
        <f t="shared" si="4"/>
        <v>0.70053359999999998</v>
      </c>
      <c r="I54" s="19">
        <v>0</v>
      </c>
    </row>
    <row r="55" spans="1:9" ht="15.75" hidden="1" customHeight="1">
      <c r="A55" s="44"/>
      <c r="B55" s="143" t="s">
        <v>45</v>
      </c>
      <c r="C55" s="144" t="s">
        <v>46</v>
      </c>
      <c r="D55" s="143" t="s">
        <v>49</v>
      </c>
      <c r="E55" s="145">
        <v>1</v>
      </c>
      <c r="F55" s="146">
        <v>0.02</v>
      </c>
      <c r="G55" s="19">
        <v>6042.12</v>
      </c>
      <c r="H55" s="147">
        <f t="shared" si="4"/>
        <v>0.1208424</v>
      </c>
      <c r="I55" s="19">
        <v>0</v>
      </c>
    </row>
    <row r="56" spans="1:9" ht="15.75" customHeight="1">
      <c r="A56" s="44">
        <v>13</v>
      </c>
      <c r="B56" s="143" t="s">
        <v>48</v>
      </c>
      <c r="C56" s="144" t="s">
        <v>140</v>
      </c>
      <c r="D56" s="143" t="s">
        <v>97</v>
      </c>
      <c r="E56" s="145">
        <v>72</v>
      </c>
      <c r="F56" s="146">
        <f>SUM(E56)*3</f>
        <v>216</v>
      </c>
      <c r="G56" s="19">
        <v>70.209999999999994</v>
      </c>
      <c r="H56" s="147">
        <f t="shared" si="4"/>
        <v>15.165359999999998</v>
      </c>
      <c r="I56" s="19">
        <f>E56*G56</f>
        <v>5055.12</v>
      </c>
    </row>
    <row r="57" spans="1:9" ht="15.75" customHeight="1">
      <c r="A57" s="186" t="s">
        <v>187</v>
      </c>
      <c r="B57" s="187"/>
      <c r="C57" s="187"/>
      <c r="D57" s="187"/>
      <c r="E57" s="187"/>
      <c r="F57" s="187"/>
      <c r="G57" s="187"/>
      <c r="H57" s="187"/>
      <c r="I57" s="188"/>
    </row>
    <row r="58" spans="1:9" ht="15.75" customHeight="1">
      <c r="A58" s="44"/>
      <c r="B58" s="164" t="s">
        <v>50</v>
      </c>
      <c r="C58" s="144"/>
      <c r="D58" s="143"/>
      <c r="E58" s="145"/>
      <c r="F58" s="146"/>
      <c r="G58" s="146"/>
      <c r="H58" s="147"/>
      <c r="I58" s="19"/>
    </row>
    <row r="59" spans="1:9" ht="31.5" customHeight="1">
      <c r="A59" s="44">
        <v>14</v>
      </c>
      <c r="B59" s="143" t="s">
        <v>214</v>
      </c>
      <c r="C59" s="144" t="s">
        <v>148</v>
      </c>
      <c r="D59" s="143" t="s">
        <v>215</v>
      </c>
      <c r="E59" s="145">
        <v>106.13</v>
      </c>
      <c r="F59" s="146">
        <f>SUM(E59*6/100)</f>
        <v>6.3677999999999999</v>
      </c>
      <c r="G59" s="19">
        <v>1456.95</v>
      </c>
      <c r="H59" s="147">
        <f>SUM(F59*G59/1000)</f>
        <v>9.2775662100000016</v>
      </c>
      <c r="I59" s="19">
        <f>F59/6*G59</f>
        <v>1546.261035</v>
      </c>
    </row>
    <row r="60" spans="1:9" ht="15.75" hidden="1" customHeight="1">
      <c r="A60" s="44"/>
      <c r="B60" s="164" t="s">
        <v>51</v>
      </c>
      <c r="C60" s="144"/>
      <c r="D60" s="143"/>
      <c r="E60" s="145"/>
      <c r="F60" s="146"/>
      <c r="G60" s="130"/>
      <c r="H60" s="147"/>
      <c r="I60" s="19"/>
    </row>
    <row r="61" spans="1:9" ht="15.75" hidden="1" customHeight="1">
      <c r="A61" s="44"/>
      <c r="B61" s="143" t="s">
        <v>216</v>
      </c>
      <c r="C61" s="144"/>
      <c r="D61" s="143" t="s">
        <v>63</v>
      </c>
      <c r="E61" s="145">
        <v>1036</v>
      </c>
      <c r="F61" s="147">
        <v>10.36</v>
      </c>
      <c r="G61" s="19">
        <v>848.37</v>
      </c>
      <c r="H61" s="152">
        <f>F61*G61/1000</f>
        <v>8.7891131999999992</v>
      </c>
      <c r="I61" s="19">
        <v>0</v>
      </c>
    </row>
    <row r="62" spans="1:9" ht="15.75" hidden="1" customHeight="1">
      <c r="A62" s="44"/>
      <c r="B62" s="165" t="s">
        <v>53</v>
      </c>
      <c r="C62" s="153"/>
      <c r="D62" s="154"/>
      <c r="E62" s="155"/>
      <c r="F62" s="156"/>
      <c r="G62" s="156"/>
      <c r="H62" s="157" t="s">
        <v>208</v>
      </c>
      <c r="I62" s="19"/>
    </row>
    <row r="63" spans="1:9" ht="15.75" hidden="1" customHeight="1">
      <c r="A63" s="44"/>
      <c r="B63" s="21" t="s">
        <v>54</v>
      </c>
      <c r="C63" s="23" t="s">
        <v>140</v>
      </c>
      <c r="D63" s="21" t="s">
        <v>89</v>
      </c>
      <c r="E63" s="26">
        <v>10</v>
      </c>
      <c r="F63" s="146">
        <v>10</v>
      </c>
      <c r="G63" s="19">
        <v>237.74</v>
      </c>
      <c r="H63" s="141">
        <f t="shared" ref="H63:H75" si="5">SUM(F63*G63/1000)</f>
        <v>2.3774000000000002</v>
      </c>
      <c r="I63" s="19">
        <v>0</v>
      </c>
    </row>
    <row r="64" spans="1:9" ht="15.75" hidden="1" customHeight="1">
      <c r="A64" s="44"/>
      <c r="B64" s="21" t="s">
        <v>55</v>
      </c>
      <c r="C64" s="23" t="s">
        <v>140</v>
      </c>
      <c r="D64" s="21" t="s">
        <v>89</v>
      </c>
      <c r="E64" s="26">
        <v>5</v>
      </c>
      <c r="F64" s="146">
        <v>5</v>
      </c>
      <c r="G64" s="19">
        <v>81.510000000000005</v>
      </c>
      <c r="H64" s="141">
        <f t="shared" si="5"/>
        <v>0.40755000000000002</v>
      </c>
      <c r="I64" s="19">
        <v>0</v>
      </c>
    </row>
    <row r="65" spans="1:9" ht="15.75" hidden="1" customHeight="1">
      <c r="A65" s="44"/>
      <c r="B65" s="21" t="s">
        <v>56</v>
      </c>
      <c r="C65" s="23" t="s">
        <v>217</v>
      </c>
      <c r="D65" s="21" t="s">
        <v>63</v>
      </c>
      <c r="E65" s="145">
        <v>8607</v>
      </c>
      <c r="F65" s="19">
        <f>SUM(E65/100)</f>
        <v>86.07</v>
      </c>
      <c r="G65" s="19">
        <v>226.79</v>
      </c>
      <c r="H65" s="141">
        <f t="shared" si="5"/>
        <v>19.519815299999998</v>
      </c>
      <c r="I65" s="19">
        <v>0</v>
      </c>
    </row>
    <row r="66" spans="1:9" ht="15.75" hidden="1" customHeight="1">
      <c r="A66" s="44"/>
      <c r="B66" s="21" t="s">
        <v>57</v>
      </c>
      <c r="C66" s="23" t="s">
        <v>218</v>
      </c>
      <c r="D66" s="21"/>
      <c r="E66" s="145">
        <v>8607</v>
      </c>
      <c r="F66" s="19">
        <f>SUM(E66/1000)</f>
        <v>8.6069999999999993</v>
      </c>
      <c r="G66" s="19">
        <v>176.61</v>
      </c>
      <c r="H66" s="141">
        <f t="shared" si="5"/>
        <v>1.5200822700000001</v>
      </c>
      <c r="I66" s="19">
        <v>0</v>
      </c>
    </row>
    <row r="67" spans="1:9" ht="15.75" hidden="1" customHeight="1">
      <c r="A67" s="44"/>
      <c r="B67" s="21" t="s">
        <v>58</v>
      </c>
      <c r="C67" s="23" t="s">
        <v>107</v>
      </c>
      <c r="D67" s="21" t="s">
        <v>63</v>
      </c>
      <c r="E67" s="145">
        <v>1370</v>
      </c>
      <c r="F67" s="19">
        <f>SUM(E67/100)</f>
        <v>13.7</v>
      </c>
      <c r="G67" s="19">
        <v>2217.7800000000002</v>
      </c>
      <c r="H67" s="141">
        <f t="shared" si="5"/>
        <v>30.383586000000005</v>
      </c>
      <c r="I67" s="19">
        <v>0</v>
      </c>
    </row>
    <row r="68" spans="1:9" ht="15.75" hidden="1" customHeight="1">
      <c r="A68" s="44"/>
      <c r="B68" s="158" t="s">
        <v>219</v>
      </c>
      <c r="C68" s="23" t="s">
        <v>35</v>
      </c>
      <c r="D68" s="21"/>
      <c r="E68" s="145">
        <v>7.8</v>
      </c>
      <c r="F68" s="19">
        <f>SUM(E68)</f>
        <v>7.8</v>
      </c>
      <c r="G68" s="19">
        <v>42.67</v>
      </c>
      <c r="H68" s="141">
        <f t="shared" si="5"/>
        <v>0.33282600000000001</v>
      </c>
      <c r="I68" s="19">
        <v>0</v>
      </c>
    </row>
    <row r="69" spans="1:9" ht="15.75" hidden="1" customHeight="1">
      <c r="A69" s="44"/>
      <c r="B69" s="158" t="s">
        <v>220</v>
      </c>
      <c r="C69" s="23" t="s">
        <v>35</v>
      </c>
      <c r="D69" s="21"/>
      <c r="E69" s="145">
        <v>7.8</v>
      </c>
      <c r="F69" s="19">
        <f>SUM(E69)</f>
        <v>7.8</v>
      </c>
      <c r="G69" s="19">
        <v>39.81</v>
      </c>
      <c r="H69" s="141">
        <f t="shared" si="5"/>
        <v>0.31051800000000002</v>
      </c>
      <c r="I69" s="19">
        <v>0</v>
      </c>
    </row>
    <row r="70" spans="1:9" ht="15.75" hidden="1" customHeight="1">
      <c r="A70" s="44"/>
      <c r="B70" s="21" t="s">
        <v>72</v>
      </c>
      <c r="C70" s="23" t="s">
        <v>73</v>
      </c>
      <c r="D70" s="21" t="s">
        <v>63</v>
      </c>
      <c r="E70" s="26">
        <v>3</v>
      </c>
      <c r="F70" s="146">
        <v>3</v>
      </c>
      <c r="G70" s="19">
        <v>53.32</v>
      </c>
      <c r="H70" s="141">
        <f t="shared" si="5"/>
        <v>0.15996000000000002</v>
      </c>
      <c r="I70" s="19">
        <v>0</v>
      </c>
    </row>
    <row r="71" spans="1:9" ht="15.75" hidden="1" customHeight="1">
      <c r="A71" s="44"/>
      <c r="B71" s="127" t="s">
        <v>101</v>
      </c>
      <c r="C71" s="23"/>
      <c r="D71" s="21"/>
      <c r="E71" s="26"/>
      <c r="F71" s="19"/>
      <c r="G71" s="19"/>
      <c r="H71" s="141" t="s">
        <v>208</v>
      </c>
      <c r="I71" s="19"/>
    </row>
    <row r="72" spans="1:9" ht="15.75" hidden="1" customHeight="1">
      <c r="A72" s="44"/>
      <c r="B72" s="21" t="s">
        <v>102</v>
      </c>
      <c r="C72" s="23" t="s">
        <v>104</v>
      </c>
      <c r="D72" s="21"/>
      <c r="E72" s="26">
        <v>2</v>
      </c>
      <c r="F72" s="19">
        <v>0.2</v>
      </c>
      <c r="G72" s="19">
        <v>536.23</v>
      </c>
      <c r="H72" s="141">
        <f t="shared" si="5"/>
        <v>0.10724600000000001</v>
      </c>
      <c r="I72" s="19">
        <v>0</v>
      </c>
    </row>
    <row r="73" spans="1:9" ht="15.75" hidden="1" customHeight="1">
      <c r="A73" s="44"/>
      <c r="B73" s="21" t="s">
        <v>103</v>
      </c>
      <c r="C73" s="23" t="s">
        <v>33</v>
      </c>
      <c r="D73" s="21"/>
      <c r="E73" s="26">
        <v>1</v>
      </c>
      <c r="F73" s="130">
        <v>1</v>
      </c>
      <c r="G73" s="19">
        <v>911.85</v>
      </c>
      <c r="H73" s="141">
        <f>F73*G73/1000</f>
        <v>0.91185000000000005</v>
      </c>
      <c r="I73" s="19">
        <v>0</v>
      </c>
    </row>
    <row r="74" spans="1:9" ht="15.75" hidden="1" customHeight="1">
      <c r="A74" s="44"/>
      <c r="B74" s="160" t="s">
        <v>105</v>
      </c>
      <c r="C74" s="23"/>
      <c r="D74" s="21"/>
      <c r="E74" s="26"/>
      <c r="F74" s="19"/>
      <c r="G74" s="19" t="s">
        <v>208</v>
      </c>
      <c r="H74" s="141" t="s">
        <v>208</v>
      </c>
      <c r="I74" s="19"/>
    </row>
    <row r="75" spans="1:9" ht="15.75" hidden="1" customHeight="1">
      <c r="A75" s="44"/>
      <c r="B75" s="81" t="s">
        <v>240</v>
      </c>
      <c r="C75" s="23" t="s">
        <v>107</v>
      </c>
      <c r="D75" s="21"/>
      <c r="E75" s="26"/>
      <c r="F75" s="19">
        <v>1</v>
      </c>
      <c r="G75" s="19">
        <v>2831.38</v>
      </c>
      <c r="H75" s="141">
        <f t="shared" si="5"/>
        <v>2.8313800000000002</v>
      </c>
      <c r="I75" s="19">
        <v>0</v>
      </c>
    </row>
    <row r="76" spans="1:9" ht="15.75" hidden="1" customHeight="1">
      <c r="A76" s="44"/>
      <c r="B76" s="168" t="s">
        <v>158</v>
      </c>
      <c r="C76" s="168"/>
      <c r="D76" s="168"/>
      <c r="E76" s="168"/>
      <c r="F76" s="168"/>
      <c r="G76" s="149"/>
      <c r="H76" s="161">
        <f>SUM(H59:H75)</f>
        <v>76.928892980000001</v>
      </c>
      <c r="I76" s="149"/>
    </row>
    <row r="77" spans="1:9" ht="15.75" hidden="1" customHeight="1">
      <c r="A77" s="44"/>
      <c r="B77" s="166" t="s">
        <v>221</v>
      </c>
      <c r="C77" s="32"/>
      <c r="D77" s="31"/>
      <c r="E77" s="162"/>
      <c r="F77" s="167">
        <v>1</v>
      </c>
      <c r="G77" s="19">
        <v>7528.4</v>
      </c>
      <c r="H77" s="141">
        <f>G77*F77/1000</f>
        <v>7.5283999999999995</v>
      </c>
      <c r="I77" s="19">
        <v>0</v>
      </c>
    </row>
    <row r="78" spans="1:9" ht="15.75" customHeight="1">
      <c r="A78" s="186" t="s">
        <v>188</v>
      </c>
      <c r="B78" s="187"/>
      <c r="C78" s="187"/>
      <c r="D78" s="187"/>
      <c r="E78" s="187"/>
      <c r="F78" s="187"/>
      <c r="G78" s="187"/>
      <c r="H78" s="187"/>
      <c r="I78" s="188"/>
    </row>
    <row r="79" spans="1:9" ht="15.75" customHeight="1">
      <c r="A79" s="44">
        <v>15</v>
      </c>
      <c r="B79" s="143" t="s">
        <v>222</v>
      </c>
      <c r="C79" s="23" t="s">
        <v>68</v>
      </c>
      <c r="D79" s="163" t="s">
        <v>69</v>
      </c>
      <c r="E79" s="19">
        <v>2062.5</v>
      </c>
      <c r="F79" s="19">
        <f>SUM(E79*12)</f>
        <v>24750</v>
      </c>
      <c r="G79" s="19">
        <v>2.2400000000000002</v>
      </c>
      <c r="H79" s="141">
        <f>SUM(F79*G79/1000)</f>
        <v>55.440000000000005</v>
      </c>
      <c r="I79" s="19">
        <f>F79/12*G79</f>
        <v>4620</v>
      </c>
    </row>
    <row r="80" spans="1:9" ht="31.5" customHeight="1">
      <c r="A80" s="44">
        <v>16</v>
      </c>
      <c r="B80" s="21" t="s">
        <v>108</v>
      </c>
      <c r="C80" s="23"/>
      <c r="D80" s="163" t="s">
        <v>69</v>
      </c>
      <c r="E80" s="145">
        <f>E79</f>
        <v>2062.5</v>
      </c>
      <c r="F80" s="19">
        <f>E80*12</f>
        <v>24750</v>
      </c>
      <c r="G80" s="19">
        <v>1.74</v>
      </c>
      <c r="H80" s="141">
        <f>F80*G80/1000</f>
        <v>43.064999999999998</v>
      </c>
      <c r="I80" s="19">
        <f>F80/12*G80</f>
        <v>3588.75</v>
      </c>
    </row>
    <row r="81" spans="1:9" ht="15.75" customHeight="1">
      <c r="A81" s="44"/>
      <c r="B81" s="68" t="s">
        <v>115</v>
      </c>
      <c r="C81" s="160"/>
      <c r="D81" s="159"/>
      <c r="E81" s="149"/>
      <c r="F81" s="149"/>
      <c r="G81" s="149"/>
      <c r="H81" s="161">
        <f>H80</f>
        <v>43.064999999999998</v>
      </c>
      <c r="I81" s="149">
        <f>I16+I17+I18+I27+I28+I38+I39+I40+I42+I43+I44+I45+I56+I59+I79+I80</f>
        <v>37875.425174166667</v>
      </c>
    </row>
    <row r="82" spans="1:9" ht="15.75" customHeight="1">
      <c r="A82" s="44"/>
      <c r="B82" s="102" t="s">
        <v>76</v>
      </c>
      <c r="C82" s="23"/>
      <c r="D82" s="81"/>
      <c r="E82" s="19"/>
      <c r="F82" s="19"/>
      <c r="G82" s="19"/>
      <c r="H82" s="161" t="e">
        <f>SUM(H81+#REF!+H76+H57+H46+#REF!+H29)</f>
        <v>#REF!</v>
      </c>
      <c r="I82" s="19"/>
    </row>
    <row r="83" spans="1:9" ht="15.75" customHeight="1">
      <c r="A83" s="44">
        <v>17</v>
      </c>
      <c r="B83" s="95" t="s">
        <v>229</v>
      </c>
      <c r="C83" s="96" t="s">
        <v>129</v>
      </c>
      <c r="D83" s="81"/>
      <c r="E83" s="19"/>
      <c r="F83" s="19">
        <v>3</v>
      </c>
      <c r="G83" s="19">
        <v>185.81</v>
      </c>
      <c r="H83" s="141">
        <f>G83*F83/1000</f>
        <v>0.55743000000000009</v>
      </c>
      <c r="I83" s="19">
        <f>G83</f>
        <v>185.81</v>
      </c>
    </row>
    <row r="84" spans="1:9" ht="15.75" customHeight="1">
      <c r="A84" s="44"/>
      <c r="B84" s="75" t="s">
        <v>60</v>
      </c>
      <c r="C84" s="71"/>
      <c r="D84" s="85"/>
      <c r="E84" s="71">
        <v>1</v>
      </c>
      <c r="F84" s="71"/>
      <c r="G84" s="71"/>
      <c r="H84" s="71"/>
      <c r="I84" s="52">
        <f>SUM(I83:I83)</f>
        <v>185.81</v>
      </c>
    </row>
    <row r="85" spans="1:9">
      <c r="A85" s="44"/>
      <c r="B85" s="81" t="s">
        <v>109</v>
      </c>
      <c r="C85" s="22"/>
      <c r="D85" s="22"/>
      <c r="E85" s="72"/>
      <c r="F85" s="72"/>
      <c r="G85" s="73"/>
      <c r="H85" s="73"/>
      <c r="I85" s="25">
        <v>0</v>
      </c>
    </row>
    <row r="86" spans="1:9">
      <c r="A86" s="86"/>
      <c r="B86" s="76" t="s">
        <v>61</v>
      </c>
      <c r="C86" s="59"/>
      <c r="D86" s="59"/>
      <c r="E86" s="59"/>
      <c r="F86" s="59"/>
      <c r="G86" s="59"/>
      <c r="H86" s="59"/>
      <c r="I86" s="74">
        <f>I81+I84</f>
        <v>38061.235174166664</v>
      </c>
    </row>
    <row r="87" spans="1:9" ht="15.75" customHeight="1">
      <c r="A87" s="181" t="s">
        <v>253</v>
      </c>
      <c r="B87" s="181"/>
      <c r="C87" s="181"/>
      <c r="D87" s="181"/>
      <c r="E87" s="181"/>
      <c r="F87" s="181"/>
      <c r="G87" s="181"/>
      <c r="H87" s="181"/>
      <c r="I87" s="181"/>
    </row>
    <row r="88" spans="1:9" ht="15.75">
      <c r="A88" s="117"/>
      <c r="B88" s="182" t="s">
        <v>254</v>
      </c>
      <c r="C88" s="182"/>
      <c r="D88" s="182"/>
      <c r="E88" s="182"/>
      <c r="F88" s="182"/>
      <c r="G88" s="182"/>
      <c r="H88" s="135"/>
      <c r="I88" s="3"/>
    </row>
    <row r="89" spans="1:9">
      <c r="A89" s="116"/>
      <c r="B89" s="183" t="s">
        <v>6</v>
      </c>
      <c r="C89" s="183"/>
      <c r="D89" s="183"/>
      <c r="E89" s="183"/>
      <c r="F89" s="183"/>
      <c r="G89" s="183"/>
      <c r="H89" s="39"/>
      <c r="I89" s="5"/>
    </row>
    <row r="90" spans="1:9">
      <c r="A90" s="12"/>
      <c r="B90" s="12"/>
      <c r="C90" s="12"/>
      <c r="D90" s="12"/>
      <c r="E90" s="12"/>
      <c r="F90" s="12"/>
      <c r="G90" s="12"/>
      <c r="H90" s="12"/>
      <c r="I90" s="12"/>
    </row>
    <row r="91" spans="1:9" ht="15.75">
      <c r="A91" s="184" t="s">
        <v>7</v>
      </c>
      <c r="B91" s="184"/>
      <c r="C91" s="184"/>
      <c r="D91" s="184"/>
      <c r="E91" s="184"/>
      <c r="F91" s="184"/>
      <c r="G91" s="184"/>
      <c r="H91" s="184"/>
      <c r="I91" s="184"/>
    </row>
    <row r="92" spans="1:9" ht="15.75">
      <c r="A92" s="184" t="s">
        <v>8</v>
      </c>
      <c r="B92" s="184"/>
      <c r="C92" s="184"/>
      <c r="D92" s="184"/>
      <c r="E92" s="184"/>
      <c r="F92" s="184"/>
      <c r="G92" s="184"/>
      <c r="H92" s="184"/>
      <c r="I92" s="184"/>
    </row>
    <row r="93" spans="1:9" ht="15.75" customHeight="1">
      <c r="A93" s="185" t="s">
        <v>79</v>
      </c>
      <c r="B93" s="185"/>
      <c r="C93" s="185"/>
      <c r="D93" s="185"/>
      <c r="E93" s="185"/>
      <c r="F93" s="185"/>
      <c r="G93" s="185"/>
      <c r="H93" s="185"/>
      <c r="I93" s="185"/>
    </row>
    <row r="94" spans="1:9" ht="15.75">
      <c r="A94" s="13"/>
    </row>
    <row r="95" spans="1:9" ht="15.75">
      <c r="A95" s="191" t="s">
        <v>9</v>
      </c>
      <c r="B95" s="191"/>
      <c r="C95" s="191"/>
      <c r="D95" s="191"/>
      <c r="E95" s="191"/>
      <c r="F95" s="191"/>
      <c r="G95" s="191"/>
      <c r="H95" s="191"/>
      <c r="I95" s="191"/>
    </row>
    <row r="96" spans="1:9" ht="15.75">
      <c r="A96" s="4"/>
    </row>
    <row r="97" spans="1:9" ht="15.75" customHeight="1">
      <c r="B97" s="114" t="s">
        <v>10</v>
      </c>
      <c r="C97" s="192" t="s">
        <v>191</v>
      </c>
      <c r="D97" s="192"/>
      <c r="E97" s="192"/>
      <c r="F97" s="131"/>
      <c r="I97" s="115"/>
    </row>
    <row r="98" spans="1:9">
      <c r="A98" s="116"/>
      <c r="C98" s="183" t="s">
        <v>11</v>
      </c>
      <c r="D98" s="183"/>
      <c r="E98" s="183"/>
      <c r="F98" s="39"/>
      <c r="I98" s="113" t="s">
        <v>12</v>
      </c>
    </row>
    <row r="99" spans="1:9" ht="15.75">
      <c r="A99" s="40"/>
      <c r="C99" s="14"/>
      <c r="D99" s="14"/>
      <c r="G99" s="14"/>
      <c r="H99" s="14"/>
    </row>
    <row r="100" spans="1:9" ht="15.75" customHeight="1">
      <c r="B100" s="114" t="s">
        <v>13</v>
      </c>
      <c r="C100" s="178"/>
      <c r="D100" s="178"/>
      <c r="E100" s="178"/>
      <c r="F100" s="132"/>
      <c r="I100" s="115"/>
    </row>
    <row r="101" spans="1:9">
      <c r="A101" s="116"/>
      <c r="C101" s="179" t="s">
        <v>11</v>
      </c>
      <c r="D101" s="179"/>
      <c r="E101" s="179"/>
      <c r="F101" s="116"/>
      <c r="I101" s="113" t="s">
        <v>12</v>
      </c>
    </row>
    <row r="102" spans="1:9" ht="15.75">
      <c r="A102" s="4" t="s">
        <v>14</v>
      </c>
    </row>
    <row r="103" spans="1:9">
      <c r="A103" s="180" t="s">
        <v>15</v>
      </c>
      <c r="B103" s="180"/>
      <c r="C103" s="180"/>
      <c r="D103" s="180"/>
      <c r="E103" s="180"/>
      <c r="F103" s="180"/>
      <c r="G103" s="180"/>
      <c r="H103" s="180"/>
      <c r="I103" s="180"/>
    </row>
    <row r="104" spans="1:9" ht="45" customHeight="1">
      <c r="A104" s="190" t="s">
        <v>16</v>
      </c>
      <c r="B104" s="190"/>
      <c r="C104" s="190"/>
      <c r="D104" s="190"/>
      <c r="E104" s="190"/>
      <c r="F104" s="190"/>
      <c r="G104" s="190"/>
      <c r="H104" s="190"/>
      <c r="I104" s="190"/>
    </row>
    <row r="105" spans="1:9" ht="30" customHeight="1">
      <c r="A105" s="190" t="s">
        <v>17</v>
      </c>
      <c r="B105" s="190"/>
      <c r="C105" s="190"/>
      <c r="D105" s="190"/>
      <c r="E105" s="190"/>
      <c r="F105" s="190"/>
      <c r="G105" s="190"/>
      <c r="H105" s="190"/>
      <c r="I105" s="190"/>
    </row>
    <row r="106" spans="1:9" ht="30" customHeight="1">
      <c r="A106" s="190" t="s">
        <v>22</v>
      </c>
      <c r="B106" s="190"/>
      <c r="C106" s="190"/>
      <c r="D106" s="190"/>
      <c r="E106" s="190"/>
      <c r="F106" s="190"/>
      <c r="G106" s="190"/>
      <c r="H106" s="190"/>
      <c r="I106" s="190"/>
    </row>
    <row r="107" spans="1:9" ht="15" customHeight="1">
      <c r="A107" s="190" t="s">
        <v>21</v>
      </c>
      <c r="B107" s="190"/>
      <c r="C107" s="190"/>
      <c r="D107" s="190"/>
      <c r="E107" s="190"/>
      <c r="F107" s="190"/>
      <c r="G107" s="190"/>
      <c r="H107" s="190"/>
      <c r="I107" s="190"/>
    </row>
    <row r="174" spans="1:9" ht="15.75">
      <c r="A174" s="4" t="s">
        <v>14</v>
      </c>
    </row>
    <row r="175" spans="1:9">
      <c r="A175" s="180" t="s">
        <v>15</v>
      </c>
      <c r="B175" s="180"/>
      <c r="C175" s="180"/>
      <c r="D175" s="180"/>
      <c r="E175" s="180"/>
      <c r="F175" s="180"/>
      <c r="G175" s="180"/>
      <c r="H175" s="180"/>
      <c r="I175" s="180"/>
    </row>
    <row r="176" spans="1:9" ht="16.5" customHeight="1">
      <c r="A176" s="189" t="s">
        <v>16</v>
      </c>
      <c r="B176" s="189"/>
      <c r="C176" s="189"/>
      <c r="D176" s="189"/>
      <c r="E176" s="189"/>
      <c r="F176" s="189"/>
      <c r="G176" s="189"/>
      <c r="H176" s="189"/>
      <c r="I176" s="189"/>
    </row>
    <row r="177" spans="1:9" ht="16.5" customHeight="1">
      <c r="A177" s="189" t="s">
        <v>17</v>
      </c>
      <c r="B177" s="189"/>
      <c r="C177" s="189"/>
      <c r="D177" s="189"/>
      <c r="E177" s="189"/>
      <c r="F177" s="189"/>
      <c r="G177" s="189"/>
      <c r="H177" s="189"/>
      <c r="I177" s="189"/>
    </row>
    <row r="178" spans="1:9" ht="16.5" customHeight="1">
      <c r="A178" s="189" t="s">
        <v>22</v>
      </c>
      <c r="B178" s="189"/>
      <c r="C178" s="189"/>
      <c r="D178" s="189"/>
      <c r="E178" s="189"/>
      <c r="F178" s="189"/>
      <c r="G178" s="189"/>
      <c r="H178" s="189"/>
      <c r="I178" s="189"/>
    </row>
    <row r="179" spans="1:9" ht="16.5" customHeight="1">
      <c r="A179" s="189" t="s">
        <v>21</v>
      </c>
      <c r="B179" s="189"/>
      <c r="C179" s="189"/>
      <c r="D179" s="189"/>
      <c r="E179" s="189"/>
      <c r="F179" s="189"/>
      <c r="G179" s="189"/>
      <c r="H179" s="189"/>
      <c r="I179" s="189"/>
    </row>
    <row r="181" spans="1:9">
      <c r="A181" s="15" t="s">
        <v>20</v>
      </c>
      <c r="B181" s="15"/>
      <c r="C181" s="15"/>
      <c r="D181" s="15"/>
      <c r="E181" s="15"/>
      <c r="F181" s="15"/>
      <c r="G181" s="15"/>
      <c r="H181" s="15"/>
    </row>
  </sheetData>
  <mergeCells count="32">
    <mergeCell ref="A178:I178"/>
    <mergeCell ref="A179:I179"/>
    <mergeCell ref="A105:I105"/>
    <mergeCell ref="A106:I106"/>
    <mergeCell ref="A107:I107"/>
    <mergeCell ref="A175:I175"/>
    <mergeCell ref="A176:I176"/>
    <mergeCell ref="A177:I177"/>
    <mergeCell ref="A104:I104"/>
    <mergeCell ref="B88:G88"/>
    <mergeCell ref="B89:G89"/>
    <mergeCell ref="A91:I91"/>
    <mergeCell ref="A92:I92"/>
    <mergeCell ref="A93:I93"/>
    <mergeCell ref="A95:I95"/>
    <mergeCell ref="C97:E97"/>
    <mergeCell ref="C98:E98"/>
    <mergeCell ref="C100:E100"/>
    <mergeCell ref="C101:E101"/>
    <mergeCell ref="A103:I103"/>
    <mergeCell ref="A87:I87"/>
    <mergeCell ref="A3:I3"/>
    <mergeCell ref="A4:I4"/>
    <mergeCell ref="A5:I5"/>
    <mergeCell ref="A8:I8"/>
    <mergeCell ref="A10:I10"/>
    <mergeCell ref="A14:I14"/>
    <mergeCell ref="A15:I15"/>
    <mergeCell ref="A29:I29"/>
    <mergeCell ref="A46:I46"/>
    <mergeCell ref="A57:I57"/>
    <mergeCell ref="A78:I78"/>
  </mergeCells>
  <pageMargins left="0.70866141732283472" right="0.70866141732283472" top="0.27559055118110237" bottom="0.27559055118110237" header="0.31496062992125984" footer="0.31496062992125984"/>
  <pageSetup paperSize="9" scale="60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I183"/>
  <sheetViews>
    <sheetView workbookViewId="0">
      <selection activeCell="A4" sqref="A4:I4"/>
    </sheetView>
  </sheetViews>
  <sheetFormatPr defaultRowHeight="15"/>
  <cols>
    <col min="1" max="1" width="6.42578125" customWidth="1"/>
    <col min="2" max="2" width="53.140625" customWidth="1"/>
    <col min="3" max="3" width="18.5703125" customWidth="1"/>
    <col min="4" max="4" width="18.28515625" customWidth="1"/>
    <col min="5" max="6" width="0" hidden="1" customWidth="1"/>
    <col min="7" max="7" width="22.5703125" customWidth="1"/>
    <col min="8" max="8" width="22.5703125" hidden="1" customWidth="1"/>
    <col min="9" max="9" width="22.5703125" customWidth="1"/>
  </cols>
  <sheetData>
    <row r="1" spans="1:9" ht="15.75">
      <c r="A1" s="42" t="s">
        <v>136</v>
      </c>
      <c r="I1" s="41"/>
    </row>
    <row r="2" spans="1:9" ht="15.75">
      <c r="A2" s="43" t="s">
        <v>82</v>
      </c>
    </row>
    <row r="3" spans="1:9" ht="15.75">
      <c r="A3" s="172" t="s">
        <v>255</v>
      </c>
      <c r="B3" s="172"/>
      <c r="C3" s="172"/>
      <c r="D3" s="172"/>
      <c r="E3" s="172"/>
      <c r="F3" s="172"/>
      <c r="G3" s="172"/>
      <c r="H3" s="172"/>
      <c r="I3" s="172"/>
    </row>
    <row r="4" spans="1:9" ht="31.5" customHeight="1">
      <c r="A4" s="173" t="s">
        <v>280</v>
      </c>
      <c r="B4" s="173"/>
      <c r="C4" s="173"/>
      <c r="D4" s="173"/>
      <c r="E4" s="173"/>
      <c r="F4" s="173"/>
      <c r="G4" s="173"/>
      <c r="H4" s="173"/>
      <c r="I4" s="173"/>
    </row>
    <row r="5" spans="1:9" ht="15.75">
      <c r="A5" s="172" t="s">
        <v>123</v>
      </c>
      <c r="B5" s="174"/>
      <c r="C5" s="174"/>
      <c r="D5" s="174"/>
      <c r="E5" s="174"/>
      <c r="F5" s="174"/>
      <c r="G5" s="174"/>
      <c r="H5" s="174"/>
      <c r="I5" s="174"/>
    </row>
    <row r="6" spans="1:9" ht="15.75">
      <c r="A6" s="2"/>
      <c r="B6" s="112"/>
      <c r="C6" s="112"/>
      <c r="D6" s="112"/>
      <c r="E6" s="112"/>
      <c r="F6" s="112"/>
      <c r="G6" s="112"/>
      <c r="H6" s="112"/>
      <c r="I6" s="45">
        <v>42521</v>
      </c>
    </row>
    <row r="7" spans="1:9" ht="15.75">
      <c r="B7" s="114"/>
      <c r="C7" s="114"/>
      <c r="D7" s="114"/>
      <c r="E7" s="3"/>
      <c r="F7" s="3"/>
      <c r="G7" s="3"/>
      <c r="H7" s="3"/>
    </row>
    <row r="8" spans="1:9" ht="78.75" customHeight="1">
      <c r="A8" s="175" t="s">
        <v>246</v>
      </c>
      <c r="B8" s="175"/>
      <c r="C8" s="175"/>
      <c r="D8" s="175"/>
      <c r="E8" s="175"/>
      <c r="F8" s="175"/>
      <c r="G8" s="175"/>
      <c r="H8" s="175"/>
      <c r="I8" s="175"/>
    </row>
    <row r="9" spans="1:9" ht="15.75">
      <c r="A9" s="4"/>
    </row>
    <row r="10" spans="1:9" ht="47.25" customHeight="1">
      <c r="A10" s="176" t="s">
        <v>190</v>
      </c>
      <c r="B10" s="176"/>
      <c r="C10" s="176"/>
      <c r="D10" s="176"/>
      <c r="E10" s="176"/>
      <c r="F10" s="176"/>
      <c r="G10" s="176"/>
      <c r="H10" s="176"/>
      <c r="I10" s="176"/>
    </row>
    <row r="11" spans="1:9" ht="15.75">
      <c r="A11" s="4"/>
    </row>
    <row r="12" spans="1:9" ht="47.25" customHeight="1">
      <c r="A12" s="8" t="s">
        <v>0</v>
      </c>
      <c r="B12" s="8" t="s">
        <v>1</v>
      </c>
      <c r="C12" s="8" t="s">
        <v>2</v>
      </c>
      <c r="D12" s="8" t="s">
        <v>18</v>
      </c>
      <c r="E12" s="8" t="s">
        <v>19</v>
      </c>
      <c r="F12" s="8"/>
      <c r="G12" s="8" t="s">
        <v>23</v>
      </c>
      <c r="H12" s="8"/>
      <c r="I12" s="8" t="s">
        <v>3</v>
      </c>
    </row>
    <row r="13" spans="1:9">
      <c r="A13" s="9">
        <v>1</v>
      </c>
      <c r="B13" s="9">
        <v>2</v>
      </c>
      <c r="C13" s="9">
        <v>3</v>
      </c>
      <c r="D13" s="9">
        <v>4</v>
      </c>
      <c r="E13" s="9">
        <v>5</v>
      </c>
      <c r="F13" s="9"/>
      <c r="G13" s="9">
        <v>5</v>
      </c>
      <c r="H13" s="9"/>
      <c r="I13" s="9">
        <v>6</v>
      </c>
    </row>
    <row r="14" spans="1:9" ht="15" customHeight="1">
      <c r="A14" s="177" t="s">
        <v>74</v>
      </c>
      <c r="B14" s="177"/>
      <c r="C14" s="177"/>
      <c r="D14" s="177"/>
      <c r="E14" s="177"/>
      <c r="F14" s="177"/>
      <c r="G14" s="177"/>
      <c r="H14" s="177"/>
      <c r="I14" s="177"/>
    </row>
    <row r="15" spans="1:9" ht="15" customHeight="1">
      <c r="A15" s="171" t="s">
        <v>4</v>
      </c>
      <c r="B15" s="171"/>
      <c r="C15" s="171"/>
      <c r="D15" s="171"/>
      <c r="E15" s="171"/>
      <c r="F15" s="171"/>
      <c r="G15" s="171"/>
      <c r="H15" s="171"/>
      <c r="I15" s="171"/>
    </row>
    <row r="16" spans="1:9" ht="31.5" customHeight="1">
      <c r="A16" s="44">
        <v>1</v>
      </c>
      <c r="B16" s="143" t="s">
        <v>147</v>
      </c>
      <c r="C16" s="144" t="s">
        <v>148</v>
      </c>
      <c r="D16" s="143" t="s">
        <v>149</v>
      </c>
      <c r="E16" s="145">
        <v>38.1</v>
      </c>
      <c r="F16" s="146">
        <f>SUM(E16*156/100)</f>
        <v>59.436000000000007</v>
      </c>
      <c r="G16" s="146">
        <v>187.48</v>
      </c>
      <c r="H16" s="147">
        <f t="shared" ref="H16:H26" si="0">SUM(F16*G16/1000)</f>
        <v>11.14306128</v>
      </c>
      <c r="I16" s="19">
        <f>F16/12*G16</f>
        <v>928.58843999999999</v>
      </c>
    </row>
    <row r="17" spans="1:9" ht="31.5" customHeight="1">
      <c r="A17" s="44">
        <v>2</v>
      </c>
      <c r="B17" s="143" t="s">
        <v>150</v>
      </c>
      <c r="C17" s="144" t="s">
        <v>148</v>
      </c>
      <c r="D17" s="143" t="s">
        <v>151</v>
      </c>
      <c r="E17" s="145">
        <v>114.4</v>
      </c>
      <c r="F17" s="146">
        <f>SUM(E17*104/100)</f>
        <v>118.976</v>
      </c>
      <c r="G17" s="146">
        <v>187.48</v>
      </c>
      <c r="H17" s="147">
        <f t="shared" si="0"/>
        <v>22.305620479999998</v>
      </c>
      <c r="I17" s="19">
        <f>F17/12*G17</f>
        <v>1858.8017066666666</v>
      </c>
    </row>
    <row r="18" spans="1:9" ht="31.5" customHeight="1">
      <c r="A18" s="44">
        <v>3</v>
      </c>
      <c r="B18" s="143" t="s">
        <v>152</v>
      </c>
      <c r="C18" s="144" t="s">
        <v>148</v>
      </c>
      <c r="D18" s="143" t="s">
        <v>153</v>
      </c>
      <c r="E18" s="145">
        <f>SUM(E16+E17)</f>
        <v>152.5</v>
      </c>
      <c r="F18" s="146">
        <f>SUM(E18*24/100)</f>
        <v>36.6</v>
      </c>
      <c r="G18" s="146">
        <v>539.30999999999995</v>
      </c>
      <c r="H18" s="147">
        <f t="shared" si="0"/>
        <v>19.738745999999999</v>
      </c>
      <c r="I18" s="19">
        <f>F18/12*G18</f>
        <v>1644.8955000000001</v>
      </c>
    </row>
    <row r="19" spans="1:9" ht="15.75" customHeight="1">
      <c r="A19" s="44">
        <v>4</v>
      </c>
      <c r="B19" s="143" t="s">
        <v>193</v>
      </c>
      <c r="C19" s="144" t="s">
        <v>194</v>
      </c>
      <c r="D19" s="143" t="s">
        <v>195</v>
      </c>
      <c r="E19" s="145">
        <v>32.4</v>
      </c>
      <c r="F19" s="146">
        <f>SUM(E19/10)</f>
        <v>3.2399999999999998</v>
      </c>
      <c r="G19" s="146">
        <v>181.91</v>
      </c>
      <c r="H19" s="147">
        <f t="shared" si="0"/>
        <v>0.58938839999999992</v>
      </c>
      <c r="I19" s="19">
        <f>F19*G19</f>
        <v>589.38839999999993</v>
      </c>
    </row>
    <row r="20" spans="1:9" ht="15.75" customHeight="1">
      <c r="A20" s="44">
        <v>5</v>
      </c>
      <c r="B20" s="143" t="s">
        <v>196</v>
      </c>
      <c r="C20" s="144" t="s">
        <v>148</v>
      </c>
      <c r="D20" s="143" t="s">
        <v>49</v>
      </c>
      <c r="E20" s="145">
        <v>12.24</v>
      </c>
      <c r="F20" s="146">
        <f>SUM(E20*2/100)</f>
        <v>0.24480000000000002</v>
      </c>
      <c r="G20" s="146">
        <v>232.92</v>
      </c>
      <c r="H20" s="147">
        <f t="shared" si="0"/>
        <v>5.7018816E-2</v>
      </c>
      <c r="I20" s="19">
        <f>F20/2*G20</f>
        <v>28.509408000000001</v>
      </c>
    </row>
    <row r="21" spans="1:9" ht="15.75" customHeight="1">
      <c r="A21" s="44">
        <v>6</v>
      </c>
      <c r="B21" s="143" t="s">
        <v>197</v>
      </c>
      <c r="C21" s="144" t="s">
        <v>148</v>
      </c>
      <c r="D21" s="143" t="s">
        <v>49</v>
      </c>
      <c r="E21" s="145">
        <v>10.08</v>
      </c>
      <c r="F21" s="146">
        <f>SUM(E21*2/100)</f>
        <v>0.2016</v>
      </c>
      <c r="G21" s="146">
        <v>231.03</v>
      </c>
      <c r="H21" s="147">
        <f t="shared" si="0"/>
        <v>4.6575648000000004E-2</v>
      </c>
      <c r="I21" s="19">
        <f>F21/2*G21</f>
        <v>23.287824000000001</v>
      </c>
    </row>
    <row r="22" spans="1:9" ht="15.75" customHeight="1">
      <c r="A22" s="44">
        <v>7</v>
      </c>
      <c r="B22" s="143" t="s">
        <v>198</v>
      </c>
      <c r="C22" s="144" t="s">
        <v>62</v>
      </c>
      <c r="D22" s="143" t="s">
        <v>195</v>
      </c>
      <c r="E22" s="145">
        <v>293.76</v>
      </c>
      <c r="F22" s="146">
        <f>SUM(E22/100)</f>
        <v>2.9375999999999998</v>
      </c>
      <c r="G22" s="146">
        <v>287.83999999999997</v>
      </c>
      <c r="H22" s="147">
        <f t="shared" si="0"/>
        <v>0.84555878399999984</v>
      </c>
      <c r="I22" s="19">
        <f t="shared" ref="I22:I26" si="1">F22*G22</f>
        <v>845.55878399999983</v>
      </c>
    </row>
    <row r="23" spans="1:9" ht="15.75" customHeight="1">
      <c r="A23" s="44">
        <v>8</v>
      </c>
      <c r="B23" s="143" t="s">
        <v>199</v>
      </c>
      <c r="C23" s="144" t="s">
        <v>62</v>
      </c>
      <c r="D23" s="143" t="s">
        <v>195</v>
      </c>
      <c r="E23" s="148">
        <v>17.64</v>
      </c>
      <c r="F23" s="146">
        <f>SUM(E23/100)</f>
        <v>0.1764</v>
      </c>
      <c r="G23" s="146">
        <v>47.34</v>
      </c>
      <c r="H23" s="147">
        <f t="shared" si="0"/>
        <v>8.3507760000000007E-3</v>
      </c>
      <c r="I23" s="19">
        <f t="shared" si="1"/>
        <v>8.3507760000000015</v>
      </c>
    </row>
    <row r="24" spans="1:9" ht="15.75" customHeight="1">
      <c r="A24" s="44">
        <v>9</v>
      </c>
      <c r="B24" s="143" t="s">
        <v>200</v>
      </c>
      <c r="C24" s="144" t="s">
        <v>62</v>
      </c>
      <c r="D24" s="143" t="s">
        <v>201</v>
      </c>
      <c r="E24" s="145">
        <v>10.8</v>
      </c>
      <c r="F24" s="146">
        <f>E24/100</f>
        <v>0.10800000000000001</v>
      </c>
      <c r="G24" s="146">
        <v>416.62</v>
      </c>
      <c r="H24" s="147">
        <f t="shared" si="0"/>
        <v>4.4994960000000007E-2</v>
      </c>
      <c r="I24" s="19">
        <f t="shared" si="1"/>
        <v>44.994960000000006</v>
      </c>
    </row>
    <row r="25" spans="1:9" ht="15.75" customHeight="1">
      <c r="A25" s="44">
        <v>10</v>
      </c>
      <c r="B25" s="143" t="s">
        <v>202</v>
      </c>
      <c r="C25" s="144" t="s">
        <v>62</v>
      </c>
      <c r="D25" s="143" t="s">
        <v>63</v>
      </c>
      <c r="E25" s="145">
        <v>12.6</v>
      </c>
      <c r="F25" s="146">
        <v>0.13</v>
      </c>
      <c r="G25" s="146">
        <v>231.03</v>
      </c>
      <c r="H25" s="147">
        <f>G25*F25/1000</f>
        <v>3.0033900000000002E-2</v>
      </c>
      <c r="I25" s="19">
        <f t="shared" si="1"/>
        <v>30.033900000000003</v>
      </c>
    </row>
    <row r="26" spans="1:9" ht="15.75" customHeight="1">
      <c r="A26" s="44">
        <v>11</v>
      </c>
      <c r="B26" s="143" t="s">
        <v>203</v>
      </c>
      <c r="C26" s="144" t="s">
        <v>62</v>
      </c>
      <c r="D26" s="143" t="s">
        <v>195</v>
      </c>
      <c r="E26" s="145">
        <v>14.4</v>
      </c>
      <c r="F26" s="146">
        <f>SUM(E26/100)</f>
        <v>0.14400000000000002</v>
      </c>
      <c r="G26" s="146">
        <v>556.74</v>
      </c>
      <c r="H26" s="147">
        <f t="shared" si="0"/>
        <v>8.0170560000000016E-2</v>
      </c>
      <c r="I26" s="19">
        <f t="shared" si="1"/>
        <v>80.170560000000009</v>
      </c>
    </row>
    <row r="27" spans="1:9" ht="15.75" customHeight="1">
      <c r="A27" s="44">
        <v>12</v>
      </c>
      <c r="B27" s="143" t="s">
        <v>86</v>
      </c>
      <c r="C27" s="144" t="s">
        <v>35</v>
      </c>
      <c r="D27" s="143" t="s">
        <v>206</v>
      </c>
      <c r="E27" s="145">
        <v>0.1</v>
      </c>
      <c r="F27" s="146">
        <f>SUM(E27*365)</f>
        <v>36.5</v>
      </c>
      <c r="G27" s="146">
        <v>157.18</v>
      </c>
      <c r="H27" s="147">
        <f>SUM(F27*G27/1000)</f>
        <v>5.737070000000001</v>
      </c>
      <c r="I27" s="19">
        <f>F27/12*G27</f>
        <v>478.08916666666664</v>
      </c>
    </row>
    <row r="28" spans="1:9" ht="15.75" customHeight="1">
      <c r="A28" s="44">
        <v>13</v>
      </c>
      <c r="B28" s="151" t="s">
        <v>24</v>
      </c>
      <c r="C28" s="144" t="s">
        <v>25</v>
      </c>
      <c r="D28" s="151" t="s">
        <v>208</v>
      </c>
      <c r="E28" s="145">
        <v>2062.5</v>
      </c>
      <c r="F28" s="146">
        <f>SUM(E28*12)</f>
        <v>24750</v>
      </c>
      <c r="G28" s="146">
        <v>5.53</v>
      </c>
      <c r="H28" s="147">
        <f>SUM(F28*G28/1000)</f>
        <v>136.86750000000001</v>
      </c>
      <c r="I28" s="19">
        <f>F28/12*G28</f>
        <v>11405.625</v>
      </c>
    </row>
    <row r="29" spans="1:9" ht="15.75" customHeight="1">
      <c r="A29" s="186" t="s">
        <v>130</v>
      </c>
      <c r="B29" s="187"/>
      <c r="C29" s="187"/>
      <c r="D29" s="187"/>
      <c r="E29" s="187"/>
      <c r="F29" s="187"/>
      <c r="G29" s="187"/>
      <c r="H29" s="187"/>
      <c r="I29" s="188"/>
    </row>
    <row r="30" spans="1:9" ht="15.75" customHeight="1">
      <c r="A30" s="44"/>
      <c r="B30" s="164" t="s">
        <v>31</v>
      </c>
      <c r="C30" s="144"/>
      <c r="D30" s="143"/>
      <c r="E30" s="145"/>
      <c r="F30" s="146"/>
      <c r="G30" s="146"/>
      <c r="H30" s="147"/>
      <c r="I30" s="19"/>
    </row>
    <row r="31" spans="1:9" ht="31.5" customHeight="1">
      <c r="A31" s="44">
        <v>14</v>
      </c>
      <c r="B31" s="143" t="s">
        <v>236</v>
      </c>
      <c r="C31" s="144" t="s">
        <v>166</v>
      </c>
      <c r="D31" s="143" t="s">
        <v>204</v>
      </c>
      <c r="E31" s="146">
        <v>652.9</v>
      </c>
      <c r="F31" s="146">
        <f>SUM(E31*52/1000)</f>
        <v>33.950799999999994</v>
      </c>
      <c r="G31" s="146">
        <v>166.65</v>
      </c>
      <c r="H31" s="147">
        <f t="shared" ref="H31:H36" si="2">SUM(F31*G31/1000)</f>
        <v>5.6579008199999992</v>
      </c>
      <c r="I31" s="19">
        <f>F31/6*G31</f>
        <v>942.9834699999999</v>
      </c>
    </row>
    <row r="32" spans="1:9" ht="31.5" customHeight="1">
      <c r="A32" s="44">
        <v>15</v>
      </c>
      <c r="B32" s="143" t="s">
        <v>237</v>
      </c>
      <c r="C32" s="144" t="s">
        <v>166</v>
      </c>
      <c r="D32" s="143" t="s">
        <v>205</v>
      </c>
      <c r="E32" s="146">
        <v>63.5</v>
      </c>
      <c r="F32" s="146">
        <f>SUM(E32*78/1000)</f>
        <v>4.9530000000000003</v>
      </c>
      <c r="G32" s="146">
        <v>276.48</v>
      </c>
      <c r="H32" s="147">
        <f t="shared" si="2"/>
        <v>1.3694054400000002</v>
      </c>
      <c r="I32" s="19">
        <f t="shared" ref="I32:I34" si="3">F32/6*G32</f>
        <v>228.23424000000003</v>
      </c>
    </row>
    <row r="33" spans="1:9" ht="15.75" customHeight="1">
      <c r="A33" s="44">
        <v>16</v>
      </c>
      <c r="B33" s="143" t="s">
        <v>30</v>
      </c>
      <c r="C33" s="144" t="s">
        <v>166</v>
      </c>
      <c r="D33" s="143" t="s">
        <v>63</v>
      </c>
      <c r="E33" s="146">
        <v>652.9</v>
      </c>
      <c r="F33" s="146">
        <f>SUM(E33/1000)</f>
        <v>0.65289999999999992</v>
      </c>
      <c r="G33" s="146">
        <v>3228.73</v>
      </c>
      <c r="H33" s="147">
        <f t="shared" si="2"/>
        <v>2.108037817</v>
      </c>
      <c r="I33" s="19">
        <f>F33*G33</f>
        <v>2108.0378169999999</v>
      </c>
    </row>
    <row r="34" spans="1:9" ht="15.75" customHeight="1">
      <c r="A34" s="44">
        <v>17</v>
      </c>
      <c r="B34" s="143" t="s">
        <v>238</v>
      </c>
      <c r="C34" s="144" t="s">
        <v>33</v>
      </c>
      <c r="D34" s="143" t="s">
        <v>85</v>
      </c>
      <c r="E34" s="150">
        <v>0.33333333333333331</v>
      </c>
      <c r="F34" s="146">
        <f>155/3</f>
        <v>51.666666666666664</v>
      </c>
      <c r="G34" s="146">
        <v>60.6</v>
      </c>
      <c r="H34" s="147">
        <f>SUM(G34*155/3/1000)</f>
        <v>3.1309999999999998</v>
      </c>
      <c r="I34" s="19">
        <f t="shared" si="3"/>
        <v>521.83333333333337</v>
      </c>
    </row>
    <row r="35" spans="1:9" ht="15.75" hidden="1" customHeight="1">
      <c r="A35" s="44"/>
      <c r="B35" s="143" t="s">
        <v>87</v>
      </c>
      <c r="C35" s="144" t="s">
        <v>35</v>
      </c>
      <c r="D35" s="143" t="s">
        <v>89</v>
      </c>
      <c r="E35" s="145"/>
      <c r="F35" s="146">
        <v>2</v>
      </c>
      <c r="G35" s="146">
        <v>204.52</v>
      </c>
      <c r="H35" s="147">
        <f t="shared" si="2"/>
        <v>0.40904000000000001</v>
      </c>
      <c r="I35" s="19">
        <v>0</v>
      </c>
    </row>
    <row r="36" spans="1:9" ht="15.75" hidden="1" customHeight="1">
      <c r="A36" s="44"/>
      <c r="B36" s="143" t="s">
        <v>207</v>
      </c>
      <c r="C36" s="144" t="s">
        <v>34</v>
      </c>
      <c r="D36" s="143" t="s">
        <v>89</v>
      </c>
      <c r="E36" s="145"/>
      <c r="F36" s="146">
        <v>1</v>
      </c>
      <c r="G36" s="146">
        <v>1214.74</v>
      </c>
      <c r="H36" s="147">
        <f t="shared" si="2"/>
        <v>1.2147399999999999</v>
      </c>
      <c r="I36" s="19">
        <v>0</v>
      </c>
    </row>
    <row r="37" spans="1:9" ht="15.75" hidden="1" customHeight="1">
      <c r="A37" s="44"/>
      <c r="B37" s="164" t="s">
        <v>5</v>
      </c>
      <c r="C37" s="144"/>
      <c r="D37" s="143"/>
      <c r="E37" s="145"/>
      <c r="F37" s="146"/>
      <c r="G37" s="146"/>
      <c r="H37" s="147" t="s">
        <v>208</v>
      </c>
      <c r="I37" s="19"/>
    </row>
    <row r="38" spans="1:9" ht="15.75" hidden="1" customHeight="1">
      <c r="A38" s="44">
        <v>6</v>
      </c>
      <c r="B38" s="143" t="s">
        <v>29</v>
      </c>
      <c r="C38" s="144" t="s">
        <v>34</v>
      </c>
      <c r="D38" s="143"/>
      <c r="E38" s="145"/>
      <c r="F38" s="146">
        <v>10</v>
      </c>
      <c r="G38" s="146">
        <v>1632.6</v>
      </c>
      <c r="H38" s="147">
        <f t="shared" ref="H38:H45" si="4">SUM(F38*G38/1000)</f>
        <v>16.326000000000001</v>
      </c>
      <c r="I38" s="19">
        <f>F38/6*G38</f>
        <v>2721</v>
      </c>
    </row>
    <row r="39" spans="1:9" ht="15.75" hidden="1" customHeight="1">
      <c r="A39" s="44">
        <v>7</v>
      </c>
      <c r="B39" s="143" t="s">
        <v>209</v>
      </c>
      <c r="C39" s="144" t="s">
        <v>32</v>
      </c>
      <c r="D39" s="143" t="s">
        <v>210</v>
      </c>
      <c r="E39" s="146">
        <v>172.55</v>
      </c>
      <c r="F39" s="146">
        <f>SUM(E39*12/1000)</f>
        <v>2.0706000000000002</v>
      </c>
      <c r="G39" s="146">
        <v>2247.8000000000002</v>
      </c>
      <c r="H39" s="147">
        <f t="shared" si="4"/>
        <v>4.6542946800000005</v>
      </c>
      <c r="I39" s="19">
        <f>F39/6*G39</f>
        <v>775.71578000000011</v>
      </c>
    </row>
    <row r="40" spans="1:9" ht="15.75" hidden="1" customHeight="1">
      <c r="A40" s="44">
        <v>8</v>
      </c>
      <c r="B40" s="143" t="s">
        <v>211</v>
      </c>
      <c r="C40" s="144" t="s">
        <v>32</v>
      </c>
      <c r="D40" s="143" t="s">
        <v>162</v>
      </c>
      <c r="E40" s="145">
        <v>63.5</v>
      </c>
      <c r="F40" s="146">
        <v>1.91</v>
      </c>
      <c r="G40" s="146">
        <v>2247.8000000000002</v>
      </c>
      <c r="H40" s="147">
        <f>G40*F40/1000</f>
        <v>4.2932980000000001</v>
      </c>
      <c r="I40" s="19">
        <f>F40/6*G40</f>
        <v>715.54966666666667</v>
      </c>
    </row>
    <row r="41" spans="1:9" ht="15.75" hidden="1" customHeight="1">
      <c r="A41" s="44"/>
      <c r="B41" s="143" t="s">
        <v>163</v>
      </c>
      <c r="C41" s="144" t="s">
        <v>164</v>
      </c>
      <c r="D41" s="143" t="s">
        <v>89</v>
      </c>
      <c r="E41" s="145"/>
      <c r="F41" s="146">
        <v>75</v>
      </c>
      <c r="G41" s="146">
        <v>213.2</v>
      </c>
      <c r="H41" s="147">
        <f>G41*F41/1000</f>
        <v>15.99</v>
      </c>
      <c r="I41" s="19">
        <v>0</v>
      </c>
    </row>
    <row r="42" spans="1:9" ht="15.75" hidden="1" customHeight="1">
      <c r="A42" s="44">
        <v>9</v>
      </c>
      <c r="B42" s="143" t="s">
        <v>92</v>
      </c>
      <c r="C42" s="144" t="s">
        <v>32</v>
      </c>
      <c r="D42" s="143" t="s">
        <v>165</v>
      </c>
      <c r="E42" s="146">
        <v>63.5</v>
      </c>
      <c r="F42" s="146">
        <f>SUM(E42*155/1000)</f>
        <v>9.8424999999999994</v>
      </c>
      <c r="G42" s="146">
        <v>374.95</v>
      </c>
      <c r="H42" s="147">
        <f t="shared" si="4"/>
        <v>3.6904453749999999</v>
      </c>
      <c r="I42" s="19">
        <f>F42/6*G42</f>
        <v>615.07422916666667</v>
      </c>
    </row>
    <row r="43" spans="1:9" ht="15.75" hidden="1" customHeight="1">
      <c r="A43" s="44">
        <v>10</v>
      </c>
      <c r="B43" s="143" t="s">
        <v>128</v>
      </c>
      <c r="C43" s="144" t="s">
        <v>166</v>
      </c>
      <c r="D43" s="143" t="s">
        <v>212</v>
      </c>
      <c r="E43" s="146">
        <v>63.5</v>
      </c>
      <c r="F43" s="146">
        <f>SUM(E43*24/1000)</f>
        <v>1.524</v>
      </c>
      <c r="G43" s="146">
        <v>6203.7</v>
      </c>
      <c r="H43" s="147">
        <f t="shared" si="4"/>
        <v>9.4544388000000001</v>
      </c>
      <c r="I43" s="19">
        <f>F43/6*G43</f>
        <v>1575.7398000000001</v>
      </c>
    </row>
    <row r="44" spans="1:9" ht="15.75" hidden="1" customHeight="1">
      <c r="A44" s="44">
        <v>11</v>
      </c>
      <c r="B44" s="143" t="s">
        <v>168</v>
      </c>
      <c r="C44" s="144" t="s">
        <v>166</v>
      </c>
      <c r="D44" s="143" t="s">
        <v>95</v>
      </c>
      <c r="E44" s="146">
        <v>63.5</v>
      </c>
      <c r="F44" s="146">
        <f>SUM(E44*45/1000)</f>
        <v>2.8574999999999999</v>
      </c>
      <c r="G44" s="146">
        <v>458.28</v>
      </c>
      <c r="H44" s="147">
        <f t="shared" si="4"/>
        <v>1.3095350999999997</v>
      </c>
      <c r="I44" s="19">
        <f>F44/6*G44</f>
        <v>218.25584999999998</v>
      </c>
    </row>
    <row r="45" spans="1:9" ht="15.75" hidden="1" customHeight="1">
      <c r="A45" s="44">
        <v>12</v>
      </c>
      <c r="B45" s="143" t="s">
        <v>96</v>
      </c>
      <c r="C45" s="144" t="s">
        <v>35</v>
      </c>
      <c r="D45" s="143"/>
      <c r="E45" s="145"/>
      <c r="F45" s="146">
        <v>0.9</v>
      </c>
      <c r="G45" s="146">
        <v>853.06</v>
      </c>
      <c r="H45" s="147">
        <f t="shared" si="4"/>
        <v>0.76775400000000005</v>
      </c>
      <c r="I45" s="19">
        <f>F45/6*G45</f>
        <v>127.95899999999999</v>
      </c>
    </row>
    <row r="46" spans="1:9" ht="15.75" customHeight="1">
      <c r="A46" s="186" t="s">
        <v>186</v>
      </c>
      <c r="B46" s="187"/>
      <c r="C46" s="187"/>
      <c r="D46" s="187"/>
      <c r="E46" s="187"/>
      <c r="F46" s="187"/>
      <c r="G46" s="187"/>
      <c r="H46" s="187"/>
      <c r="I46" s="188"/>
    </row>
    <row r="47" spans="1:9" ht="15.75" customHeight="1">
      <c r="A47" s="44">
        <v>18</v>
      </c>
      <c r="B47" s="143" t="s">
        <v>213</v>
      </c>
      <c r="C47" s="144" t="s">
        <v>166</v>
      </c>
      <c r="D47" s="143" t="s">
        <v>49</v>
      </c>
      <c r="E47" s="145">
        <v>881.3</v>
      </c>
      <c r="F47" s="146">
        <f>SUM(E47*2/1000)</f>
        <v>1.7625999999999999</v>
      </c>
      <c r="G47" s="19">
        <v>865.61</v>
      </c>
      <c r="H47" s="147">
        <f t="shared" ref="H47:H56" si="5">SUM(F47*G47/1000)</f>
        <v>1.5257241859999999</v>
      </c>
      <c r="I47" s="19">
        <f t="shared" ref="I47:I50" si="6">F47/2*G47</f>
        <v>762.86209299999996</v>
      </c>
    </row>
    <row r="48" spans="1:9" ht="15.75" customHeight="1">
      <c r="A48" s="44">
        <v>19</v>
      </c>
      <c r="B48" s="143" t="s">
        <v>39</v>
      </c>
      <c r="C48" s="144" t="s">
        <v>166</v>
      </c>
      <c r="D48" s="143" t="s">
        <v>49</v>
      </c>
      <c r="E48" s="145">
        <v>48</v>
      </c>
      <c r="F48" s="146">
        <f>SUM(E48*2/1000)</f>
        <v>9.6000000000000002E-2</v>
      </c>
      <c r="G48" s="19">
        <v>619.46</v>
      </c>
      <c r="H48" s="147">
        <f t="shared" si="5"/>
        <v>5.9468160000000006E-2</v>
      </c>
      <c r="I48" s="19">
        <f t="shared" si="6"/>
        <v>29.734080000000002</v>
      </c>
    </row>
    <row r="49" spans="1:9" ht="15.75" customHeight="1">
      <c r="A49" s="44">
        <v>20</v>
      </c>
      <c r="B49" s="143" t="s">
        <v>40</v>
      </c>
      <c r="C49" s="144" t="s">
        <v>166</v>
      </c>
      <c r="D49" s="143" t="s">
        <v>49</v>
      </c>
      <c r="E49" s="145">
        <v>939.64</v>
      </c>
      <c r="F49" s="146">
        <f>SUM(E49*2/1000)</f>
        <v>1.8792800000000001</v>
      </c>
      <c r="G49" s="19">
        <v>619.46</v>
      </c>
      <c r="H49" s="147">
        <f t="shared" si="5"/>
        <v>1.1641387888000001</v>
      </c>
      <c r="I49" s="19">
        <f t="shared" si="6"/>
        <v>582.06939440000008</v>
      </c>
    </row>
    <row r="50" spans="1:9" ht="15.75" customHeight="1">
      <c r="A50" s="44">
        <v>21</v>
      </c>
      <c r="B50" s="143" t="s">
        <v>41</v>
      </c>
      <c r="C50" s="144" t="s">
        <v>166</v>
      </c>
      <c r="D50" s="143" t="s">
        <v>49</v>
      </c>
      <c r="E50" s="145">
        <v>1247.3699999999999</v>
      </c>
      <c r="F50" s="146">
        <f>SUM(E50*2/1000)</f>
        <v>2.4947399999999997</v>
      </c>
      <c r="G50" s="19">
        <v>648.64</v>
      </c>
      <c r="H50" s="147">
        <f t="shared" si="5"/>
        <v>1.6181881535999998</v>
      </c>
      <c r="I50" s="19">
        <f t="shared" si="6"/>
        <v>809.09407679999993</v>
      </c>
    </row>
    <row r="51" spans="1:9" ht="15.75" customHeight="1">
      <c r="A51" s="44">
        <v>22</v>
      </c>
      <c r="B51" s="143" t="s">
        <v>37</v>
      </c>
      <c r="C51" s="144" t="s">
        <v>38</v>
      </c>
      <c r="D51" s="143" t="s">
        <v>49</v>
      </c>
      <c r="E51" s="145">
        <v>65.03</v>
      </c>
      <c r="F51" s="146">
        <f>SUM(E51*2/100)</f>
        <v>1.3006</v>
      </c>
      <c r="G51" s="19">
        <v>77.84</v>
      </c>
      <c r="H51" s="147">
        <f t="shared" si="5"/>
        <v>0.101238704</v>
      </c>
      <c r="I51" s="19">
        <f>F51/2*G51</f>
        <v>50.619351999999999</v>
      </c>
    </row>
    <row r="52" spans="1:9" ht="15.75" customHeight="1">
      <c r="A52" s="44">
        <v>23</v>
      </c>
      <c r="B52" s="143" t="s">
        <v>71</v>
      </c>
      <c r="C52" s="144" t="s">
        <v>166</v>
      </c>
      <c r="D52" s="143" t="s">
        <v>239</v>
      </c>
      <c r="E52" s="145">
        <v>702</v>
      </c>
      <c r="F52" s="146">
        <f>SUM(E52*5/1000)</f>
        <v>3.51</v>
      </c>
      <c r="G52" s="19">
        <v>1297.28</v>
      </c>
      <c r="H52" s="147">
        <f t="shared" si="5"/>
        <v>4.5534527999999996</v>
      </c>
      <c r="I52" s="19">
        <f>F52/5*G52</f>
        <v>910.69055999999989</v>
      </c>
    </row>
    <row r="53" spans="1:9" ht="31.5" customHeight="1">
      <c r="A53" s="44">
        <v>24</v>
      </c>
      <c r="B53" s="143" t="s">
        <v>154</v>
      </c>
      <c r="C53" s="144" t="s">
        <v>166</v>
      </c>
      <c r="D53" s="143" t="s">
        <v>49</v>
      </c>
      <c r="E53" s="145">
        <v>702</v>
      </c>
      <c r="F53" s="146">
        <f>SUM(E53*2/1000)</f>
        <v>1.4039999999999999</v>
      </c>
      <c r="G53" s="19">
        <v>1297.28</v>
      </c>
      <c r="H53" s="147">
        <f t="shared" si="5"/>
        <v>1.8213811199999999</v>
      </c>
      <c r="I53" s="19">
        <f>F53/2*G53</f>
        <v>910.69055999999989</v>
      </c>
    </row>
    <row r="54" spans="1:9" ht="31.5" customHeight="1">
      <c r="A54" s="44">
        <v>25</v>
      </c>
      <c r="B54" s="143" t="s">
        <v>155</v>
      </c>
      <c r="C54" s="144" t="s">
        <v>44</v>
      </c>
      <c r="D54" s="143" t="s">
        <v>49</v>
      </c>
      <c r="E54" s="145">
        <v>12</v>
      </c>
      <c r="F54" s="146">
        <f>SUM(E54*2/100)</f>
        <v>0.24</v>
      </c>
      <c r="G54" s="19">
        <v>2918.89</v>
      </c>
      <c r="H54" s="147">
        <f t="shared" si="5"/>
        <v>0.70053359999999998</v>
      </c>
      <c r="I54" s="19">
        <f t="shared" ref="I54:I55" si="7">F54/2*G54</f>
        <v>350.26679999999999</v>
      </c>
    </row>
    <row r="55" spans="1:9" ht="15.75" customHeight="1">
      <c r="A55" s="44">
        <v>26</v>
      </c>
      <c r="B55" s="143" t="s">
        <v>45</v>
      </c>
      <c r="C55" s="144" t="s">
        <v>46</v>
      </c>
      <c r="D55" s="143" t="s">
        <v>49</v>
      </c>
      <c r="E55" s="145">
        <v>1</v>
      </c>
      <c r="F55" s="146">
        <v>0.02</v>
      </c>
      <c r="G55" s="19">
        <v>6042.12</v>
      </c>
      <c r="H55" s="147">
        <f t="shared" si="5"/>
        <v>0.1208424</v>
      </c>
      <c r="I55" s="19">
        <f t="shared" si="7"/>
        <v>60.421199999999999</v>
      </c>
    </row>
    <row r="56" spans="1:9" ht="15.75" hidden="1" customHeight="1">
      <c r="A56" s="44">
        <v>14</v>
      </c>
      <c r="B56" s="143" t="s">
        <v>48</v>
      </c>
      <c r="C56" s="144" t="s">
        <v>140</v>
      </c>
      <c r="D56" s="143" t="s">
        <v>97</v>
      </c>
      <c r="E56" s="145">
        <v>72</v>
      </c>
      <c r="F56" s="146">
        <f>SUM(E56)*3</f>
        <v>216</v>
      </c>
      <c r="G56" s="19">
        <v>70.209999999999994</v>
      </c>
      <c r="H56" s="147">
        <f t="shared" si="5"/>
        <v>15.165359999999998</v>
      </c>
      <c r="I56" s="19">
        <f>E56*G56</f>
        <v>5055.12</v>
      </c>
    </row>
    <row r="57" spans="1:9" ht="15.75" customHeight="1">
      <c r="A57" s="186" t="s">
        <v>187</v>
      </c>
      <c r="B57" s="187"/>
      <c r="C57" s="187"/>
      <c r="D57" s="187"/>
      <c r="E57" s="187"/>
      <c r="F57" s="187"/>
      <c r="G57" s="187"/>
      <c r="H57" s="187"/>
      <c r="I57" s="188"/>
    </row>
    <row r="58" spans="1:9" ht="15.75" hidden="1" customHeight="1">
      <c r="A58" s="44"/>
      <c r="B58" s="164" t="s">
        <v>50</v>
      </c>
      <c r="C58" s="144"/>
      <c r="D58" s="143"/>
      <c r="E58" s="145"/>
      <c r="F58" s="146"/>
      <c r="G58" s="146"/>
      <c r="H58" s="147"/>
      <c r="I58" s="19"/>
    </row>
    <row r="59" spans="1:9" ht="31.5" hidden="1" customHeight="1">
      <c r="A59" s="44">
        <v>15</v>
      </c>
      <c r="B59" s="143" t="s">
        <v>214</v>
      </c>
      <c r="C59" s="144" t="s">
        <v>148</v>
      </c>
      <c r="D59" s="143" t="s">
        <v>215</v>
      </c>
      <c r="E59" s="145">
        <v>106.13</v>
      </c>
      <c r="F59" s="146">
        <f>SUM(E59*6/100)</f>
        <v>6.3677999999999999</v>
      </c>
      <c r="G59" s="19">
        <v>1456.95</v>
      </c>
      <c r="H59" s="147">
        <f>SUM(F59*G59/1000)</f>
        <v>9.2775662100000016</v>
      </c>
      <c r="I59" s="19">
        <f>F59/6*G59</f>
        <v>1546.261035</v>
      </c>
    </row>
    <row r="60" spans="1:9" ht="15.75" hidden="1" customHeight="1">
      <c r="A60" s="44"/>
      <c r="B60" s="164" t="s">
        <v>51</v>
      </c>
      <c r="C60" s="144"/>
      <c r="D60" s="143"/>
      <c r="E60" s="145"/>
      <c r="F60" s="146"/>
      <c r="G60" s="130"/>
      <c r="H60" s="147"/>
      <c r="I60" s="19"/>
    </row>
    <row r="61" spans="1:9" ht="15.75" hidden="1" customHeight="1">
      <c r="A61" s="44"/>
      <c r="B61" s="143" t="s">
        <v>216</v>
      </c>
      <c r="C61" s="144"/>
      <c r="D61" s="143" t="s">
        <v>63</v>
      </c>
      <c r="E61" s="145">
        <v>1036</v>
      </c>
      <c r="F61" s="147">
        <v>10.36</v>
      </c>
      <c r="G61" s="19">
        <v>848.37</v>
      </c>
      <c r="H61" s="152">
        <f>F61*G61/1000</f>
        <v>8.7891131999999992</v>
      </c>
      <c r="I61" s="19">
        <v>0</v>
      </c>
    </row>
    <row r="62" spans="1:9" ht="15.75" customHeight="1">
      <c r="A62" s="44"/>
      <c r="B62" s="165" t="s">
        <v>53</v>
      </c>
      <c r="C62" s="153"/>
      <c r="D62" s="154"/>
      <c r="E62" s="155"/>
      <c r="F62" s="156"/>
      <c r="G62" s="156"/>
      <c r="H62" s="157" t="s">
        <v>208</v>
      </c>
      <c r="I62" s="19"/>
    </row>
    <row r="63" spans="1:9" ht="15.75" hidden="1" customHeight="1">
      <c r="A63" s="44"/>
      <c r="B63" s="21" t="s">
        <v>54</v>
      </c>
      <c r="C63" s="23" t="s">
        <v>140</v>
      </c>
      <c r="D63" s="21" t="s">
        <v>89</v>
      </c>
      <c r="E63" s="26">
        <v>10</v>
      </c>
      <c r="F63" s="146">
        <v>10</v>
      </c>
      <c r="G63" s="19">
        <v>237.74</v>
      </c>
      <c r="H63" s="141">
        <f t="shared" ref="H63:H75" si="8">SUM(F63*G63/1000)</f>
        <v>2.3774000000000002</v>
      </c>
      <c r="I63" s="19">
        <v>0</v>
      </c>
    </row>
    <row r="64" spans="1:9" ht="15.75" hidden="1" customHeight="1">
      <c r="A64" s="44"/>
      <c r="B64" s="21" t="s">
        <v>55</v>
      </c>
      <c r="C64" s="23" t="s">
        <v>140</v>
      </c>
      <c r="D64" s="21" t="s">
        <v>89</v>
      </c>
      <c r="E64" s="26">
        <v>5</v>
      </c>
      <c r="F64" s="146">
        <v>5</v>
      </c>
      <c r="G64" s="19">
        <v>81.510000000000005</v>
      </c>
      <c r="H64" s="141">
        <f t="shared" si="8"/>
        <v>0.40755000000000002</v>
      </c>
      <c r="I64" s="19">
        <v>0</v>
      </c>
    </row>
    <row r="65" spans="1:9" ht="15.75" customHeight="1">
      <c r="A65" s="44">
        <v>27</v>
      </c>
      <c r="B65" s="21" t="s">
        <v>56</v>
      </c>
      <c r="C65" s="23" t="s">
        <v>217</v>
      </c>
      <c r="D65" s="21" t="s">
        <v>63</v>
      </c>
      <c r="E65" s="145">
        <v>8607</v>
      </c>
      <c r="F65" s="19">
        <f>SUM(E65/100)</f>
        <v>86.07</v>
      </c>
      <c r="G65" s="19">
        <v>226.79</v>
      </c>
      <c r="H65" s="141">
        <f t="shared" si="8"/>
        <v>19.519815299999998</v>
      </c>
      <c r="I65" s="19">
        <f>F65*G65</f>
        <v>19519.815299999998</v>
      </c>
    </row>
    <row r="66" spans="1:9" ht="15.75" customHeight="1">
      <c r="A66" s="44">
        <v>28</v>
      </c>
      <c r="B66" s="21" t="s">
        <v>57</v>
      </c>
      <c r="C66" s="23" t="s">
        <v>218</v>
      </c>
      <c r="D66" s="21"/>
      <c r="E66" s="145">
        <v>8607</v>
      </c>
      <c r="F66" s="19">
        <f>SUM(E66/1000)</f>
        <v>8.6069999999999993</v>
      </c>
      <c r="G66" s="19">
        <v>176.61</v>
      </c>
      <c r="H66" s="141">
        <f t="shared" si="8"/>
        <v>1.5200822700000001</v>
      </c>
      <c r="I66" s="19">
        <f t="shared" ref="I66:I69" si="9">F66*G66</f>
        <v>1520.0822700000001</v>
      </c>
    </row>
    <row r="67" spans="1:9" ht="15.75" customHeight="1">
      <c r="A67" s="44">
        <v>29</v>
      </c>
      <c r="B67" s="21" t="s">
        <v>58</v>
      </c>
      <c r="C67" s="23" t="s">
        <v>107</v>
      </c>
      <c r="D67" s="21" t="s">
        <v>63</v>
      </c>
      <c r="E67" s="145">
        <v>1370</v>
      </c>
      <c r="F67" s="19">
        <f>SUM(E67/100)</f>
        <v>13.7</v>
      </c>
      <c r="G67" s="19">
        <v>2217.7800000000002</v>
      </c>
      <c r="H67" s="141">
        <f t="shared" si="8"/>
        <v>30.383586000000005</v>
      </c>
      <c r="I67" s="19">
        <f t="shared" si="9"/>
        <v>30383.586000000003</v>
      </c>
    </row>
    <row r="68" spans="1:9" ht="15.75" customHeight="1">
      <c r="A68" s="44">
        <v>30</v>
      </c>
      <c r="B68" s="158" t="s">
        <v>219</v>
      </c>
      <c r="C68" s="23" t="s">
        <v>35</v>
      </c>
      <c r="D68" s="21"/>
      <c r="E68" s="145">
        <v>7.8</v>
      </c>
      <c r="F68" s="19">
        <f>SUM(E68)</f>
        <v>7.8</v>
      </c>
      <c r="G68" s="19">
        <v>42.67</v>
      </c>
      <c r="H68" s="141">
        <f t="shared" si="8"/>
        <v>0.33282600000000001</v>
      </c>
      <c r="I68" s="19">
        <f t="shared" si="9"/>
        <v>332.82600000000002</v>
      </c>
    </row>
    <row r="69" spans="1:9" ht="15.75" customHeight="1">
      <c r="A69" s="44">
        <v>31</v>
      </c>
      <c r="B69" s="158" t="s">
        <v>220</v>
      </c>
      <c r="C69" s="23" t="s">
        <v>35</v>
      </c>
      <c r="D69" s="21"/>
      <c r="E69" s="145">
        <v>7.8</v>
      </c>
      <c r="F69" s="19">
        <f>SUM(E69)</f>
        <v>7.8</v>
      </c>
      <c r="G69" s="19">
        <v>39.81</v>
      </c>
      <c r="H69" s="141">
        <f t="shared" si="8"/>
        <v>0.31051800000000002</v>
      </c>
      <c r="I69" s="19">
        <f t="shared" si="9"/>
        <v>310.51800000000003</v>
      </c>
    </row>
    <row r="70" spans="1:9" ht="15.75" hidden="1" customHeight="1">
      <c r="A70" s="44"/>
      <c r="B70" s="21" t="s">
        <v>72</v>
      </c>
      <c r="C70" s="23" t="s">
        <v>73</v>
      </c>
      <c r="D70" s="21" t="s">
        <v>63</v>
      </c>
      <c r="E70" s="26">
        <v>3</v>
      </c>
      <c r="F70" s="146">
        <v>3</v>
      </c>
      <c r="G70" s="19">
        <v>53.32</v>
      </c>
      <c r="H70" s="141">
        <f t="shared" si="8"/>
        <v>0.15996000000000002</v>
      </c>
      <c r="I70" s="19">
        <v>0</v>
      </c>
    </row>
    <row r="71" spans="1:9" ht="15.75" hidden="1" customHeight="1">
      <c r="A71" s="44"/>
      <c r="B71" s="127" t="s">
        <v>101</v>
      </c>
      <c r="C71" s="23"/>
      <c r="D71" s="21"/>
      <c r="E71" s="26"/>
      <c r="F71" s="19"/>
      <c r="G71" s="19"/>
      <c r="H71" s="141" t="s">
        <v>208</v>
      </c>
      <c r="I71" s="19"/>
    </row>
    <row r="72" spans="1:9" ht="15.75" hidden="1" customHeight="1">
      <c r="A72" s="44"/>
      <c r="B72" s="21" t="s">
        <v>102</v>
      </c>
      <c r="C72" s="23" t="s">
        <v>104</v>
      </c>
      <c r="D72" s="21"/>
      <c r="E72" s="26">
        <v>2</v>
      </c>
      <c r="F72" s="19">
        <v>0.2</v>
      </c>
      <c r="G72" s="19">
        <v>536.23</v>
      </c>
      <c r="H72" s="141">
        <f t="shared" si="8"/>
        <v>0.10724600000000001</v>
      </c>
      <c r="I72" s="19">
        <v>0</v>
      </c>
    </row>
    <row r="73" spans="1:9" ht="15.75" hidden="1" customHeight="1">
      <c r="A73" s="44"/>
      <c r="B73" s="21" t="s">
        <v>103</v>
      </c>
      <c r="C73" s="23" t="s">
        <v>33</v>
      </c>
      <c r="D73" s="21"/>
      <c r="E73" s="26">
        <v>1</v>
      </c>
      <c r="F73" s="130">
        <v>1</v>
      </c>
      <c r="G73" s="19">
        <v>911.85</v>
      </c>
      <c r="H73" s="141">
        <f>F73*G73/1000</f>
        <v>0.91185000000000005</v>
      </c>
      <c r="I73" s="19">
        <v>0</v>
      </c>
    </row>
    <row r="74" spans="1:9" ht="15.75" hidden="1" customHeight="1">
      <c r="A74" s="44"/>
      <c r="B74" s="160" t="s">
        <v>105</v>
      </c>
      <c r="C74" s="23"/>
      <c r="D74" s="21"/>
      <c r="E74" s="26"/>
      <c r="F74" s="19"/>
      <c r="G74" s="19" t="s">
        <v>208</v>
      </c>
      <c r="H74" s="141" t="s">
        <v>208</v>
      </c>
      <c r="I74" s="19"/>
    </row>
    <row r="75" spans="1:9" ht="15.75" hidden="1" customHeight="1">
      <c r="A75" s="44"/>
      <c r="B75" s="81" t="s">
        <v>240</v>
      </c>
      <c r="C75" s="23" t="s">
        <v>107</v>
      </c>
      <c r="D75" s="21"/>
      <c r="E75" s="26"/>
      <c r="F75" s="19">
        <v>1</v>
      </c>
      <c r="G75" s="19">
        <v>2831.38</v>
      </c>
      <c r="H75" s="141">
        <f t="shared" si="8"/>
        <v>2.8313800000000002</v>
      </c>
      <c r="I75" s="19">
        <v>0</v>
      </c>
    </row>
    <row r="76" spans="1:9" ht="15.75" hidden="1" customHeight="1">
      <c r="A76" s="44"/>
      <c r="B76" s="168" t="s">
        <v>158</v>
      </c>
      <c r="C76" s="168"/>
      <c r="D76" s="168"/>
      <c r="E76" s="168"/>
      <c r="F76" s="168"/>
      <c r="G76" s="149"/>
      <c r="H76" s="161">
        <f>SUM(H59:H75)</f>
        <v>76.928892980000001</v>
      </c>
      <c r="I76" s="149"/>
    </row>
    <row r="77" spans="1:9" ht="15.75" hidden="1" customHeight="1">
      <c r="A77" s="44"/>
      <c r="B77" s="166" t="s">
        <v>221</v>
      </c>
      <c r="C77" s="32"/>
      <c r="D77" s="31"/>
      <c r="E77" s="162"/>
      <c r="F77" s="167">
        <v>1</v>
      </c>
      <c r="G77" s="19">
        <v>7528.4</v>
      </c>
      <c r="H77" s="141">
        <f>G77*F77/1000</f>
        <v>7.5283999999999995</v>
      </c>
      <c r="I77" s="19">
        <v>0</v>
      </c>
    </row>
    <row r="78" spans="1:9" ht="15.75" customHeight="1">
      <c r="A78" s="186" t="s">
        <v>188</v>
      </c>
      <c r="B78" s="187"/>
      <c r="C78" s="187"/>
      <c r="D78" s="187"/>
      <c r="E78" s="187"/>
      <c r="F78" s="187"/>
      <c r="G78" s="187"/>
      <c r="H78" s="187"/>
      <c r="I78" s="188"/>
    </row>
    <row r="79" spans="1:9" ht="15.75" customHeight="1">
      <c r="A79" s="44">
        <v>32</v>
      </c>
      <c r="B79" s="143" t="s">
        <v>222</v>
      </c>
      <c r="C79" s="23" t="s">
        <v>68</v>
      </c>
      <c r="D79" s="163" t="s">
        <v>69</v>
      </c>
      <c r="E79" s="19">
        <v>2062.5</v>
      </c>
      <c r="F79" s="19">
        <f>SUM(E79*12)</f>
        <v>24750</v>
      </c>
      <c r="G79" s="19">
        <v>2.2400000000000002</v>
      </c>
      <c r="H79" s="141">
        <f>SUM(F79*G79/1000)</f>
        <v>55.440000000000005</v>
      </c>
      <c r="I79" s="19">
        <f>F79/12*G79</f>
        <v>4620</v>
      </c>
    </row>
    <row r="80" spans="1:9" ht="31.5" customHeight="1">
      <c r="A80" s="44">
        <v>33</v>
      </c>
      <c r="B80" s="21" t="s">
        <v>108</v>
      </c>
      <c r="C80" s="23"/>
      <c r="D80" s="163" t="s">
        <v>69</v>
      </c>
      <c r="E80" s="145">
        <f>E79</f>
        <v>2062.5</v>
      </c>
      <c r="F80" s="19">
        <f>E80*12</f>
        <v>24750</v>
      </c>
      <c r="G80" s="19">
        <v>1.74</v>
      </c>
      <c r="H80" s="141">
        <f>F80*G80/1000</f>
        <v>43.064999999999998</v>
      </c>
      <c r="I80" s="19">
        <f>F80/12*G80</f>
        <v>3588.75</v>
      </c>
    </row>
    <row r="81" spans="1:9" ht="15.75" customHeight="1">
      <c r="A81" s="44"/>
      <c r="B81" s="68" t="s">
        <v>115</v>
      </c>
      <c r="C81" s="160"/>
      <c r="D81" s="159"/>
      <c r="E81" s="149"/>
      <c r="F81" s="149"/>
      <c r="G81" s="149"/>
      <c r="H81" s="161">
        <f>H80</f>
        <v>43.064999999999998</v>
      </c>
      <c r="I81" s="149">
        <f>I16+I17+I18+I19+I20+I21+I22+I23+I24+I25+I26+I27+I28+I31+I32+I33+I34+I47+I48+I49+I50+I51+I52+I53+I54+I55+I65+I66+I67+I68+I69+I79+I80</f>
        <v>86509.408971866666</v>
      </c>
    </row>
    <row r="82" spans="1:9" ht="15.75" customHeight="1">
      <c r="A82" s="44"/>
      <c r="B82" s="102" t="s">
        <v>76</v>
      </c>
      <c r="C82" s="23"/>
      <c r="D82" s="81"/>
      <c r="E82" s="19"/>
      <c r="F82" s="19"/>
      <c r="G82" s="19"/>
      <c r="H82" s="161" t="e">
        <f>SUM(H81+#REF!+H76+H57+H46+#REF!+H29)</f>
        <v>#REF!</v>
      </c>
      <c r="I82" s="19"/>
    </row>
    <row r="83" spans="1:9" ht="15.75" customHeight="1">
      <c r="A83" s="44">
        <v>34</v>
      </c>
      <c r="B83" s="95" t="s">
        <v>229</v>
      </c>
      <c r="C83" s="96" t="s">
        <v>129</v>
      </c>
      <c r="D83" s="81"/>
      <c r="E83" s="19"/>
      <c r="F83" s="19">
        <v>3</v>
      </c>
      <c r="G83" s="19">
        <v>185.81</v>
      </c>
      <c r="H83" s="141">
        <f>G83*F83/1000</f>
        <v>0.55743000000000009</v>
      </c>
      <c r="I83" s="19">
        <f>G83</f>
        <v>185.81</v>
      </c>
    </row>
    <row r="84" spans="1:9" ht="15.75" customHeight="1">
      <c r="A84" s="44">
        <v>35</v>
      </c>
      <c r="B84" s="95" t="s">
        <v>230</v>
      </c>
      <c r="C84" s="96" t="s">
        <v>171</v>
      </c>
      <c r="D84" s="81"/>
      <c r="E84" s="19"/>
      <c r="F84" s="19">
        <v>1</v>
      </c>
      <c r="G84" s="19">
        <v>625.07000000000005</v>
      </c>
      <c r="H84" s="141">
        <f>G84*F84/1000</f>
        <v>0.62507000000000001</v>
      </c>
      <c r="I84" s="19">
        <f t="shared" ref="I84" si="10">G84</f>
        <v>625.07000000000005</v>
      </c>
    </row>
    <row r="85" spans="1:9" ht="15.75" customHeight="1">
      <c r="A85" s="44">
        <v>36</v>
      </c>
      <c r="B85" s="95" t="s">
        <v>231</v>
      </c>
      <c r="C85" s="96" t="s">
        <v>180</v>
      </c>
      <c r="D85" s="81"/>
      <c r="E85" s="19"/>
      <c r="F85" s="19">
        <f>1/100</f>
        <v>0.01</v>
      </c>
      <c r="G85" s="19">
        <v>7033.13</v>
      </c>
      <c r="H85" s="141">
        <f t="shared" ref="H85" si="11">G85*F85/1000</f>
        <v>7.0331299999999999E-2</v>
      </c>
      <c r="I85" s="19">
        <f>G85*0.01</f>
        <v>70.331299999999999</v>
      </c>
    </row>
    <row r="86" spans="1:9" ht="15.75" customHeight="1">
      <c r="A86" s="44"/>
      <c r="B86" s="75" t="s">
        <v>60</v>
      </c>
      <c r="C86" s="71"/>
      <c r="D86" s="85"/>
      <c r="E86" s="71">
        <v>1</v>
      </c>
      <c r="F86" s="71"/>
      <c r="G86" s="71"/>
      <c r="H86" s="71"/>
      <c r="I86" s="52">
        <f>SUM(I83:I85)</f>
        <v>881.21130000000016</v>
      </c>
    </row>
    <row r="87" spans="1:9">
      <c r="A87" s="44"/>
      <c r="B87" s="81" t="s">
        <v>109</v>
      </c>
      <c r="C87" s="22"/>
      <c r="D87" s="22"/>
      <c r="E87" s="72"/>
      <c r="F87" s="72"/>
      <c r="G87" s="73"/>
      <c r="H87" s="73"/>
      <c r="I87" s="25">
        <v>0</v>
      </c>
    </row>
    <row r="88" spans="1:9">
      <c r="A88" s="86"/>
      <c r="B88" s="76" t="s">
        <v>61</v>
      </c>
      <c r="C88" s="59"/>
      <c r="D88" s="59"/>
      <c r="E88" s="59"/>
      <c r="F88" s="59"/>
      <c r="G88" s="59"/>
      <c r="H88" s="59"/>
      <c r="I88" s="74">
        <f>I81+I86</f>
        <v>87390.620271866661</v>
      </c>
    </row>
    <row r="89" spans="1:9" ht="15.75" customHeight="1">
      <c r="A89" s="181" t="s">
        <v>256</v>
      </c>
      <c r="B89" s="181"/>
      <c r="C89" s="181"/>
      <c r="D89" s="181"/>
      <c r="E89" s="181"/>
      <c r="F89" s="181"/>
      <c r="G89" s="181"/>
      <c r="H89" s="181"/>
      <c r="I89" s="181"/>
    </row>
    <row r="90" spans="1:9" ht="15.75">
      <c r="A90" s="117"/>
      <c r="B90" s="182" t="s">
        <v>257</v>
      </c>
      <c r="C90" s="182"/>
      <c r="D90" s="182"/>
      <c r="E90" s="182"/>
      <c r="F90" s="182"/>
      <c r="G90" s="182"/>
      <c r="H90" s="135"/>
      <c r="I90" s="3"/>
    </row>
    <row r="91" spans="1:9">
      <c r="A91" s="116"/>
      <c r="B91" s="183" t="s">
        <v>6</v>
      </c>
      <c r="C91" s="183"/>
      <c r="D91" s="183"/>
      <c r="E91" s="183"/>
      <c r="F91" s="183"/>
      <c r="G91" s="183"/>
      <c r="H91" s="39"/>
      <c r="I91" s="5"/>
    </row>
    <row r="92" spans="1:9">
      <c r="A92" s="12"/>
      <c r="B92" s="12"/>
      <c r="C92" s="12"/>
      <c r="D92" s="12"/>
      <c r="E92" s="12"/>
      <c r="F92" s="12"/>
      <c r="G92" s="12"/>
      <c r="H92" s="12"/>
      <c r="I92" s="12"/>
    </row>
    <row r="93" spans="1:9" ht="15.75">
      <c r="A93" s="184" t="s">
        <v>7</v>
      </c>
      <c r="B93" s="184"/>
      <c r="C93" s="184"/>
      <c r="D93" s="184"/>
      <c r="E93" s="184"/>
      <c r="F93" s="184"/>
      <c r="G93" s="184"/>
      <c r="H93" s="184"/>
      <c r="I93" s="184"/>
    </row>
    <row r="94" spans="1:9" ht="15.75">
      <c r="A94" s="184" t="s">
        <v>8</v>
      </c>
      <c r="B94" s="184"/>
      <c r="C94" s="184"/>
      <c r="D94" s="184"/>
      <c r="E94" s="184"/>
      <c r="F94" s="184"/>
      <c r="G94" s="184"/>
      <c r="H94" s="184"/>
      <c r="I94" s="184"/>
    </row>
    <row r="95" spans="1:9" ht="15.75" customHeight="1">
      <c r="A95" s="185" t="s">
        <v>79</v>
      </c>
      <c r="B95" s="185"/>
      <c r="C95" s="185"/>
      <c r="D95" s="185"/>
      <c r="E95" s="185"/>
      <c r="F95" s="185"/>
      <c r="G95" s="185"/>
      <c r="H95" s="185"/>
      <c r="I95" s="185"/>
    </row>
    <row r="96" spans="1:9" ht="15.75">
      <c r="A96" s="13"/>
    </row>
    <row r="97" spans="1:9" ht="15.75">
      <c r="A97" s="191" t="s">
        <v>9</v>
      </c>
      <c r="B97" s="191"/>
      <c r="C97" s="191"/>
      <c r="D97" s="191"/>
      <c r="E97" s="191"/>
      <c r="F97" s="191"/>
      <c r="G97" s="191"/>
      <c r="H97" s="191"/>
      <c r="I97" s="191"/>
    </row>
    <row r="98" spans="1:9" ht="15.75">
      <c r="A98" s="4"/>
    </row>
    <row r="99" spans="1:9" ht="15.75" customHeight="1">
      <c r="B99" s="114" t="s">
        <v>10</v>
      </c>
      <c r="C99" s="192" t="s">
        <v>191</v>
      </c>
      <c r="D99" s="192"/>
      <c r="E99" s="192"/>
      <c r="F99" s="131"/>
      <c r="I99" s="115"/>
    </row>
    <row r="100" spans="1:9">
      <c r="A100" s="116"/>
      <c r="C100" s="183" t="s">
        <v>11</v>
      </c>
      <c r="D100" s="183"/>
      <c r="E100" s="183"/>
      <c r="F100" s="39"/>
      <c r="I100" s="113" t="s">
        <v>12</v>
      </c>
    </row>
    <row r="101" spans="1:9" ht="15.75">
      <c r="A101" s="40"/>
      <c r="C101" s="14"/>
      <c r="D101" s="14"/>
      <c r="G101" s="14"/>
      <c r="H101" s="14"/>
    </row>
    <row r="102" spans="1:9" ht="15.75" customHeight="1">
      <c r="B102" s="114" t="s">
        <v>13</v>
      </c>
      <c r="C102" s="178"/>
      <c r="D102" s="178"/>
      <c r="E102" s="178"/>
      <c r="F102" s="132"/>
      <c r="I102" s="115"/>
    </row>
    <row r="103" spans="1:9">
      <c r="A103" s="116"/>
      <c r="C103" s="179" t="s">
        <v>11</v>
      </c>
      <c r="D103" s="179"/>
      <c r="E103" s="179"/>
      <c r="F103" s="116"/>
      <c r="I103" s="113" t="s">
        <v>12</v>
      </c>
    </row>
    <row r="104" spans="1:9" ht="15.75">
      <c r="A104" s="4" t="s">
        <v>14</v>
      </c>
    </row>
    <row r="105" spans="1:9">
      <c r="A105" s="180" t="s">
        <v>15</v>
      </c>
      <c r="B105" s="180"/>
      <c r="C105" s="180"/>
      <c r="D105" s="180"/>
      <c r="E105" s="180"/>
      <c r="F105" s="180"/>
      <c r="G105" s="180"/>
      <c r="H105" s="180"/>
      <c r="I105" s="180"/>
    </row>
    <row r="106" spans="1:9" ht="45" customHeight="1">
      <c r="A106" s="190" t="s">
        <v>16</v>
      </c>
      <c r="B106" s="190"/>
      <c r="C106" s="190"/>
      <c r="D106" s="190"/>
      <c r="E106" s="190"/>
      <c r="F106" s="190"/>
      <c r="G106" s="190"/>
      <c r="H106" s="190"/>
      <c r="I106" s="190"/>
    </row>
    <row r="107" spans="1:9" ht="30" customHeight="1">
      <c r="A107" s="190" t="s">
        <v>17</v>
      </c>
      <c r="B107" s="190"/>
      <c r="C107" s="190"/>
      <c r="D107" s="190"/>
      <c r="E107" s="190"/>
      <c r="F107" s="190"/>
      <c r="G107" s="190"/>
      <c r="H107" s="190"/>
      <c r="I107" s="190"/>
    </row>
    <row r="108" spans="1:9" ht="30" customHeight="1">
      <c r="A108" s="190" t="s">
        <v>22</v>
      </c>
      <c r="B108" s="190"/>
      <c r="C108" s="190"/>
      <c r="D108" s="190"/>
      <c r="E108" s="190"/>
      <c r="F108" s="190"/>
      <c r="G108" s="190"/>
      <c r="H108" s="190"/>
      <c r="I108" s="190"/>
    </row>
    <row r="109" spans="1:9" ht="15" customHeight="1">
      <c r="A109" s="190" t="s">
        <v>21</v>
      </c>
      <c r="B109" s="190"/>
      <c r="C109" s="190"/>
      <c r="D109" s="190"/>
      <c r="E109" s="190"/>
      <c r="F109" s="190"/>
      <c r="G109" s="190"/>
      <c r="H109" s="190"/>
      <c r="I109" s="190"/>
    </row>
    <row r="176" spans="1:1" ht="15.75">
      <c r="A176" s="4" t="s">
        <v>14</v>
      </c>
    </row>
    <row r="177" spans="1:9">
      <c r="A177" s="180" t="s">
        <v>15</v>
      </c>
      <c r="B177" s="180"/>
      <c r="C177" s="180"/>
      <c r="D177" s="180"/>
      <c r="E177" s="180"/>
      <c r="F177" s="180"/>
      <c r="G177" s="180"/>
      <c r="H177" s="180"/>
      <c r="I177" s="180"/>
    </row>
    <row r="178" spans="1:9" ht="16.5" customHeight="1">
      <c r="A178" s="189" t="s">
        <v>16</v>
      </c>
      <c r="B178" s="189"/>
      <c r="C178" s="189"/>
      <c r="D178" s="189"/>
      <c r="E178" s="189"/>
      <c r="F178" s="189"/>
      <c r="G178" s="189"/>
      <c r="H178" s="189"/>
      <c r="I178" s="189"/>
    </row>
    <row r="179" spans="1:9" ht="16.5" customHeight="1">
      <c r="A179" s="189" t="s">
        <v>17</v>
      </c>
      <c r="B179" s="189"/>
      <c r="C179" s="189"/>
      <c r="D179" s="189"/>
      <c r="E179" s="189"/>
      <c r="F179" s="189"/>
      <c r="G179" s="189"/>
      <c r="H179" s="189"/>
      <c r="I179" s="189"/>
    </row>
    <row r="180" spans="1:9" ht="16.5" customHeight="1">
      <c r="A180" s="189" t="s">
        <v>22</v>
      </c>
      <c r="B180" s="189"/>
      <c r="C180" s="189"/>
      <c r="D180" s="189"/>
      <c r="E180" s="189"/>
      <c r="F180" s="189"/>
      <c r="G180" s="189"/>
      <c r="H180" s="189"/>
      <c r="I180" s="189"/>
    </row>
    <row r="181" spans="1:9" ht="16.5" customHeight="1">
      <c r="A181" s="189" t="s">
        <v>21</v>
      </c>
      <c r="B181" s="189"/>
      <c r="C181" s="189"/>
      <c r="D181" s="189"/>
      <c r="E181" s="189"/>
      <c r="F181" s="189"/>
      <c r="G181" s="189"/>
      <c r="H181" s="189"/>
      <c r="I181" s="189"/>
    </row>
    <row r="183" spans="1:9">
      <c r="A183" s="15" t="s">
        <v>20</v>
      </c>
      <c r="B183" s="15"/>
      <c r="C183" s="15"/>
      <c r="D183" s="15"/>
      <c r="E183" s="15"/>
      <c r="F183" s="15"/>
      <c r="G183" s="15"/>
      <c r="H183" s="15"/>
    </row>
  </sheetData>
  <mergeCells count="32">
    <mergeCell ref="A180:I180"/>
    <mergeCell ref="A181:I181"/>
    <mergeCell ref="A107:I107"/>
    <mergeCell ref="A108:I108"/>
    <mergeCell ref="A109:I109"/>
    <mergeCell ref="A177:I177"/>
    <mergeCell ref="A178:I178"/>
    <mergeCell ref="A179:I179"/>
    <mergeCell ref="A106:I106"/>
    <mergeCell ref="B90:G90"/>
    <mergeCell ref="B91:G91"/>
    <mergeCell ref="A93:I93"/>
    <mergeCell ref="A94:I94"/>
    <mergeCell ref="A95:I95"/>
    <mergeCell ref="A97:I97"/>
    <mergeCell ref="C99:E99"/>
    <mergeCell ref="C100:E100"/>
    <mergeCell ref="C102:E102"/>
    <mergeCell ref="C103:E103"/>
    <mergeCell ref="A105:I105"/>
    <mergeCell ref="A89:I89"/>
    <mergeCell ref="A3:I3"/>
    <mergeCell ref="A4:I4"/>
    <mergeCell ref="A5:I5"/>
    <mergeCell ref="A8:I8"/>
    <mergeCell ref="A10:I10"/>
    <mergeCell ref="A14:I14"/>
    <mergeCell ref="A15:I15"/>
    <mergeCell ref="A29:I29"/>
    <mergeCell ref="A46:I46"/>
    <mergeCell ref="A57:I57"/>
    <mergeCell ref="A78:I78"/>
  </mergeCells>
  <pageMargins left="0.70866141732283472" right="0.70866141732283472" top="0.27559055118110237" bottom="0.27559055118110237" header="0.31496062992125984" footer="0.31496062992125984"/>
  <pageSetup paperSize="9" scale="60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I184"/>
  <sheetViews>
    <sheetView workbookViewId="0">
      <selection activeCell="A4" sqref="A4:I4"/>
    </sheetView>
  </sheetViews>
  <sheetFormatPr defaultRowHeight="15"/>
  <cols>
    <col min="1" max="1" width="6.42578125" customWidth="1"/>
    <col min="2" max="2" width="53.140625" customWidth="1"/>
    <col min="3" max="3" width="18.5703125" customWidth="1"/>
    <col min="4" max="4" width="18.28515625" customWidth="1"/>
    <col min="5" max="6" width="0" hidden="1" customWidth="1"/>
    <col min="7" max="7" width="22.5703125" customWidth="1"/>
    <col min="8" max="8" width="22.5703125" hidden="1" customWidth="1"/>
    <col min="9" max="9" width="22.5703125" customWidth="1"/>
  </cols>
  <sheetData>
    <row r="1" spans="1:9" ht="15.75">
      <c r="A1" s="42" t="s">
        <v>136</v>
      </c>
      <c r="I1" s="41"/>
    </row>
    <row r="2" spans="1:9" ht="15.75">
      <c r="A2" s="43" t="s">
        <v>82</v>
      </c>
    </row>
    <row r="3" spans="1:9" ht="15.75">
      <c r="A3" s="172" t="s">
        <v>258</v>
      </c>
      <c r="B3" s="172"/>
      <c r="C3" s="172"/>
      <c r="D3" s="172"/>
      <c r="E3" s="172"/>
      <c r="F3" s="172"/>
      <c r="G3" s="172"/>
      <c r="H3" s="172"/>
      <c r="I3" s="172"/>
    </row>
    <row r="4" spans="1:9" ht="31.5" customHeight="1">
      <c r="A4" s="173" t="s">
        <v>280</v>
      </c>
      <c r="B4" s="173"/>
      <c r="C4" s="173"/>
      <c r="D4" s="173"/>
      <c r="E4" s="173"/>
      <c r="F4" s="173"/>
      <c r="G4" s="173"/>
      <c r="H4" s="173"/>
      <c r="I4" s="173"/>
    </row>
    <row r="5" spans="1:9" ht="15.75">
      <c r="A5" s="172" t="s">
        <v>70</v>
      </c>
      <c r="B5" s="174"/>
      <c r="C5" s="174"/>
      <c r="D5" s="174"/>
      <c r="E5" s="174"/>
      <c r="F5" s="174"/>
      <c r="G5" s="174"/>
      <c r="H5" s="174"/>
      <c r="I5" s="174"/>
    </row>
    <row r="6" spans="1:9" ht="15.75">
      <c r="A6" s="2"/>
      <c r="B6" s="112"/>
      <c r="C6" s="112"/>
      <c r="D6" s="112"/>
      <c r="E6" s="112"/>
      <c r="F6" s="112"/>
      <c r="G6" s="112"/>
      <c r="H6" s="112"/>
      <c r="I6" s="45">
        <v>42551</v>
      </c>
    </row>
    <row r="7" spans="1:9" ht="15.75">
      <c r="B7" s="114"/>
      <c r="C7" s="114"/>
      <c r="D7" s="114"/>
      <c r="E7" s="3"/>
      <c r="F7" s="3"/>
      <c r="G7" s="3"/>
      <c r="H7" s="3"/>
    </row>
    <row r="8" spans="1:9" ht="78.75" customHeight="1">
      <c r="A8" s="175" t="s">
        <v>246</v>
      </c>
      <c r="B8" s="175"/>
      <c r="C8" s="175"/>
      <c r="D8" s="175"/>
      <c r="E8" s="175"/>
      <c r="F8" s="175"/>
      <c r="G8" s="175"/>
      <c r="H8" s="175"/>
      <c r="I8" s="175"/>
    </row>
    <row r="9" spans="1:9" ht="15.75">
      <c r="A9" s="4"/>
    </row>
    <row r="10" spans="1:9" ht="47.25" customHeight="1">
      <c r="A10" s="176" t="s">
        <v>190</v>
      </c>
      <c r="B10" s="176"/>
      <c r="C10" s="176"/>
      <c r="D10" s="176"/>
      <c r="E10" s="176"/>
      <c r="F10" s="176"/>
      <c r="G10" s="176"/>
      <c r="H10" s="176"/>
      <c r="I10" s="176"/>
    </row>
    <row r="11" spans="1:9" ht="15.75">
      <c r="A11" s="4"/>
    </row>
    <row r="12" spans="1:9" ht="47.25" customHeight="1">
      <c r="A12" s="8" t="s">
        <v>0</v>
      </c>
      <c r="B12" s="8" t="s">
        <v>1</v>
      </c>
      <c r="C12" s="8" t="s">
        <v>2</v>
      </c>
      <c r="D12" s="8" t="s">
        <v>18</v>
      </c>
      <c r="E12" s="8" t="s">
        <v>19</v>
      </c>
      <c r="F12" s="8"/>
      <c r="G12" s="8" t="s">
        <v>23</v>
      </c>
      <c r="H12" s="8"/>
      <c r="I12" s="8" t="s">
        <v>3</v>
      </c>
    </row>
    <row r="13" spans="1:9">
      <c r="A13" s="9">
        <v>1</v>
      </c>
      <c r="B13" s="9">
        <v>2</v>
      </c>
      <c r="C13" s="9">
        <v>3</v>
      </c>
      <c r="D13" s="9">
        <v>4</v>
      </c>
      <c r="E13" s="9">
        <v>5</v>
      </c>
      <c r="F13" s="9"/>
      <c r="G13" s="9">
        <v>5</v>
      </c>
      <c r="H13" s="9"/>
      <c r="I13" s="9">
        <v>6</v>
      </c>
    </row>
    <row r="14" spans="1:9" ht="15" customHeight="1">
      <c r="A14" s="177" t="s">
        <v>74</v>
      </c>
      <c r="B14" s="177"/>
      <c r="C14" s="177"/>
      <c r="D14" s="177"/>
      <c r="E14" s="177"/>
      <c r="F14" s="177"/>
      <c r="G14" s="177"/>
      <c r="H14" s="177"/>
      <c r="I14" s="177"/>
    </row>
    <row r="15" spans="1:9" ht="15" customHeight="1">
      <c r="A15" s="171" t="s">
        <v>4</v>
      </c>
      <c r="B15" s="171"/>
      <c r="C15" s="171"/>
      <c r="D15" s="171"/>
      <c r="E15" s="171"/>
      <c r="F15" s="171"/>
      <c r="G15" s="171"/>
      <c r="H15" s="171"/>
      <c r="I15" s="171"/>
    </row>
    <row r="16" spans="1:9" ht="31.5" customHeight="1">
      <c r="A16" s="44">
        <v>1</v>
      </c>
      <c r="B16" s="143" t="s">
        <v>147</v>
      </c>
      <c r="C16" s="144" t="s">
        <v>148</v>
      </c>
      <c r="D16" s="143" t="s">
        <v>149</v>
      </c>
      <c r="E16" s="145">
        <v>38.1</v>
      </c>
      <c r="F16" s="146">
        <f>SUM(E16*156/100)</f>
        <v>59.436000000000007</v>
      </c>
      <c r="G16" s="146">
        <v>187.48</v>
      </c>
      <c r="H16" s="147">
        <f t="shared" ref="H16:H26" si="0">SUM(F16*G16/1000)</f>
        <v>11.14306128</v>
      </c>
      <c r="I16" s="19">
        <f>F16/12*G16</f>
        <v>928.58843999999999</v>
      </c>
    </row>
    <row r="17" spans="1:9" ht="31.5" customHeight="1">
      <c r="A17" s="44">
        <v>2</v>
      </c>
      <c r="B17" s="143" t="s">
        <v>150</v>
      </c>
      <c r="C17" s="144" t="s">
        <v>148</v>
      </c>
      <c r="D17" s="143" t="s">
        <v>151</v>
      </c>
      <c r="E17" s="145">
        <v>114.4</v>
      </c>
      <c r="F17" s="146">
        <f>SUM(E17*104/100)</f>
        <v>118.976</v>
      </c>
      <c r="G17" s="146">
        <v>187.48</v>
      </c>
      <c r="H17" s="147">
        <f t="shared" si="0"/>
        <v>22.305620479999998</v>
      </c>
      <c r="I17" s="19">
        <f>F17/12*G17</f>
        <v>1858.8017066666666</v>
      </c>
    </row>
    <row r="18" spans="1:9" ht="31.5" customHeight="1">
      <c r="A18" s="44">
        <v>3</v>
      </c>
      <c r="B18" s="143" t="s">
        <v>152</v>
      </c>
      <c r="C18" s="144" t="s">
        <v>148</v>
      </c>
      <c r="D18" s="143" t="s">
        <v>153</v>
      </c>
      <c r="E18" s="145">
        <f>SUM(E16+E17)</f>
        <v>152.5</v>
      </c>
      <c r="F18" s="146">
        <f>SUM(E18*24/100)</f>
        <v>36.6</v>
      </c>
      <c r="G18" s="146">
        <v>539.30999999999995</v>
      </c>
      <c r="H18" s="147">
        <f t="shared" si="0"/>
        <v>19.738745999999999</v>
      </c>
      <c r="I18" s="19">
        <f>F18/12*G18</f>
        <v>1644.8955000000001</v>
      </c>
    </row>
    <row r="19" spans="1:9" ht="15.75" hidden="1" customHeight="1">
      <c r="A19" s="44">
        <v>4</v>
      </c>
      <c r="B19" s="143" t="s">
        <v>193</v>
      </c>
      <c r="C19" s="144" t="s">
        <v>194</v>
      </c>
      <c r="D19" s="143" t="s">
        <v>195</v>
      </c>
      <c r="E19" s="145">
        <v>32.4</v>
      </c>
      <c r="F19" s="146">
        <f>SUM(E19/10)</f>
        <v>3.2399999999999998</v>
      </c>
      <c r="G19" s="146">
        <v>181.91</v>
      </c>
      <c r="H19" s="147">
        <f t="shared" si="0"/>
        <v>0.58938839999999992</v>
      </c>
      <c r="I19" s="19">
        <v>0</v>
      </c>
    </row>
    <row r="20" spans="1:9" ht="15.75" hidden="1" customHeight="1">
      <c r="A20" s="44">
        <v>5</v>
      </c>
      <c r="B20" s="143" t="s">
        <v>196</v>
      </c>
      <c r="C20" s="144" t="s">
        <v>148</v>
      </c>
      <c r="D20" s="143" t="s">
        <v>49</v>
      </c>
      <c r="E20" s="145">
        <v>12.24</v>
      </c>
      <c r="F20" s="146">
        <f>SUM(E20*2/100)</f>
        <v>0.24480000000000002</v>
      </c>
      <c r="G20" s="146">
        <v>232.92</v>
      </c>
      <c r="H20" s="147">
        <f t="shared" si="0"/>
        <v>5.7018816E-2</v>
      </c>
      <c r="I20" s="19">
        <v>0</v>
      </c>
    </row>
    <row r="21" spans="1:9" ht="15.75" hidden="1" customHeight="1">
      <c r="A21" s="44">
        <v>6</v>
      </c>
      <c r="B21" s="143" t="s">
        <v>197</v>
      </c>
      <c r="C21" s="144" t="s">
        <v>148</v>
      </c>
      <c r="D21" s="143" t="s">
        <v>49</v>
      </c>
      <c r="E21" s="145">
        <v>10.08</v>
      </c>
      <c r="F21" s="146">
        <f>SUM(E21*2/100)</f>
        <v>0.2016</v>
      </c>
      <c r="G21" s="146">
        <v>231.03</v>
      </c>
      <c r="H21" s="147">
        <f t="shared" si="0"/>
        <v>4.6575648000000004E-2</v>
      </c>
      <c r="I21" s="19">
        <v>0</v>
      </c>
    </row>
    <row r="22" spans="1:9" ht="15.75" hidden="1" customHeight="1">
      <c r="A22" s="44">
        <v>7</v>
      </c>
      <c r="B22" s="143" t="s">
        <v>198</v>
      </c>
      <c r="C22" s="144" t="s">
        <v>62</v>
      </c>
      <c r="D22" s="143" t="s">
        <v>195</v>
      </c>
      <c r="E22" s="145">
        <v>293.76</v>
      </c>
      <c r="F22" s="146">
        <f>SUM(E22/100)</f>
        <v>2.9375999999999998</v>
      </c>
      <c r="G22" s="146">
        <v>287.83999999999997</v>
      </c>
      <c r="H22" s="147">
        <f t="shared" si="0"/>
        <v>0.84555878399999984</v>
      </c>
      <c r="I22" s="19">
        <v>0</v>
      </c>
    </row>
    <row r="23" spans="1:9" ht="15.75" hidden="1" customHeight="1">
      <c r="A23" s="44">
        <v>8</v>
      </c>
      <c r="B23" s="143" t="s">
        <v>199</v>
      </c>
      <c r="C23" s="144" t="s">
        <v>62</v>
      </c>
      <c r="D23" s="143" t="s">
        <v>195</v>
      </c>
      <c r="E23" s="148">
        <v>17.64</v>
      </c>
      <c r="F23" s="146">
        <f>SUM(E23/100)</f>
        <v>0.1764</v>
      </c>
      <c r="G23" s="146">
        <v>47.34</v>
      </c>
      <c r="H23" s="147">
        <f t="shared" si="0"/>
        <v>8.3507760000000007E-3</v>
      </c>
      <c r="I23" s="19">
        <v>0</v>
      </c>
    </row>
    <row r="24" spans="1:9" ht="15.75" hidden="1" customHeight="1">
      <c r="A24" s="44">
        <v>9</v>
      </c>
      <c r="B24" s="143" t="s">
        <v>200</v>
      </c>
      <c r="C24" s="144" t="s">
        <v>62</v>
      </c>
      <c r="D24" s="143" t="s">
        <v>201</v>
      </c>
      <c r="E24" s="145">
        <v>10.8</v>
      </c>
      <c r="F24" s="146">
        <f>E24/100</f>
        <v>0.10800000000000001</v>
      </c>
      <c r="G24" s="146">
        <v>416.62</v>
      </c>
      <c r="H24" s="147">
        <f t="shared" si="0"/>
        <v>4.4994960000000007E-2</v>
      </c>
      <c r="I24" s="19">
        <v>0</v>
      </c>
    </row>
    <row r="25" spans="1:9" ht="15.75" hidden="1" customHeight="1">
      <c r="A25" s="44">
        <v>10</v>
      </c>
      <c r="B25" s="143" t="s">
        <v>202</v>
      </c>
      <c r="C25" s="144" t="s">
        <v>62</v>
      </c>
      <c r="D25" s="143" t="s">
        <v>63</v>
      </c>
      <c r="E25" s="145">
        <v>12.6</v>
      </c>
      <c r="F25" s="146">
        <v>0.13</v>
      </c>
      <c r="G25" s="146">
        <v>231.03</v>
      </c>
      <c r="H25" s="147">
        <f>G25*F25/1000</f>
        <v>3.0033900000000002E-2</v>
      </c>
      <c r="I25" s="19">
        <v>0</v>
      </c>
    </row>
    <row r="26" spans="1:9" ht="15.75" hidden="1" customHeight="1">
      <c r="A26" s="44">
        <v>11</v>
      </c>
      <c r="B26" s="143" t="s">
        <v>203</v>
      </c>
      <c r="C26" s="144" t="s">
        <v>62</v>
      </c>
      <c r="D26" s="143" t="s">
        <v>195</v>
      </c>
      <c r="E26" s="145">
        <v>14.4</v>
      </c>
      <c r="F26" s="146">
        <f>SUM(E26/100)</f>
        <v>0.14400000000000002</v>
      </c>
      <c r="G26" s="146">
        <v>556.74</v>
      </c>
      <c r="H26" s="147">
        <f t="shared" si="0"/>
        <v>8.0170560000000016E-2</v>
      </c>
      <c r="I26" s="19">
        <v>0</v>
      </c>
    </row>
    <row r="27" spans="1:9" ht="15.75" customHeight="1">
      <c r="A27" s="44">
        <v>4</v>
      </c>
      <c r="B27" s="143" t="s">
        <v>86</v>
      </c>
      <c r="C27" s="144" t="s">
        <v>35</v>
      </c>
      <c r="D27" s="143" t="s">
        <v>206</v>
      </c>
      <c r="E27" s="145">
        <v>0.1</v>
      </c>
      <c r="F27" s="146">
        <f>SUM(E27*365)</f>
        <v>36.5</v>
      </c>
      <c r="G27" s="146">
        <v>157.18</v>
      </c>
      <c r="H27" s="147">
        <f>SUM(F27*G27/1000)</f>
        <v>5.737070000000001</v>
      </c>
      <c r="I27" s="19">
        <f>F27/12*G27</f>
        <v>478.08916666666664</v>
      </c>
    </row>
    <row r="28" spans="1:9" ht="15.75" customHeight="1">
      <c r="A28" s="44">
        <v>5</v>
      </c>
      <c r="B28" s="151" t="s">
        <v>24</v>
      </c>
      <c r="C28" s="144" t="s">
        <v>25</v>
      </c>
      <c r="D28" s="151" t="s">
        <v>208</v>
      </c>
      <c r="E28" s="145">
        <v>2062.5</v>
      </c>
      <c r="F28" s="146">
        <f>SUM(E28*12)</f>
        <v>24750</v>
      </c>
      <c r="G28" s="146">
        <v>5.53</v>
      </c>
      <c r="H28" s="147">
        <f>SUM(F28*G28/1000)</f>
        <v>136.86750000000001</v>
      </c>
      <c r="I28" s="19">
        <f>F28/12*G28</f>
        <v>11405.625</v>
      </c>
    </row>
    <row r="29" spans="1:9" ht="15.75" customHeight="1">
      <c r="A29" s="186" t="s">
        <v>130</v>
      </c>
      <c r="B29" s="187"/>
      <c r="C29" s="187"/>
      <c r="D29" s="187"/>
      <c r="E29" s="187"/>
      <c r="F29" s="187"/>
      <c r="G29" s="187"/>
      <c r="H29" s="187"/>
      <c r="I29" s="188"/>
    </row>
    <row r="30" spans="1:9" ht="15.75" customHeight="1">
      <c r="A30" s="44"/>
      <c r="B30" s="164" t="s">
        <v>31</v>
      </c>
      <c r="C30" s="144"/>
      <c r="D30" s="143"/>
      <c r="E30" s="145"/>
      <c r="F30" s="146"/>
      <c r="G30" s="146"/>
      <c r="H30" s="147"/>
      <c r="I30" s="19"/>
    </row>
    <row r="31" spans="1:9" ht="31.5" customHeight="1">
      <c r="A31" s="44">
        <v>6</v>
      </c>
      <c r="B31" s="143" t="s">
        <v>236</v>
      </c>
      <c r="C31" s="144" t="s">
        <v>166</v>
      </c>
      <c r="D31" s="143" t="s">
        <v>204</v>
      </c>
      <c r="E31" s="146">
        <v>652.9</v>
      </c>
      <c r="F31" s="146">
        <f>SUM(E31*52/1000)</f>
        <v>33.950799999999994</v>
      </c>
      <c r="G31" s="146">
        <v>166.65</v>
      </c>
      <c r="H31" s="147">
        <f t="shared" ref="H31:H36" si="1">SUM(F31*G31/1000)</f>
        <v>5.6579008199999992</v>
      </c>
      <c r="I31" s="19">
        <f>F31/6*G31</f>
        <v>942.9834699999999</v>
      </c>
    </row>
    <row r="32" spans="1:9" ht="31.5" customHeight="1">
      <c r="A32" s="44">
        <v>7</v>
      </c>
      <c r="B32" s="143" t="s">
        <v>237</v>
      </c>
      <c r="C32" s="144" t="s">
        <v>166</v>
      </c>
      <c r="D32" s="143" t="s">
        <v>205</v>
      </c>
      <c r="E32" s="146">
        <v>63.5</v>
      </c>
      <c r="F32" s="146">
        <f>SUM(E32*78/1000)</f>
        <v>4.9530000000000003</v>
      </c>
      <c r="G32" s="146">
        <v>276.48</v>
      </c>
      <c r="H32" s="147">
        <f t="shared" si="1"/>
        <v>1.3694054400000002</v>
      </c>
      <c r="I32" s="19">
        <f t="shared" ref="I32:I34" si="2">F32/6*G32</f>
        <v>228.23424000000003</v>
      </c>
    </row>
    <row r="33" spans="1:9" ht="15.75" hidden="1" customHeight="1">
      <c r="A33" s="44">
        <v>8</v>
      </c>
      <c r="B33" s="143" t="s">
        <v>30</v>
      </c>
      <c r="C33" s="144" t="s">
        <v>166</v>
      </c>
      <c r="D33" s="143" t="s">
        <v>63</v>
      </c>
      <c r="E33" s="146">
        <v>652.9</v>
      </c>
      <c r="F33" s="146">
        <f>SUM(E33/1000)</f>
        <v>0.65289999999999992</v>
      </c>
      <c r="G33" s="146">
        <v>3228.73</v>
      </c>
      <c r="H33" s="147">
        <f t="shared" si="1"/>
        <v>2.108037817</v>
      </c>
      <c r="I33" s="19">
        <f>F33*G33</f>
        <v>2108.0378169999999</v>
      </c>
    </row>
    <row r="34" spans="1:9" ht="15.75" customHeight="1">
      <c r="A34" s="44">
        <v>8</v>
      </c>
      <c r="B34" s="143" t="s">
        <v>238</v>
      </c>
      <c r="C34" s="144" t="s">
        <v>33</v>
      </c>
      <c r="D34" s="143" t="s">
        <v>85</v>
      </c>
      <c r="E34" s="150">
        <v>0.33333333333333331</v>
      </c>
      <c r="F34" s="146">
        <f>155/3</f>
        <v>51.666666666666664</v>
      </c>
      <c r="G34" s="146">
        <v>60.6</v>
      </c>
      <c r="H34" s="147">
        <f>SUM(G34*155/3/1000)</f>
        <v>3.1309999999999998</v>
      </c>
      <c r="I34" s="19">
        <f t="shared" si="2"/>
        <v>521.83333333333337</v>
      </c>
    </row>
    <row r="35" spans="1:9" ht="15.75" hidden="1" customHeight="1">
      <c r="A35" s="44"/>
      <c r="B35" s="143" t="s">
        <v>87</v>
      </c>
      <c r="C35" s="144" t="s">
        <v>35</v>
      </c>
      <c r="D35" s="143" t="s">
        <v>89</v>
      </c>
      <c r="E35" s="145"/>
      <c r="F35" s="146">
        <v>2</v>
      </c>
      <c r="G35" s="146">
        <v>204.52</v>
      </c>
      <c r="H35" s="147">
        <f t="shared" si="1"/>
        <v>0.40904000000000001</v>
      </c>
      <c r="I35" s="19">
        <v>0</v>
      </c>
    </row>
    <row r="36" spans="1:9" ht="15.75" hidden="1" customHeight="1">
      <c r="A36" s="44"/>
      <c r="B36" s="143" t="s">
        <v>207</v>
      </c>
      <c r="C36" s="144" t="s">
        <v>34</v>
      </c>
      <c r="D36" s="143" t="s">
        <v>89</v>
      </c>
      <c r="E36" s="145"/>
      <c r="F36" s="146">
        <v>1</v>
      </c>
      <c r="G36" s="146">
        <v>1214.74</v>
      </c>
      <c r="H36" s="147">
        <f t="shared" si="1"/>
        <v>1.2147399999999999</v>
      </c>
      <c r="I36" s="19">
        <v>0</v>
      </c>
    </row>
    <row r="37" spans="1:9" ht="15.75" hidden="1" customHeight="1">
      <c r="A37" s="44"/>
      <c r="B37" s="164" t="s">
        <v>5</v>
      </c>
      <c r="C37" s="144"/>
      <c r="D37" s="143"/>
      <c r="E37" s="145"/>
      <c r="F37" s="146"/>
      <c r="G37" s="146"/>
      <c r="H37" s="147" t="s">
        <v>208</v>
      </c>
      <c r="I37" s="19"/>
    </row>
    <row r="38" spans="1:9" ht="15.75" hidden="1" customHeight="1">
      <c r="A38" s="44">
        <v>6</v>
      </c>
      <c r="B38" s="143" t="s">
        <v>29</v>
      </c>
      <c r="C38" s="144" t="s">
        <v>34</v>
      </c>
      <c r="D38" s="143"/>
      <c r="E38" s="145"/>
      <c r="F38" s="146">
        <v>10</v>
      </c>
      <c r="G38" s="146">
        <v>1632.6</v>
      </c>
      <c r="H38" s="147">
        <f t="shared" ref="H38:H45" si="3">SUM(F38*G38/1000)</f>
        <v>16.326000000000001</v>
      </c>
      <c r="I38" s="19">
        <f>F38/6*G38</f>
        <v>2721</v>
      </c>
    </row>
    <row r="39" spans="1:9" ht="15.75" hidden="1" customHeight="1">
      <c r="A39" s="44">
        <v>7</v>
      </c>
      <c r="B39" s="143" t="s">
        <v>209</v>
      </c>
      <c r="C39" s="144" t="s">
        <v>32</v>
      </c>
      <c r="D39" s="143" t="s">
        <v>210</v>
      </c>
      <c r="E39" s="146">
        <v>172.55</v>
      </c>
      <c r="F39" s="146">
        <f>SUM(E39*12/1000)</f>
        <v>2.0706000000000002</v>
      </c>
      <c r="G39" s="146">
        <v>2247.8000000000002</v>
      </c>
      <c r="H39" s="147">
        <f t="shared" si="3"/>
        <v>4.6542946800000005</v>
      </c>
      <c r="I39" s="19">
        <f>F39/6*G39</f>
        <v>775.71578000000011</v>
      </c>
    </row>
    <row r="40" spans="1:9" ht="15.75" hidden="1" customHeight="1">
      <c r="A40" s="44">
        <v>8</v>
      </c>
      <c r="B40" s="143" t="s">
        <v>211</v>
      </c>
      <c r="C40" s="144" t="s">
        <v>32</v>
      </c>
      <c r="D40" s="143" t="s">
        <v>162</v>
      </c>
      <c r="E40" s="145">
        <v>63.5</v>
      </c>
      <c r="F40" s="146">
        <v>1.91</v>
      </c>
      <c r="G40" s="146">
        <v>2247.8000000000002</v>
      </c>
      <c r="H40" s="147">
        <f>G40*F40/1000</f>
        <v>4.2932980000000001</v>
      </c>
      <c r="I40" s="19">
        <f>F40/6*G40</f>
        <v>715.54966666666667</v>
      </c>
    </row>
    <row r="41" spans="1:9" ht="15.75" hidden="1" customHeight="1">
      <c r="A41" s="44"/>
      <c r="B41" s="143" t="s">
        <v>163</v>
      </c>
      <c r="C41" s="144" t="s">
        <v>164</v>
      </c>
      <c r="D41" s="143" t="s">
        <v>89</v>
      </c>
      <c r="E41" s="145"/>
      <c r="F41" s="146">
        <v>75</v>
      </c>
      <c r="G41" s="146">
        <v>213.2</v>
      </c>
      <c r="H41" s="147">
        <f>G41*F41/1000</f>
        <v>15.99</v>
      </c>
      <c r="I41" s="19">
        <v>0</v>
      </c>
    </row>
    <row r="42" spans="1:9" ht="15.75" hidden="1" customHeight="1">
      <c r="A42" s="44">
        <v>9</v>
      </c>
      <c r="B42" s="143" t="s">
        <v>92</v>
      </c>
      <c r="C42" s="144" t="s">
        <v>32</v>
      </c>
      <c r="D42" s="143" t="s">
        <v>165</v>
      </c>
      <c r="E42" s="146">
        <v>63.5</v>
      </c>
      <c r="F42" s="146">
        <f>SUM(E42*155/1000)</f>
        <v>9.8424999999999994</v>
      </c>
      <c r="G42" s="146">
        <v>374.95</v>
      </c>
      <c r="H42" s="147">
        <f t="shared" si="3"/>
        <v>3.6904453749999999</v>
      </c>
      <c r="I42" s="19">
        <f>F42/6*G42</f>
        <v>615.07422916666667</v>
      </c>
    </row>
    <row r="43" spans="1:9" ht="15.75" hidden="1" customHeight="1">
      <c r="A43" s="44">
        <v>10</v>
      </c>
      <c r="B43" s="143" t="s">
        <v>128</v>
      </c>
      <c r="C43" s="144" t="s">
        <v>166</v>
      </c>
      <c r="D43" s="143" t="s">
        <v>212</v>
      </c>
      <c r="E43" s="146">
        <v>63.5</v>
      </c>
      <c r="F43" s="146">
        <f>SUM(E43*24/1000)</f>
        <v>1.524</v>
      </c>
      <c r="G43" s="146">
        <v>6203.7</v>
      </c>
      <c r="H43" s="147">
        <f t="shared" si="3"/>
        <v>9.4544388000000001</v>
      </c>
      <c r="I43" s="19">
        <f>F43/6*G43</f>
        <v>1575.7398000000001</v>
      </c>
    </row>
    <row r="44" spans="1:9" ht="15.75" hidden="1" customHeight="1">
      <c r="A44" s="44">
        <v>11</v>
      </c>
      <c r="B44" s="143" t="s">
        <v>168</v>
      </c>
      <c r="C44" s="144" t="s">
        <v>166</v>
      </c>
      <c r="D44" s="143" t="s">
        <v>95</v>
      </c>
      <c r="E44" s="146">
        <v>63.5</v>
      </c>
      <c r="F44" s="146">
        <f>SUM(E44*45/1000)</f>
        <v>2.8574999999999999</v>
      </c>
      <c r="G44" s="146">
        <v>458.28</v>
      </c>
      <c r="H44" s="147">
        <f t="shared" si="3"/>
        <v>1.3095350999999997</v>
      </c>
      <c r="I44" s="19">
        <f>F44/6*G44</f>
        <v>218.25584999999998</v>
      </c>
    </row>
    <row r="45" spans="1:9" ht="15.75" hidden="1" customHeight="1">
      <c r="A45" s="44">
        <v>12</v>
      </c>
      <c r="B45" s="143" t="s">
        <v>96</v>
      </c>
      <c r="C45" s="144" t="s">
        <v>35</v>
      </c>
      <c r="D45" s="143"/>
      <c r="E45" s="145"/>
      <c r="F45" s="146">
        <v>0.9</v>
      </c>
      <c r="G45" s="146">
        <v>853.06</v>
      </c>
      <c r="H45" s="147">
        <f t="shared" si="3"/>
        <v>0.76775400000000005</v>
      </c>
      <c r="I45" s="19">
        <f>F45/6*G45</f>
        <v>127.95899999999999</v>
      </c>
    </row>
    <row r="46" spans="1:9" ht="15.75" hidden="1" customHeight="1">
      <c r="A46" s="186" t="s">
        <v>186</v>
      </c>
      <c r="B46" s="187"/>
      <c r="C46" s="187"/>
      <c r="D46" s="187"/>
      <c r="E46" s="187"/>
      <c r="F46" s="187"/>
      <c r="G46" s="187"/>
      <c r="H46" s="187"/>
      <c r="I46" s="188"/>
    </row>
    <row r="47" spans="1:9" ht="15.75" hidden="1" customHeight="1">
      <c r="A47" s="44"/>
      <c r="B47" s="143" t="s">
        <v>213</v>
      </c>
      <c r="C47" s="144" t="s">
        <v>166</v>
      </c>
      <c r="D47" s="143" t="s">
        <v>49</v>
      </c>
      <c r="E47" s="145">
        <v>881.3</v>
      </c>
      <c r="F47" s="146">
        <f>SUM(E47*2/1000)</f>
        <v>1.7625999999999999</v>
      </c>
      <c r="G47" s="19">
        <v>865.61</v>
      </c>
      <c r="H47" s="147">
        <f t="shared" ref="H47:H56" si="4">SUM(F47*G47/1000)</f>
        <v>1.5257241859999999</v>
      </c>
      <c r="I47" s="19">
        <v>0</v>
      </c>
    </row>
    <row r="48" spans="1:9" ht="15.75" hidden="1" customHeight="1">
      <c r="A48" s="44"/>
      <c r="B48" s="143" t="s">
        <v>39</v>
      </c>
      <c r="C48" s="144" t="s">
        <v>166</v>
      </c>
      <c r="D48" s="143" t="s">
        <v>49</v>
      </c>
      <c r="E48" s="145">
        <v>48</v>
      </c>
      <c r="F48" s="146">
        <f>SUM(E48*2/1000)</f>
        <v>9.6000000000000002E-2</v>
      </c>
      <c r="G48" s="19">
        <v>619.46</v>
      </c>
      <c r="H48" s="147">
        <f t="shared" si="4"/>
        <v>5.9468160000000006E-2</v>
      </c>
      <c r="I48" s="19">
        <v>0</v>
      </c>
    </row>
    <row r="49" spans="1:9" ht="15.75" hidden="1" customHeight="1">
      <c r="A49" s="44"/>
      <c r="B49" s="143" t="s">
        <v>40</v>
      </c>
      <c r="C49" s="144" t="s">
        <v>166</v>
      </c>
      <c r="D49" s="143" t="s">
        <v>49</v>
      </c>
      <c r="E49" s="145">
        <v>939.64</v>
      </c>
      <c r="F49" s="146">
        <f>SUM(E49*2/1000)</f>
        <v>1.8792800000000001</v>
      </c>
      <c r="G49" s="19">
        <v>619.46</v>
      </c>
      <c r="H49" s="147">
        <f t="shared" si="4"/>
        <v>1.1641387888000001</v>
      </c>
      <c r="I49" s="19">
        <v>0</v>
      </c>
    </row>
    <row r="50" spans="1:9" ht="15.75" hidden="1" customHeight="1">
      <c r="A50" s="44"/>
      <c r="B50" s="143" t="s">
        <v>41</v>
      </c>
      <c r="C50" s="144" t="s">
        <v>166</v>
      </c>
      <c r="D50" s="143" t="s">
        <v>49</v>
      </c>
      <c r="E50" s="145">
        <v>1247.3699999999999</v>
      </c>
      <c r="F50" s="146">
        <f>SUM(E50*2/1000)</f>
        <v>2.4947399999999997</v>
      </c>
      <c r="G50" s="19">
        <v>648.64</v>
      </c>
      <c r="H50" s="147">
        <f t="shared" si="4"/>
        <v>1.6181881535999998</v>
      </c>
      <c r="I50" s="19">
        <v>0</v>
      </c>
    </row>
    <row r="51" spans="1:9" ht="15.75" hidden="1" customHeight="1">
      <c r="A51" s="44"/>
      <c r="B51" s="143" t="s">
        <v>37</v>
      </c>
      <c r="C51" s="144" t="s">
        <v>38</v>
      </c>
      <c r="D51" s="143" t="s">
        <v>49</v>
      </c>
      <c r="E51" s="145">
        <v>65.03</v>
      </c>
      <c r="F51" s="146">
        <f>SUM(E51*2/100)</f>
        <v>1.3006</v>
      </c>
      <c r="G51" s="19">
        <v>77.84</v>
      </c>
      <c r="H51" s="147">
        <f t="shared" si="4"/>
        <v>0.101238704</v>
      </c>
      <c r="I51" s="19">
        <v>0</v>
      </c>
    </row>
    <row r="52" spans="1:9" ht="15.75" hidden="1" customHeight="1">
      <c r="A52" s="44">
        <v>13</v>
      </c>
      <c r="B52" s="143" t="s">
        <v>71</v>
      </c>
      <c r="C52" s="144" t="s">
        <v>166</v>
      </c>
      <c r="D52" s="143" t="s">
        <v>239</v>
      </c>
      <c r="E52" s="145">
        <v>702</v>
      </c>
      <c r="F52" s="146">
        <f>SUM(E52*5/1000)</f>
        <v>3.51</v>
      </c>
      <c r="G52" s="19">
        <v>1297.28</v>
      </c>
      <c r="H52" s="147">
        <f t="shared" si="4"/>
        <v>4.5534527999999996</v>
      </c>
      <c r="I52" s="19">
        <f>F52/5*G52</f>
        <v>910.69055999999989</v>
      </c>
    </row>
    <row r="53" spans="1:9" ht="31.5" hidden="1" customHeight="1">
      <c r="A53" s="44"/>
      <c r="B53" s="143" t="s">
        <v>154</v>
      </c>
      <c r="C53" s="144" t="s">
        <v>166</v>
      </c>
      <c r="D53" s="143" t="s">
        <v>49</v>
      </c>
      <c r="E53" s="145">
        <v>702</v>
      </c>
      <c r="F53" s="146">
        <f>SUM(E53*2/1000)</f>
        <v>1.4039999999999999</v>
      </c>
      <c r="G53" s="19">
        <v>1297.28</v>
      </c>
      <c r="H53" s="147">
        <f t="shared" si="4"/>
        <v>1.8213811199999999</v>
      </c>
      <c r="I53" s="19">
        <v>0</v>
      </c>
    </row>
    <row r="54" spans="1:9" ht="31.5" hidden="1" customHeight="1">
      <c r="A54" s="44"/>
      <c r="B54" s="143" t="s">
        <v>155</v>
      </c>
      <c r="C54" s="144" t="s">
        <v>44</v>
      </c>
      <c r="D54" s="143" t="s">
        <v>49</v>
      </c>
      <c r="E54" s="145">
        <v>12</v>
      </c>
      <c r="F54" s="146">
        <f>SUM(E54*2/100)</f>
        <v>0.24</v>
      </c>
      <c r="G54" s="19">
        <v>2918.89</v>
      </c>
      <c r="H54" s="147">
        <f t="shared" si="4"/>
        <v>0.70053359999999998</v>
      </c>
      <c r="I54" s="19">
        <v>0</v>
      </c>
    </row>
    <row r="55" spans="1:9" ht="15.75" hidden="1" customHeight="1">
      <c r="A55" s="44"/>
      <c r="B55" s="143" t="s">
        <v>45</v>
      </c>
      <c r="C55" s="144" t="s">
        <v>46</v>
      </c>
      <c r="D55" s="143" t="s">
        <v>49</v>
      </c>
      <c r="E55" s="145">
        <v>1</v>
      </c>
      <c r="F55" s="146">
        <v>0.02</v>
      </c>
      <c r="G55" s="19">
        <v>6042.12</v>
      </c>
      <c r="H55" s="147">
        <f t="shared" si="4"/>
        <v>0.1208424</v>
      </c>
      <c r="I55" s="19">
        <v>0</v>
      </c>
    </row>
    <row r="56" spans="1:9" ht="15.75" hidden="1" customHeight="1">
      <c r="A56" s="44">
        <v>14</v>
      </c>
      <c r="B56" s="143" t="s">
        <v>48</v>
      </c>
      <c r="C56" s="144" t="s">
        <v>140</v>
      </c>
      <c r="D56" s="143" t="s">
        <v>97</v>
      </c>
      <c r="E56" s="145">
        <v>72</v>
      </c>
      <c r="F56" s="146">
        <f>SUM(E56)*3</f>
        <v>216</v>
      </c>
      <c r="G56" s="19">
        <v>70.209999999999994</v>
      </c>
      <c r="H56" s="147">
        <f t="shared" si="4"/>
        <v>15.165359999999998</v>
      </c>
      <c r="I56" s="19">
        <f>E56*G56</f>
        <v>5055.12</v>
      </c>
    </row>
    <row r="57" spans="1:9" ht="15.75" hidden="1" customHeight="1">
      <c r="A57" s="186" t="s">
        <v>187</v>
      </c>
      <c r="B57" s="187"/>
      <c r="C57" s="187"/>
      <c r="D57" s="187"/>
      <c r="E57" s="187"/>
      <c r="F57" s="187"/>
      <c r="G57" s="187"/>
      <c r="H57" s="187"/>
      <c r="I57" s="188"/>
    </row>
    <row r="58" spans="1:9" ht="15.75" hidden="1" customHeight="1">
      <c r="A58" s="44"/>
      <c r="B58" s="164" t="s">
        <v>50</v>
      </c>
      <c r="C58" s="144"/>
      <c r="D58" s="143"/>
      <c r="E58" s="145"/>
      <c r="F58" s="146"/>
      <c r="G58" s="146"/>
      <c r="H58" s="147"/>
      <c r="I58" s="19"/>
    </row>
    <row r="59" spans="1:9" ht="31.5" hidden="1" customHeight="1">
      <c r="A59" s="44">
        <v>15</v>
      </c>
      <c r="B59" s="143" t="s">
        <v>214</v>
      </c>
      <c r="C59" s="144" t="s">
        <v>148</v>
      </c>
      <c r="D59" s="143" t="s">
        <v>215</v>
      </c>
      <c r="E59" s="145">
        <v>106.13</v>
      </c>
      <c r="F59" s="146">
        <f>SUM(E59*6/100)</f>
        <v>6.3677999999999999</v>
      </c>
      <c r="G59" s="19">
        <v>1456.95</v>
      </c>
      <c r="H59" s="147">
        <f>SUM(F59*G59/1000)</f>
        <v>9.2775662100000016</v>
      </c>
      <c r="I59" s="19">
        <f>F59/6*G59</f>
        <v>1546.261035</v>
      </c>
    </row>
    <row r="60" spans="1:9" ht="15.75" hidden="1" customHeight="1">
      <c r="A60" s="44"/>
      <c r="B60" s="164" t="s">
        <v>51</v>
      </c>
      <c r="C60" s="144"/>
      <c r="D60" s="143"/>
      <c r="E60" s="145"/>
      <c r="F60" s="146"/>
      <c r="G60" s="130"/>
      <c r="H60" s="147"/>
      <c r="I60" s="19"/>
    </row>
    <row r="61" spans="1:9" ht="15.75" hidden="1" customHeight="1">
      <c r="A61" s="44"/>
      <c r="B61" s="143" t="s">
        <v>216</v>
      </c>
      <c r="C61" s="144"/>
      <c r="D61" s="143" t="s">
        <v>63</v>
      </c>
      <c r="E61" s="145">
        <v>1036</v>
      </c>
      <c r="F61" s="147">
        <v>10.36</v>
      </c>
      <c r="G61" s="19">
        <v>848.37</v>
      </c>
      <c r="H61" s="152">
        <f>F61*G61/1000</f>
        <v>8.7891131999999992</v>
      </c>
      <c r="I61" s="19">
        <v>0</v>
      </c>
    </row>
    <row r="62" spans="1:9" ht="15.75" hidden="1" customHeight="1">
      <c r="A62" s="44"/>
      <c r="B62" s="165" t="s">
        <v>53</v>
      </c>
      <c r="C62" s="153"/>
      <c r="D62" s="154"/>
      <c r="E62" s="155"/>
      <c r="F62" s="156"/>
      <c r="G62" s="156"/>
      <c r="H62" s="157" t="s">
        <v>208</v>
      </c>
      <c r="I62" s="19"/>
    </row>
    <row r="63" spans="1:9" ht="15.75" hidden="1" customHeight="1">
      <c r="A63" s="44"/>
      <c r="B63" s="21" t="s">
        <v>54</v>
      </c>
      <c r="C63" s="23" t="s">
        <v>140</v>
      </c>
      <c r="D63" s="21" t="s">
        <v>89</v>
      </c>
      <c r="E63" s="26">
        <v>10</v>
      </c>
      <c r="F63" s="146">
        <v>10</v>
      </c>
      <c r="G63" s="19">
        <v>237.74</v>
      </c>
      <c r="H63" s="141">
        <f t="shared" ref="H63:H75" si="5">SUM(F63*G63/1000)</f>
        <v>2.3774000000000002</v>
      </c>
      <c r="I63" s="19">
        <v>0</v>
      </c>
    </row>
    <row r="64" spans="1:9" ht="15.75" hidden="1" customHeight="1">
      <c r="A64" s="44"/>
      <c r="B64" s="21" t="s">
        <v>55</v>
      </c>
      <c r="C64" s="23" t="s">
        <v>140</v>
      </c>
      <c r="D64" s="21" t="s">
        <v>89</v>
      </c>
      <c r="E64" s="26">
        <v>5</v>
      </c>
      <c r="F64" s="146">
        <v>5</v>
      </c>
      <c r="G64" s="19">
        <v>81.510000000000005</v>
      </c>
      <c r="H64" s="141">
        <f t="shared" si="5"/>
        <v>0.40755000000000002</v>
      </c>
      <c r="I64" s="19">
        <v>0</v>
      </c>
    </row>
    <row r="65" spans="1:9" ht="15.75" hidden="1" customHeight="1">
      <c r="A65" s="44"/>
      <c r="B65" s="21" t="s">
        <v>56</v>
      </c>
      <c r="C65" s="23" t="s">
        <v>217</v>
      </c>
      <c r="D65" s="21" t="s">
        <v>63</v>
      </c>
      <c r="E65" s="145">
        <v>8607</v>
      </c>
      <c r="F65" s="19">
        <f>SUM(E65/100)</f>
        <v>86.07</v>
      </c>
      <c r="G65" s="19">
        <v>226.79</v>
      </c>
      <c r="H65" s="141">
        <f t="shared" si="5"/>
        <v>19.519815299999998</v>
      </c>
      <c r="I65" s="19">
        <v>0</v>
      </c>
    </row>
    <row r="66" spans="1:9" ht="15.75" hidden="1" customHeight="1">
      <c r="A66" s="44"/>
      <c r="B66" s="21" t="s">
        <v>57</v>
      </c>
      <c r="C66" s="23" t="s">
        <v>218</v>
      </c>
      <c r="D66" s="21"/>
      <c r="E66" s="145">
        <v>8607</v>
      </c>
      <c r="F66" s="19">
        <f>SUM(E66/1000)</f>
        <v>8.6069999999999993</v>
      </c>
      <c r="G66" s="19">
        <v>176.61</v>
      </c>
      <c r="H66" s="141">
        <f t="shared" si="5"/>
        <v>1.5200822700000001</v>
      </c>
      <c r="I66" s="19">
        <v>0</v>
      </c>
    </row>
    <row r="67" spans="1:9" ht="15.75" hidden="1" customHeight="1">
      <c r="A67" s="44"/>
      <c r="B67" s="21" t="s">
        <v>58</v>
      </c>
      <c r="C67" s="23" t="s">
        <v>107</v>
      </c>
      <c r="D67" s="21" t="s">
        <v>63</v>
      </c>
      <c r="E67" s="145">
        <v>1370</v>
      </c>
      <c r="F67" s="19">
        <f>SUM(E67/100)</f>
        <v>13.7</v>
      </c>
      <c r="G67" s="19">
        <v>2217.7800000000002</v>
      </c>
      <c r="H67" s="141">
        <f t="shared" si="5"/>
        <v>30.383586000000005</v>
      </c>
      <c r="I67" s="19">
        <v>0</v>
      </c>
    </row>
    <row r="68" spans="1:9" ht="15.75" hidden="1" customHeight="1">
      <c r="A68" s="44"/>
      <c r="B68" s="158" t="s">
        <v>219</v>
      </c>
      <c r="C68" s="23" t="s">
        <v>35</v>
      </c>
      <c r="D68" s="21"/>
      <c r="E68" s="145">
        <v>7.8</v>
      </c>
      <c r="F68" s="19">
        <f>SUM(E68)</f>
        <v>7.8</v>
      </c>
      <c r="G68" s="19">
        <v>42.67</v>
      </c>
      <c r="H68" s="141">
        <f t="shared" si="5"/>
        <v>0.33282600000000001</v>
      </c>
      <c r="I68" s="19">
        <v>0</v>
      </c>
    </row>
    <row r="69" spans="1:9" ht="15.75" hidden="1" customHeight="1">
      <c r="A69" s="44"/>
      <c r="B69" s="158" t="s">
        <v>220</v>
      </c>
      <c r="C69" s="23" t="s">
        <v>35</v>
      </c>
      <c r="D69" s="21"/>
      <c r="E69" s="145">
        <v>7.8</v>
      </c>
      <c r="F69" s="19">
        <f>SUM(E69)</f>
        <v>7.8</v>
      </c>
      <c r="G69" s="19">
        <v>39.81</v>
      </c>
      <c r="H69" s="141">
        <f t="shared" si="5"/>
        <v>0.31051800000000002</v>
      </c>
      <c r="I69" s="19">
        <v>0</v>
      </c>
    </row>
    <row r="70" spans="1:9" ht="15.75" hidden="1" customHeight="1">
      <c r="A70" s="44"/>
      <c r="B70" s="21" t="s">
        <v>72</v>
      </c>
      <c r="C70" s="23" t="s">
        <v>73</v>
      </c>
      <c r="D70" s="21" t="s">
        <v>63</v>
      </c>
      <c r="E70" s="26">
        <v>3</v>
      </c>
      <c r="F70" s="146">
        <v>3</v>
      </c>
      <c r="G70" s="19">
        <v>53.32</v>
      </c>
      <c r="H70" s="141">
        <f t="shared" si="5"/>
        <v>0.15996000000000002</v>
      </c>
      <c r="I70" s="19">
        <v>0</v>
      </c>
    </row>
    <row r="71" spans="1:9" ht="15.75" hidden="1" customHeight="1">
      <c r="A71" s="44"/>
      <c r="B71" s="127" t="s">
        <v>101</v>
      </c>
      <c r="C71" s="23"/>
      <c r="D71" s="21"/>
      <c r="E71" s="26"/>
      <c r="F71" s="19"/>
      <c r="G71" s="19"/>
      <c r="H71" s="141" t="s">
        <v>208</v>
      </c>
      <c r="I71" s="19"/>
    </row>
    <row r="72" spans="1:9" ht="15.75" hidden="1" customHeight="1">
      <c r="A72" s="44"/>
      <c r="B72" s="21" t="s">
        <v>102</v>
      </c>
      <c r="C72" s="23" t="s">
        <v>104</v>
      </c>
      <c r="D72" s="21"/>
      <c r="E72" s="26">
        <v>2</v>
      </c>
      <c r="F72" s="19">
        <v>0.2</v>
      </c>
      <c r="G72" s="19">
        <v>536.23</v>
      </c>
      <c r="H72" s="141">
        <f t="shared" si="5"/>
        <v>0.10724600000000001</v>
      </c>
      <c r="I72" s="19">
        <v>0</v>
      </c>
    </row>
    <row r="73" spans="1:9" ht="15.75" hidden="1" customHeight="1">
      <c r="A73" s="44"/>
      <c r="B73" s="21" t="s">
        <v>103</v>
      </c>
      <c r="C73" s="23" t="s">
        <v>33</v>
      </c>
      <c r="D73" s="21"/>
      <c r="E73" s="26">
        <v>1</v>
      </c>
      <c r="F73" s="130">
        <v>1</v>
      </c>
      <c r="G73" s="19">
        <v>911.85</v>
      </c>
      <c r="H73" s="141">
        <f>F73*G73/1000</f>
        <v>0.91185000000000005</v>
      </c>
      <c r="I73" s="19">
        <v>0</v>
      </c>
    </row>
    <row r="74" spans="1:9" ht="15.75" hidden="1" customHeight="1">
      <c r="A74" s="44"/>
      <c r="B74" s="160" t="s">
        <v>105</v>
      </c>
      <c r="C74" s="23"/>
      <c r="D74" s="21"/>
      <c r="E74" s="26"/>
      <c r="F74" s="19"/>
      <c r="G74" s="19" t="s">
        <v>208</v>
      </c>
      <c r="H74" s="141" t="s">
        <v>208</v>
      </c>
      <c r="I74" s="19"/>
    </row>
    <row r="75" spans="1:9" ht="15.75" hidden="1" customHeight="1">
      <c r="A75" s="44"/>
      <c r="B75" s="81" t="s">
        <v>240</v>
      </c>
      <c r="C75" s="23" t="s">
        <v>107</v>
      </c>
      <c r="D75" s="21"/>
      <c r="E75" s="26"/>
      <c r="F75" s="19">
        <v>1</v>
      </c>
      <c r="G75" s="19">
        <v>2831.38</v>
      </c>
      <c r="H75" s="141">
        <f t="shared" si="5"/>
        <v>2.8313800000000002</v>
      </c>
      <c r="I75" s="19">
        <v>0</v>
      </c>
    </row>
    <row r="76" spans="1:9" ht="15.75" hidden="1" customHeight="1">
      <c r="A76" s="44"/>
      <c r="B76" s="168" t="s">
        <v>158</v>
      </c>
      <c r="C76" s="168"/>
      <c r="D76" s="168"/>
      <c r="E76" s="168"/>
      <c r="F76" s="168"/>
      <c r="G76" s="149"/>
      <c r="H76" s="161">
        <f>SUM(H59:H75)</f>
        <v>76.928892980000001</v>
      </c>
      <c r="I76" s="149"/>
    </row>
    <row r="77" spans="1:9" ht="15.75" hidden="1" customHeight="1">
      <c r="A77" s="44"/>
      <c r="B77" s="166" t="s">
        <v>221</v>
      </c>
      <c r="C77" s="32"/>
      <c r="D77" s="31"/>
      <c r="E77" s="162"/>
      <c r="F77" s="167">
        <v>1</v>
      </c>
      <c r="G77" s="19">
        <v>7528.4</v>
      </c>
      <c r="H77" s="141">
        <f>G77*F77/1000</f>
        <v>7.5283999999999995</v>
      </c>
      <c r="I77" s="19">
        <v>0</v>
      </c>
    </row>
    <row r="78" spans="1:9" ht="15.75" customHeight="1">
      <c r="A78" s="186" t="s">
        <v>259</v>
      </c>
      <c r="B78" s="187"/>
      <c r="C78" s="187"/>
      <c r="D78" s="187"/>
      <c r="E78" s="187"/>
      <c r="F78" s="187"/>
      <c r="G78" s="187"/>
      <c r="H78" s="187"/>
      <c r="I78" s="188"/>
    </row>
    <row r="79" spans="1:9" ht="15.75" customHeight="1">
      <c r="A79" s="44">
        <v>9</v>
      </c>
      <c r="B79" s="143" t="s">
        <v>222</v>
      </c>
      <c r="C79" s="23" t="s">
        <v>68</v>
      </c>
      <c r="D79" s="163" t="s">
        <v>69</v>
      </c>
      <c r="E79" s="19">
        <v>2062.5</v>
      </c>
      <c r="F79" s="19">
        <f>SUM(E79*12)</f>
        <v>24750</v>
      </c>
      <c r="G79" s="19">
        <v>2.2400000000000002</v>
      </c>
      <c r="H79" s="141">
        <f>SUM(F79*G79/1000)</f>
        <v>55.440000000000005</v>
      </c>
      <c r="I79" s="19">
        <f>F79/12*G79</f>
        <v>4620</v>
      </c>
    </row>
    <row r="80" spans="1:9" ht="31.5" customHeight="1">
      <c r="A80" s="44">
        <v>10</v>
      </c>
      <c r="B80" s="21" t="s">
        <v>108</v>
      </c>
      <c r="C80" s="23"/>
      <c r="D80" s="163" t="s">
        <v>69</v>
      </c>
      <c r="E80" s="145">
        <f>E79</f>
        <v>2062.5</v>
      </c>
      <c r="F80" s="19">
        <f>E80*12</f>
        <v>24750</v>
      </c>
      <c r="G80" s="19">
        <v>1.74</v>
      </c>
      <c r="H80" s="141">
        <f>F80*G80/1000</f>
        <v>43.064999999999998</v>
      </c>
      <c r="I80" s="19">
        <f>F80/12*G80</f>
        <v>3588.75</v>
      </c>
    </row>
    <row r="81" spans="1:9" ht="15.75" customHeight="1">
      <c r="A81" s="44"/>
      <c r="B81" s="68" t="s">
        <v>115</v>
      </c>
      <c r="C81" s="160"/>
      <c r="D81" s="159"/>
      <c r="E81" s="149"/>
      <c r="F81" s="149"/>
      <c r="G81" s="149"/>
      <c r="H81" s="161">
        <f>H80</f>
        <v>43.064999999999998</v>
      </c>
      <c r="I81" s="149">
        <f>I16+I17+I18+I27+I28+I31+I32+I34+I79+I80</f>
        <v>26217.800856666669</v>
      </c>
    </row>
    <row r="82" spans="1:9" ht="15.75" customHeight="1">
      <c r="A82" s="44"/>
      <c r="B82" s="102" t="s">
        <v>76</v>
      </c>
      <c r="C82" s="23"/>
      <c r="D82" s="81"/>
      <c r="E82" s="19"/>
      <c r="F82" s="19"/>
      <c r="G82" s="19"/>
      <c r="H82" s="161" t="e">
        <f>SUM(H81+#REF!+H76+H57+H46+#REF!+H29)</f>
        <v>#REF!</v>
      </c>
      <c r="I82" s="19"/>
    </row>
    <row r="83" spans="1:9" ht="15.75" customHeight="1">
      <c r="A83" s="44">
        <v>11</v>
      </c>
      <c r="B83" s="95" t="s">
        <v>227</v>
      </c>
      <c r="C83" s="96" t="s">
        <v>228</v>
      </c>
      <c r="D83" s="81"/>
      <c r="E83" s="19"/>
      <c r="F83" s="19">
        <v>1.5</v>
      </c>
      <c r="G83" s="19">
        <v>1501</v>
      </c>
      <c r="H83" s="141">
        <f>G83*F83/1000</f>
        <v>2.2515000000000001</v>
      </c>
      <c r="I83" s="19">
        <f>G83</f>
        <v>1501</v>
      </c>
    </row>
    <row r="84" spans="1:9" ht="30.75" customHeight="1">
      <c r="A84" s="44">
        <v>12</v>
      </c>
      <c r="B84" s="95" t="s">
        <v>232</v>
      </c>
      <c r="C84" s="96" t="s">
        <v>171</v>
      </c>
      <c r="D84" s="81"/>
      <c r="E84" s="19"/>
      <c r="F84" s="19">
        <v>1</v>
      </c>
      <c r="G84" s="19">
        <v>476.76</v>
      </c>
      <c r="H84" s="141">
        <f t="shared" ref="H84:H86" si="6">G84*F84/1000</f>
        <v>0.47676000000000002</v>
      </c>
      <c r="I84" s="19">
        <f t="shared" ref="I84:I85" si="7">G84</f>
        <v>476.76</v>
      </c>
    </row>
    <row r="85" spans="1:9" ht="30.75" customHeight="1">
      <c r="A85" s="44">
        <v>13</v>
      </c>
      <c r="B85" s="95" t="s">
        <v>233</v>
      </c>
      <c r="C85" s="96" t="s">
        <v>171</v>
      </c>
      <c r="D85" s="81"/>
      <c r="E85" s="19"/>
      <c r="F85" s="19">
        <v>1</v>
      </c>
      <c r="G85" s="19">
        <v>968.53</v>
      </c>
      <c r="H85" s="141">
        <f t="shared" si="6"/>
        <v>0.96853</v>
      </c>
      <c r="I85" s="19">
        <f t="shared" si="7"/>
        <v>968.53</v>
      </c>
    </row>
    <row r="86" spans="1:9" ht="30.75" customHeight="1">
      <c r="A86" s="44">
        <v>14</v>
      </c>
      <c r="B86" s="95" t="s">
        <v>234</v>
      </c>
      <c r="C86" s="96" t="s">
        <v>235</v>
      </c>
      <c r="D86" s="81"/>
      <c r="E86" s="19"/>
      <c r="F86" s="19">
        <f>1.57/10</f>
        <v>0.157</v>
      </c>
      <c r="G86" s="19">
        <v>5641.28</v>
      </c>
      <c r="H86" s="141">
        <f t="shared" si="6"/>
        <v>0.88568095999999996</v>
      </c>
      <c r="I86" s="19">
        <f>G86*(1.57/10)</f>
        <v>885.68095999999991</v>
      </c>
    </row>
    <row r="87" spans="1:9" ht="15.75" customHeight="1">
      <c r="A87" s="44"/>
      <c r="B87" s="75" t="s">
        <v>60</v>
      </c>
      <c r="C87" s="71"/>
      <c r="D87" s="85"/>
      <c r="E87" s="71">
        <v>1</v>
      </c>
      <c r="F87" s="71"/>
      <c r="G87" s="71"/>
      <c r="H87" s="71"/>
      <c r="I87" s="52">
        <f>SUM(I83:I86)</f>
        <v>3831.9709599999996</v>
      </c>
    </row>
    <row r="88" spans="1:9">
      <c r="A88" s="44"/>
      <c r="B88" s="81" t="s">
        <v>109</v>
      </c>
      <c r="C88" s="22"/>
      <c r="D88" s="22"/>
      <c r="E88" s="72"/>
      <c r="F88" s="72"/>
      <c r="G88" s="73"/>
      <c r="H88" s="73"/>
      <c r="I88" s="25">
        <v>0</v>
      </c>
    </row>
    <row r="89" spans="1:9">
      <c r="A89" s="86"/>
      <c r="B89" s="76" t="s">
        <v>61</v>
      </c>
      <c r="C89" s="59"/>
      <c r="D89" s="59"/>
      <c r="E89" s="59"/>
      <c r="F89" s="59"/>
      <c r="G89" s="59"/>
      <c r="H89" s="59"/>
      <c r="I89" s="74">
        <f>I81+I87</f>
        <v>30049.771816666667</v>
      </c>
    </row>
    <row r="90" spans="1:9" ht="15.75" customHeight="1">
      <c r="A90" s="181" t="s">
        <v>260</v>
      </c>
      <c r="B90" s="181"/>
      <c r="C90" s="181"/>
      <c r="D90" s="181"/>
      <c r="E90" s="181"/>
      <c r="F90" s="181"/>
      <c r="G90" s="181"/>
      <c r="H90" s="181"/>
      <c r="I90" s="181"/>
    </row>
    <row r="91" spans="1:9" ht="15.75">
      <c r="A91" s="117"/>
      <c r="B91" s="182" t="s">
        <v>261</v>
      </c>
      <c r="C91" s="182"/>
      <c r="D91" s="182"/>
      <c r="E91" s="182"/>
      <c r="F91" s="182"/>
      <c r="G91" s="182"/>
      <c r="H91" s="135"/>
      <c r="I91" s="3"/>
    </row>
    <row r="92" spans="1:9">
      <c r="A92" s="116"/>
      <c r="B92" s="183" t="s">
        <v>6</v>
      </c>
      <c r="C92" s="183"/>
      <c r="D92" s="183"/>
      <c r="E92" s="183"/>
      <c r="F92" s="183"/>
      <c r="G92" s="183"/>
      <c r="H92" s="39"/>
      <c r="I92" s="5"/>
    </row>
    <row r="93" spans="1:9">
      <c r="A93" s="12"/>
      <c r="B93" s="12"/>
      <c r="C93" s="12"/>
      <c r="D93" s="12"/>
      <c r="E93" s="12"/>
      <c r="F93" s="12"/>
      <c r="G93" s="12"/>
      <c r="H93" s="12"/>
      <c r="I93" s="12"/>
    </row>
    <row r="94" spans="1:9" ht="15.75">
      <c r="A94" s="184" t="s">
        <v>7</v>
      </c>
      <c r="B94" s="184"/>
      <c r="C94" s="184"/>
      <c r="D94" s="184"/>
      <c r="E94" s="184"/>
      <c r="F94" s="184"/>
      <c r="G94" s="184"/>
      <c r="H94" s="184"/>
      <c r="I94" s="184"/>
    </row>
    <row r="95" spans="1:9" ht="15.75">
      <c r="A95" s="184" t="s">
        <v>8</v>
      </c>
      <c r="B95" s="184"/>
      <c r="C95" s="184"/>
      <c r="D95" s="184"/>
      <c r="E95" s="184"/>
      <c r="F95" s="184"/>
      <c r="G95" s="184"/>
      <c r="H95" s="184"/>
      <c r="I95" s="184"/>
    </row>
    <row r="96" spans="1:9" ht="15.75" customHeight="1">
      <c r="A96" s="185" t="s">
        <v>79</v>
      </c>
      <c r="B96" s="185"/>
      <c r="C96" s="185"/>
      <c r="D96" s="185"/>
      <c r="E96" s="185"/>
      <c r="F96" s="185"/>
      <c r="G96" s="185"/>
      <c r="H96" s="185"/>
      <c r="I96" s="185"/>
    </row>
    <row r="97" spans="1:9" ht="15.75">
      <c r="A97" s="13"/>
    </row>
    <row r="98" spans="1:9" ht="15.75">
      <c r="A98" s="191" t="s">
        <v>9</v>
      </c>
      <c r="B98" s="191"/>
      <c r="C98" s="191"/>
      <c r="D98" s="191"/>
      <c r="E98" s="191"/>
      <c r="F98" s="191"/>
      <c r="G98" s="191"/>
      <c r="H98" s="191"/>
      <c r="I98" s="191"/>
    </row>
    <row r="99" spans="1:9" ht="15.75">
      <c r="A99" s="4"/>
    </row>
    <row r="100" spans="1:9" ht="15.75" customHeight="1">
      <c r="B100" s="114" t="s">
        <v>10</v>
      </c>
      <c r="C100" s="192" t="s">
        <v>191</v>
      </c>
      <c r="D100" s="192"/>
      <c r="E100" s="192"/>
      <c r="F100" s="131"/>
      <c r="I100" s="115"/>
    </row>
    <row r="101" spans="1:9">
      <c r="A101" s="116"/>
      <c r="C101" s="183" t="s">
        <v>11</v>
      </c>
      <c r="D101" s="183"/>
      <c r="E101" s="183"/>
      <c r="F101" s="39"/>
      <c r="I101" s="113" t="s">
        <v>12</v>
      </c>
    </row>
    <row r="102" spans="1:9" ht="15.75">
      <c r="A102" s="40"/>
      <c r="C102" s="14"/>
      <c r="D102" s="14"/>
      <c r="G102" s="14"/>
      <c r="H102" s="14"/>
    </row>
    <row r="103" spans="1:9" ht="15.75" customHeight="1">
      <c r="B103" s="114" t="s">
        <v>13</v>
      </c>
      <c r="C103" s="178"/>
      <c r="D103" s="178"/>
      <c r="E103" s="178"/>
      <c r="F103" s="132"/>
      <c r="I103" s="115"/>
    </row>
    <row r="104" spans="1:9">
      <c r="A104" s="116"/>
      <c r="C104" s="179" t="s">
        <v>11</v>
      </c>
      <c r="D104" s="179"/>
      <c r="E104" s="179"/>
      <c r="F104" s="116"/>
      <c r="I104" s="113" t="s">
        <v>12</v>
      </c>
    </row>
    <row r="105" spans="1:9" ht="15.75">
      <c r="A105" s="4" t="s">
        <v>14</v>
      </c>
    </row>
    <row r="106" spans="1:9">
      <c r="A106" s="180" t="s">
        <v>15</v>
      </c>
      <c r="B106" s="180"/>
      <c r="C106" s="180"/>
      <c r="D106" s="180"/>
      <c r="E106" s="180"/>
      <c r="F106" s="180"/>
      <c r="G106" s="180"/>
      <c r="H106" s="180"/>
      <c r="I106" s="180"/>
    </row>
    <row r="107" spans="1:9" ht="45" customHeight="1">
      <c r="A107" s="190" t="s">
        <v>16</v>
      </c>
      <c r="B107" s="190"/>
      <c r="C107" s="190"/>
      <c r="D107" s="190"/>
      <c r="E107" s="190"/>
      <c r="F107" s="190"/>
      <c r="G107" s="190"/>
      <c r="H107" s="190"/>
      <c r="I107" s="190"/>
    </row>
    <row r="108" spans="1:9" ht="30" customHeight="1">
      <c r="A108" s="190" t="s">
        <v>17</v>
      </c>
      <c r="B108" s="190"/>
      <c r="C108" s="190"/>
      <c r="D108" s="190"/>
      <c r="E108" s="190"/>
      <c r="F108" s="190"/>
      <c r="G108" s="190"/>
      <c r="H108" s="190"/>
      <c r="I108" s="190"/>
    </row>
    <row r="109" spans="1:9" ht="30" customHeight="1">
      <c r="A109" s="190" t="s">
        <v>22</v>
      </c>
      <c r="B109" s="190"/>
      <c r="C109" s="190"/>
      <c r="D109" s="190"/>
      <c r="E109" s="190"/>
      <c r="F109" s="190"/>
      <c r="G109" s="190"/>
      <c r="H109" s="190"/>
      <c r="I109" s="190"/>
    </row>
    <row r="110" spans="1:9" ht="15" customHeight="1">
      <c r="A110" s="190" t="s">
        <v>21</v>
      </c>
      <c r="B110" s="190"/>
      <c r="C110" s="190"/>
      <c r="D110" s="190"/>
      <c r="E110" s="190"/>
      <c r="F110" s="190"/>
      <c r="G110" s="190"/>
      <c r="H110" s="190"/>
      <c r="I110" s="190"/>
    </row>
    <row r="177" spans="1:9" ht="15.75">
      <c r="A177" s="4" t="s">
        <v>14</v>
      </c>
    </row>
    <row r="178" spans="1:9">
      <c r="A178" s="180" t="s">
        <v>15</v>
      </c>
      <c r="B178" s="180"/>
      <c r="C178" s="180"/>
      <c r="D178" s="180"/>
      <c r="E178" s="180"/>
      <c r="F178" s="180"/>
      <c r="G178" s="180"/>
      <c r="H178" s="180"/>
      <c r="I178" s="180"/>
    </row>
    <row r="179" spans="1:9" ht="16.5" customHeight="1">
      <c r="A179" s="189" t="s">
        <v>16</v>
      </c>
      <c r="B179" s="189"/>
      <c r="C179" s="189"/>
      <c r="D179" s="189"/>
      <c r="E179" s="189"/>
      <c r="F179" s="189"/>
      <c r="G179" s="189"/>
      <c r="H179" s="189"/>
      <c r="I179" s="189"/>
    </row>
    <row r="180" spans="1:9" ht="16.5" customHeight="1">
      <c r="A180" s="189" t="s">
        <v>17</v>
      </c>
      <c r="B180" s="189"/>
      <c r="C180" s="189"/>
      <c r="D180" s="189"/>
      <c r="E180" s="189"/>
      <c r="F180" s="189"/>
      <c r="G180" s="189"/>
      <c r="H180" s="189"/>
      <c r="I180" s="189"/>
    </row>
    <row r="181" spans="1:9" ht="16.5" customHeight="1">
      <c r="A181" s="189" t="s">
        <v>22</v>
      </c>
      <c r="B181" s="189"/>
      <c r="C181" s="189"/>
      <c r="D181" s="189"/>
      <c r="E181" s="189"/>
      <c r="F181" s="189"/>
      <c r="G181" s="189"/>
      <c r="H181" s="189"/>
      <c r="I181" s="189"/>
    </row>
    <row r="182" spans="1:9" ht="16.5" customHeight="1">
      <c r="A182" s="189" t="s">
        <v>21</v>
      </c>
      <c r="B182" s="189"/>
      <c r="C182" s="189"/>
      <c r="D182" s="189"/>
      <c r="E182" s="189"/>
      <c r="F182" s="189"/>
      <c r="G182" s="189"/>
      <c r="H182" s="189"/>
      <c r="I182" s="189"/>
    </row>
    <row r="184" spans="1:9">
      <c r="A184" s="15" t="s">
        <v>20</v>
      </c>
      <c r="B184" s="15"/>
      <c r="C184" s="15"/>
      <c r="D184" s="15"/>
      <c r="E184" s="15"/>
      <c r="F184" s="15"/>
      <c r="G184" s="15"/>
      <c r="H184" s="15"/>
    </row>
  </sheetData>
  <mergeCells count="32">
    <mergeCell ref="A181:I181"/>
    <mergeCell ref="A182:I182"/>
    <mergeCell ref="A108:I108"/>
    <mergeCell ref="A109:I109"/>
    <mergeCell ref="A110:I110"/>
    <mergeCell ref="A178:I178"/>
    <mergeCell ref="A179:I179"/>
    <mergeCell ref="A180:I180"/>
    <mergeCell ref="A107:I107"/>
    <mergeCell ref="B91:G91"/>
    <mergeCell ref="B92:G92"/>
    <mergeCell ref="A94:I94"/>
    <mergeCell ref="A95:I95"/>
    <mergeCell ref="A96:I96"/>
    <mergeCell ref="A98:I98"/>
    <mergeCell ref="C100:E100"/>
    <mergeCell ref="C101:E101"/>
    <mergeCell ref="C103:E103"/>
    <mergeCell ref="C104:E104"/>
    <mergeCell ref="A106:I106"/>
    <mergeCell ref="A90:I90"/>
    <mergeCell ref="A3:I3"/>
    <mergeCell ref="A4:I4"/>
    <mergeCell ref="A5:I5"/>
    <mergeCell ref="A8:I8"/>
    <mergeCell ref="A10:I10"/>
    <mergeCell ref="A14:I14"/>
    <mergeCell ref="A15:I15"/>
    <mergeCell ref="A29:I29"/>
    <mergeCell ref="A46:I46"/>
    <mergeCell ref="A57:I57"/>
    <mergeCell ref="A78:I78"/>
  </mergeCells>
  <pageMargins left="0.70866141732283472" right="0.70866141732283472" top="0.27559055118110237" bottom="0.27559055118110237" header="0.31496062992125984" footer="0.31496062992125984"/>
  <pageSetup paperSize="9" scale="60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I181"/>
  <sheetViews>
    <sheetView workbookViewId="0">
      <selection activeCell="A4" sqref="A4:I4"/>
    </sheetView>
  </sheetViews>
  <sheetFormatPr defaultRowHeight="15"/>
  <cols>
    <col min="1" max="1" width="6.42578125" customWidth="1"/>
    <col min="2" max="2" width="53.140625" customWidth="1"/>
    <col min="3" max="3" width="18.5703125" customWidth="1"/>
    <col min="4" max="4" width="18.28515625" customWidth="1"/>
    <col min="5" max="6" width="0" hidden="1" customWidth="1"/>
    <col min="7" max="7" width="22.5703125" customWidth="1"/>
    <col min="8" max="8" width="22.5703125" hidden="1" customWidth="1"/>
    <col min="9" max="9" width="22.5703125" customWidth="1"/>
  </cols>
  <sheetData>
    <row r="1" spans="1:9" ht="15.75">
      <c r="A1" s="42" t="s">
        <v>136</v>
      </c>
      <c r="I1" s="41"/>
    </row>
    <row r="2" spans="1:9" ht="15.75">
      <c r="A2" s="43" t="s">
        <v>82</v>
      </c>
    </row>
    <row r="3" spans="1:9" ht="15.75">
      <c r="A3" s="172" t="s">
        <v>262</v>
      </c>
      <c r="B3" s="172"/>
      <c r="C3" s="172"/>
      <c r="D3" s="172"/>
      <c r="E3" s="172"/>
      <c r="F3" s="172"/>
      <c r="G3" s="172"/>
      <c r="H3" s="172"/>
      <c r="I3" s="172"/>
    </row>
    <row r="4" spans="1:9" ht="31.5" customHeight="1">
      <c r="A4" s="173" t="s">
        <v>280</v>
      </c>
      <c r="B4" s="173"/>
      <c r="C4" s="173"/>
      <c r="D4" s="173"/>
      <c r="E4" s="173"/>
      <c r="F4" s="173"/>
      <c r="G4" s="173"/>
      <c r="H4" s="173"/>
      <c r="I4" s="173"/>
    </row>
    <row r="5" spans="1:9" ht="15.75">
      <c r="A5" s="172" t="s">
        <v>126</v>
      </c>
      <c r="B5" s="174"/>
      <c r="C5" s="174"/>
      <c r="D5" s="174"/>
      <c r="E5" s="174"/>
      <c r="F5" s="174"/>
      <c r="G5" s="174"/>
      <c r="H5" s="174"/>
      <c r="I5" s="174"/>
    </row>
    <row r="6" spans="1:9" ht="15.75">
      <c r="A6" s="2"/>
      <c r="B6" s="112"/>
      <c r="C6" s="112"/>
      <c r="D6" s="112"/>
      <c r="E6" s="112"/>
      <c r="F6" s="112"/>
      <c r="G6" s="112"/>
      <c r="H6" s="112"/>
      <c r="I6" s="45">
        <v>42582</v>
      </c>
    </row>
    <row r="7" spans="1:9" ht="15.75">
      <c r="B7" s="114"/>
      <c r="C7" s="114"/>
      <c r="D7" s="114"/>
      <c r="E7" s="3"/>
      <c r="F7" s="3"/>
      <c r="G7" s="3"/>
      <c r="H7" s="3"/>
    </row>
    <row r="8" spans="1:9" ht="78.75" customHeight="1">
      <c r="A8" s="175" t="s">
        <v>246</v>
      </c>
      <c r="B8" s="175"/>
      <c r="C8" s="175"/>
      <c r="D8" s="175"/>
      <c r="E8" s="175"/>
      <c r="F8" s="175"/>
      <c r="G8" s="175"/>
      <c r="H8" s="175"/>
      <c r="I8" s="175"/>
    </row>
    <row r="9" spans="1:9" ht="15.75">
      <c r="A9" s="4"/>
    </row>
    <row r="10" spans="1:9" ht="47.25" customHeight="1">
      <c r="A10" s="176" t="s">
        <v>190</v>
      </c>
      <c r="B10" s="176"/>
      <c r="C10" s="176"/>
      <c r="D10" s="176"/>
      <c r="E10" s="176"/>
      <c r="F10" s="176"/>
      <c r="G10" s="176"/>
      <c r="H10" s="176"/>
      <c r="I10" s="176"/>
    </row>
    <row r="11" spans="1:9" ht="15.75">
      <c r="A11" s="4"/>
    </row>
    <row r="12" spans="1:9" ht="47.25" customHeight="1">
      <c r="A12" s="8" t="s">
        <v>0</v>
      </c>
      <c r="B12" s="8" t="s">
        <v>1</v>
      </c>
      <c r="C12" s="8" t="s">
        <v>2</v>
      </c>
      <c r="D12" s="8" t="s">
        <v>18</v>
      </c>
      <c r="E12" s="8" t="s">
        <v>19</v>
      </c>
      <c r="F12" s="8"/>
      <c r="G12" s="8" t="s">
        <v>23</v>
      </c>
      <c r="H12" s="8"/>
      <c r="I12" s="8" t="s">
        <v>3</v>
      </c>
    </row>
    <row r="13" spans="1:9">
      <c r="A13" s="9">
        <v>1</v>
      </c>
      <c r="B13" s="9">
        <v>2</v>
      </c>
      <c r="C13" s="9">
        <v>3</v>
      </c>
      <c r="D13" s="9">
        <v>4</v>
      </c>
      <c r="E13" s="9">
        <v>5</v>
      </c>
      <c r="F13" s="9"/>
      <c r="G13" s="9">
        <v>5</v>
      </c>
      <c r="H13" s="9"/>
      <c r="I13" s="9">
        <v>6</v>
      </c>
    </row>
    <row r="14" spans="1:9" ht="15" customHeight="1">
      <c r="A14" s="177" t="s">
        <v>74</v>
      </c>
      <c r="B14" s="177"/>
      <c r="C14" s="177"/>
      <c r="D14" s="177"/>
      <c r="E14" s="177"/>
      <c r="F14" s="177"/>
      <c r="G14" s="177"/>
      <c r="H14" s="177"/>
      <c r="I14" s="177"/>
    </row>
    <row r="15" spans="1:9" ht="15" customHeight="1">
      <c r="A15" s="171" t="s">
        <v>4</v>
      </c>
      <c r="B15" s="171"/>
      <c r="C15" s="171"/>
      <c r="D15" s="171"/>
      <c r="E15" s="171"/>
      <c r="F15" s="171"/>
      <c r="G15" s="171"/>
      <c r="H15" s="171"/>
      <c r="I15" s="171"/>
    </row>
    <row r="16" spans="1:9" ht="31.5" customHeight="1">
      <c r="A16" s="44">
        <v>1</v>
      </c>
      <c r="B16" s="143" t="s">
        <v>147</v>
      </c>
      <c r="C16" s="144" t="s">
        <v>148</v>
      </c>
      <c r="D16" s="143" t="s">
        <v>149</v>
      </c>
      <c r="E16" s="145">
        <v>38.1</v>
      </c>
      <c r="F16" s="146">
        <f>SUM(E16*156/100)</f>
        <v>59.436000000000007</v>
      </c>
      <c r="G16" s="146">
        <v>187.48</v>
      </c>
      <c r="H16" s="147">
        <f t="shared" ref="H16:H26" si="0">SUM(F16*G16/1000)</f>
        <v>11.14306128</v>
      </c>
      <c r="I16" s="19">
        <f>F16/12*G16</f>
        <v>928.58843999999999</v>
      </c>
    </row>
    <row r="17" spans="1:9" ht="31.5" customHeight="1">
      <c r="A17" s="44">
        <v>2</v>
      </c>
      <c r="B17" s="143" t="s">
        <v>150</v>
      </c>
      <c r="C17" s="144" t="s">
        <v>148</v>
      </c>
      <c r="D17" s="143" t="s">
        <v>151</v>
      </c>
      <c r="E17" s="145">
        <v>114.4</v>
      </c>
      <c r="F17" s="146">
        <f>SUM(E17*104/100)</f>
        <v>118.976</v>
      </c>
      <c r="G17" s="146">
        <v>187.48</v>
      </c>
      <c r="H17" s="147">
        <f t="shared" si="0"/>
        <v>22.305620479999998</v>
      </c>
      <c r="I17" s="19">
        <f>F17/12*G17</f>
        <v>1858.8017066666666</v>
      </c>
    </row>
    <row r="18" spans="1:9" ht="31.5" customHeight="1">
      <c r="A18" s="44">
        <v>3</v>
      </c>
      <c r="B18" s="143" t="s">
        <v>152</v>
      </c>
      <c r="C18" s="144" t="s">
        <v>148</v>
      </c>
      <c r="D18" s="143" t="s">
        <v>153</v>
      </c>
      <c r="E18" s="145">
        <f>SUM(E16+E17)</f>
        <v>152.5</v>
      </c>
      <c r="F18" s="146">
        <f>SUM(E18*24/100)</f>
        <v>36.6</v>
      </c>
      <c r="G18" s="146">
        <v>539.30999999999995</v>
      </c>
      <c r="H18" s="147">
        <f t="shared" si="0"/>
        <v>19.738745999999999</v>
      </c>
      <c r="I18" s="19">
        <f>F18/12*G18</f>
        <v>1644.8955000000001</v>
      </c>
    </row>
    <row r="19" spans="1:9" ht="15.75" hidden="1" customHeight="1">
      <c r="A19" s="44">
        <v>4</v>
      </c>
      <c r="B19" s="143" t="s">
        <v>193</v>
      </c>
      <c r="C19" s="144" t="s">
        <v>194</v>
      </c>
      <c r="D19" s="143" t="s">
        <v>195</v>
      </c>
      <c r="E19" s="145">
        <v>32.4</v>
      </c>
      <c r="F19" s="146">
        <f>SUM(E19/10)</f>
        <v>3.2399999999999998</v>
      </c>
      <c r="G19" s="146">
        <v>181.91</v>
      </c>
      <c r="H19" s="147">
        <f t="shared" si="0"/>
        <v>0.58938839999999992</v>
      </c>
      <c r="I19" s="19">
        <v>0</v>
      </c>
    </row>
    <row r="20" spans="1:9" ht="15.75" hidden="1" customHeight="1">
      <c r="A20" s="44">
        <v>5</v>
      </c>
      <c r="B20" s="143" t="s">
        <v>196</v>
      </c>
      <c r="C20" s="144" t="s">
        <v>148</v>
      </c>
      <c r="D20" s="143" t="s">
        <v>49</v>
      </c>
      <c r="E20" s="145">
        <v>12.24</v>
      </c>
      <c r="F20" s="146">
        <f>SUM(E20*2/100)</f>
        <v>0.24480000000000002</v>
      </c>
      <c r="G20" s="146">
        <v>232.92</v>
      </c>
      <c r="H20" s="147">
        <f t="shared" si="0"/>
        <v>5.7018816E-2</v>
      </c>
      <c r="I20" s="19">
        <v>0</v>
      </c>
    </row>
    <row r="21" spans="1:9" ht="15.75" hidden="1" customHeight="1">
      <c r="A21" s="44">
        <v>6</v>
      </c>
      <c r="B21" s="143" t="s">
        <v>197</v>
      </c>
      <c r="C21" s="144" t="s">
        <v>148</v>
      </c>
      <c r="D21" s="143" t="s">
        <v>49</v>
      </c>
      <c r="E21" s="145">
        <v>10.08</v>
      </c>
      <c r="F21" s="146">
        <f>SUM(E21*2/100)</f>
        <v>0.2016</v>
      </c>
      <c r="G21" s="146">
        <v>231.03</v>
      </c>
      <c r="H21" s="147">
        <f t="shared" si="0"/>
        <v>4.6575648000000004E-2</v>
      </c>
      <c r="I21" s="19">
        <v>0</v>
      </c>
    </row>
    <row r="22" spans="1:9" ht="15.75" hidden="1" customHeight="1">
      <c r="A22" s="44">
        <v>7</v>
      </c>
      <c r="B22" s="143" t="s">
        <v>198</v>
      </c>
      <c r="C22" s="144" t="s">
        <v>62</v>
      </c>
      <c r="D22" s="143" t="s">
        <v>195</v>
      </c>
      <c r="E22" s="145">
        <v>293.76</v>
      </c>
      <c r="F22" s="146">
        <f>SUM(E22/100)</f>
        <v>2.9375999999999998</v>
      </c>
      <c r="G22" s="146">
        <v>287.83999999999997</v>
      </c>
      <c r="H22" s="147">
        <f t="shared" si="0"/>
        <v>0.84555878399999984</v>
      </c>
      <c r="I22" s="19">
        <v>0</v>
      </c>
    </row>
    <row r="23" spans="1:9" ht="15.75" hidden="1" customHeight="1">
      <c r="A23" s="44">
        <v>8</v>
      </c>
      <c r="B23" s="143" t="s">
        <v>199</v>
      </c>
      <c r="C23" s="144" t="s">
        <v>62</v>
      </c>
      <c r="D23" s="143" t="s">
        <v>195</v>
      </c>
      <c r="E23" s="148">
        <v>17.64</v>
      </c>
      <c r="F23" s="146">
        <f>SUM(E23/100)</f>
        <v>0.1764</v>
      </c>
      <c r="G23" s="146">
        <v>47.34</v>
      </c>
      <c r="H23" s="147">
        <f t="shared" si="0"/>
        <v>8.3507760000000007E-3</v>
      </c>
      <c r="I23" s="19">
        <v>0</v>
      </c>
    </row>
    <row r="24" spans="1:9" ht="15.75" hidden="1" customHeight="1">
      <c r="A24" s="44">
        <v>9</v>
      </c>
      <c r="B24" s="143" t="s">
        <v>200</v>
      </c>
      <c r="C24" s="144" t="s">
        <v>62</v>
      </c>
      <c r="D24" s="143" t="s">
        <v>201</v>
      </c>
      <c r="E24" s="145">
        <v>10.8</v>
      </c>
      <c r="F24" s="146">
        <f>E24/100</f>
        <v>0.10800000000000001</v>
      </c>
      <c r="G24" s="146">
        <v>416.62</v>
      </c>
      <c r="H24" s="147">
        <f t="shared" si="0"/>
        <v>4.4994960000000007E-2</v>
      </c>
      <c r="I24" s="19">
        <v>0</v>
      </c>
    </row>
    <row r="25" spans="1:9" ht="15.75" hidden="1" customHeight="1">
      <c r="A25" s="44">
        <v>10</v>
      </c>
      <c r="B25" s="143" t="s">
        <v>202</v>
      </c>
      <c r="C25" s="144" t="s">
        <v>62</v>
      </c>
      <c r="D25" s="143" t="s">
        <v>63</v>
      </c>
      <c r="E25" s="145">
        <v>12.6</v>
      </c>
      <c r="F25" s="146">
        <v>0.13</v>
      </c>
      <c r="G25" s="146">
        <v>231.03</v>
      </c>
      <c r="H25" s="147">
        <f>G25*F25/1000</f>
        <v>3.0033900000000002E-2</v>
      </c>
      <c r="I25" s="19">
        <v>0</v>
      </c>
    </row>
    <row r="26" spans="1:9" ht="15.75" hidden="1" customHeight="1">
      <c r="A26" s="44">
        <v>11</v>
      </c>
      <c r="B26" s="143" t="s">
        <v>203</v>
      </c>
      <c r="C26" s="144" t="s">
        <v>62</v>
      </c>
      <c r="D26" s="143" t="s">
        <v>195</v>
      </c>
      <c r="E26" s="145">
        <v>14.4</v>
      </c>
      <c r="F26" s="146">
        <f>SUM(E26/100)</f>
        <v>0.14400000000000002</v>
      </c>
      <c r="G26" s="146">
        <v>556.74</v>
      </c>
      <c r="H26" s="147">
        <f t="shared" si="0"/>
        <v>8.0170560000000016E-2</v>
      </c>
      <c r="I26" s="19">
        <v>0</v>
      </c>
    </row>
    <row r="27" spans="1:9" ht="15.75" customHeight="1">
      <c r="A27" s="44">
        <v>4</v>
      </c>
      <c r="B27" s="143" t="s">
        <v>86</v>
      </c>
      <c r="C27" s="144" t="s">
        <v>35</v>
      </c>
      <c r="D27" s="143" t="s">
        <v>206</v>
      </c>
      <c r="E27" s="145">
        <v>0.1</v>
      </c>
      <c r="F27" s="146">
        <f>SUM(E27*365)</f>
        <v>36.5</v>
      </c>
      <c r="G27" s="146">
        <v>157.18</v>
      </c>
      <c r="H27" s="147">
        <f>SUM(F27*G27/1000)</f>
        <v>5.737070000000001</v>
      </c>
      <c r="I27" s="19">
        <f>F27/12*G27</f>
        <v>478.08916666666664</v>
      </c>
    </row>
    <row r="28" spans="1:9" ht="15.75" customHeight="1">
      <c r="A28" s="44">
        <v>5</v>
      </c>
      <c r="B28" s="151" t="s">
        <v>24</v>
      </c>
      <c r="C28" s="144" t="s">
        <v>25</v>
      </c>
      <c r="D28" s="151" t="s">
        <v>208</v>
      </c>
      <c r="E28" s="145">
        <v>2062.5</v>
      </c>
      <c r="F28" s="146">
        <f>SUM(E28*12)</f>
        <v>24750</v>
      </c>
      <c r="G28" s="146">
        <v>5.53</v>
      </c>
      <c r="H28" s="147">
        <f>SUM(F28*G28/1000)</f>
        <v>136.86750000000001</v>
      </c>
      <c r="I28" s="19">
        <f>F28/12*G28</f>
        <v>11405.625</v>
      </c>
    </row>
    <row r="29" spans="1:9" ht="15.75" customHeight="1">
      <c r="A29" s="186" t="s">
        <v>130</v>
      </c>
      <c r="B29" s="187"/>
      <c r="C29" s="187"/>
      <c r="D29" s="187"/>
      <c r="E29" s="187"/>
      <c r="F29" s="187"/>
      <c r="G29" s="187"/>
      <c r="H29" s="187"/>
      <c r="I29" s="188"/>
    </row>
    <row r="30" spans="1:9" ht="15.75" customHeight="1">
      <c r="A30" s="44"/>
      <c r="B30" s="164" t="s">
        <v>31</v>
      </c>
      <c r="C30" s="144"/>
      <c r="D30" s="143"/>
      <c r="E30" s="145"/>
      <c r="F30" s="146"/>
      <c r="G30" s="146"/>
      <c r="H30" s="147"/>
      <c r="I30" s="19"/>
    </row>
    <row r="31" spans="1:9" ht="31.5" customHeight="1">
      <c r="A31" s="44">
        <v>6</v>
      </c>
      <c r="B31" s="143" t="s">
        <v>236</v>
      </c>
      <c r="C31" s="144" t="s">
        <v>166</v>
      </c>
      <c r="D31" s="143" t="s">
        <v>204</v>
      </c>
      <c r="E31" s="146">
        <v>652.9</v>
      </c>
      <c r="F31" s="146">
        <f>SUM(E31*52/1000)</f>
        <v>33.950799999999994</v>
      </c>
      <c r="G31" s="146">
        <v>166.65</v>
      </c>
      <c r="H31" s="147">
        <f t="shared" ref="H31:H36" si="1">SUM(F31*G31/1000)</f>
        <v>5.6579008199999992</v>
      </c>
      <c r="I31" s="19">
        <f>F31/6*G31</f>
        <v>942.9834699999999</v>
      </c>
    </row>
    <row r="32" spans="1:9" ht="31.5" customHeight="1">
      <c r="A32" s="44">
        <v>7</v>
      </c>
      <c r="B32" s="143" t="s">
        <v>237</v>
      </c>
      <c r="C32" s="144" t="s">
        <v>166</v>
      </c>
      <c r="D32" s="143" t="s">
        <v>205</v>
      </c>
      <c r="E32" s="146">
        <v>63.5</v>
      </c>
      <c r="F32" s="146">
        <f>SUM(E32*78/1000)</f>
        <v>4.9530000000000003</v>
      </c>
      <c r="G32" s="146">
        <v>276.48</v>
      </c>
      <c r="H32" s="147">
        <f t="shared" si="1"/>
        <v>1.3694054400000002</v>
      </c>
      <c r="I32" s="19">
        <f t="shared" ref="I32:I34" si="2">F32/6*G32</f>
        <v>228.23424000000003</v>
      </c>
    </row>
    <row r="33" spans="1:9" ht="15.75" hidden="1" customHeight="1">
      <c r="A33" s="44">
        <v>8</v>
      </c>
      <c r="B33" s="143" t="s">
        <v>30</v>
      </c>
      <c r="C33" s="144" t="s">
        <v>166</v>
      </c>
      <c r="D33" s="143" t="s">
        <v>63</v>
      </c>
      <c r="E33" s="146">
        <v>652.9</v>
      </c>
      <c r="F33" s="146">
        <f>SUM(E33/1000)</f>
        <v>0.65289999999999992</v>
      </c>
      <c r="G33" s="146">
        <v>3228.73</v>
      </c>
      <c r="H33" s="147">
        <f t="shared" si="1"/>
        <v>2.108037817</v>
      </c>
      <c r="I33" s="19">
        <f>F33*G33</f>
        <v>2108.0378169999999</v>
      </c>
    </row>
    <row r="34" spans="1:9" ht="15.75" customHeight="1">
      <c r="A34" s="44">
        <v>8</v>
      </c>
      <c r="B34" s="143" t="s">
        <v>238</v>
      </c>
      <c r="C34" s="144" t="s">
        <v>33</v>
      </c>
      <c r="D34" s="143" t="s">
        <v>85</v>
      </c>
      <c r="E34" s="150">
        <v>0.33333333333333331</v>
      </c>
      <c r="F34" s="146">
        <f>155/3</f>
        <v>51.666666666666664</v>
      </c>
      <c r="G34" s="146">
        <v>60.6</v>
      </c>
      <c r="H34" s="147">
        <f>SUM(G34*155/3/1000)</f>
        <v>3.1309999999999998</v>
      </c>
      <c r="I34" s="19">
        <f t="shared" si="2"/>
        <v>521.83333333333337</v>
      </c>
    </row>
    <row r="35" spans="1:9" ht="15.75" hidden="1" customHeight="1">
      <c r="A35" s="44"/>
      <c r="B35" s="143" t="s">
        <v>87</v>
      </c>
      <c r="C35" s="144" t="s">
        <v>35</v>
      </c>
      <c r="D35" s="143" t="s">
        <v>89</v>
      </c>
      <c r="E35" s="145"/>
      <c r="F35" s="146">
        <v>2</v>
      </c>
      <c r="G35" s="146">
        <v>204.52</v>
      </c>
      <c r="H35" s="147">
        <f t="shared" si="1"/>
        <v>0.40904000000000001</v>
      </c>
      <c r="I35" s="19">
        <v>0</v>
      </c>
    </row>
    <row r="36" spans="1:9" ht="15.75" hidden="1" customHeight="1">
      <c r="A36" s="44"/>
      <c r="B36" s="143" t="s">
        <v>207</v>
      </c>
      <c r="C36" s="144" t="s">
        <v>34</v>
      </c>
      <c r="D36" s="143" t="s">
        <v>89</v>
      </c>
      <c r="E36" s="145"/>
      <c r="F36" s="146">
        <v>1</v>
      </c>
      <c r="G36" s="146">
        <v>1214.74</v>
      </c>
      <c r="H36" s="147">
        <f t="shared" si="1"/>
        <v>1.2147399999999999</v>
      </c>
      <c r="I36" s="19">
        <v>0</v>
      </c>
    </row>
    <row r="37" spans="1:9" ht="15.75" hidden="1" customHeight="1">
      <c r="A37" s="44"/>
      <c r="B37" s="164" t="s">
        <v>5</v>
      </c>
      <c r="C37" s="144"/>
      <c r="D37" s="143"/>
      <c r="E37" s="145"/>
      <c r="F37" s="146"/>
      <c r="G37" s="146"/>
      <c r="H37" s="147" t="s">
        <v>208</v>
      </c>
      <c r="I37" s="19"/>
    </row>
    <row r="38" spans="1:9" ht="15.75" hidden="1" customHeight="1">
      <c r="A38" s="44">
        <v>6</v>
      </c>
      <c r="B38" s="143" t="s">
        <v>29</v>
      </c>
      <c r="C38" s="144" t="s">
        <v>34</v>
      </c>
      <c r="D38" s="143"/>
      <c r="E38" s="145"/>
      <c r="F38" s="146">
        <v>10</v>
      </c>
      <c r="G38" s="146">
        <v>1632.6</v>
      </c>
      <c r="H38" s="147">
        <f t="shared" ref="H38:H45" si="3">SUM(F38*G38/1000)</f>
        <v>16.326000000000001</v>
      </c>
      <c r="I38" s="19">
        <f>F38/6*G38</f>
        <v>2721</v>
      </c>
    </row>
    <row r="39" spans="1:9" ht="15.75" hidden="1" customHeight="1">
      <c r="A39" s="44">
        <v>7</v>
      </c>
      <c r="B39" s="143" t="s">
        <v>209</v>
      </c>
      <c r="C39" s="144" t="s">
        <v>32</v>
      </c>
      <c r="D39" s="143" t="s">
        <v>210</v>
      </c>
      <c r="E39" s="146">
        <v>172.55</v>
      </c>
      <c r="F39" s="146">
        <f>SUM(E39*12/1000)</f>
        <v>2.0706000000000002</v>
      </c>
      <c r="G39" s="146">
        <v>2247.8000000000002</v>
      </c>
      <c r="H39" s="147">
        <f t="shared" si="3"/>
        <v>4.6542946800000005</v>
      </c>
      <c r="I39" s="19">
        <f>F39/6*G39</f>
        <v>775.71578000000011</v>
      </c>
    </row>
    <row r="40" spans="1:9" ht="15.75" hidden="1" customHeight="1">
      <c r="A40" s="44">
        <v>8</v>
      </c>
      <c r="B40" s="143" t="s">
        <v>211</v>
      </c>
      <c r="C40" s="144" t="s">
        <v>32</v>
      </c>
      <c r="D40" s="143" t="s">
        <v>162</v>
      </c>
      <c r="E40" s="145">
        <v>63.5</v>
      </c>
      <c r="F40" s="146">
        <v>1.91</v>
      </c>
      <c r="G40" s="146">
        <v>2247.8000000000002</v>
      </c>
      <c r="H40" s="147">
        <f>G40*F40/1000</f>
        <v>4.2932980000000001</v>
      </c>
      <c r="I40" s="19">
        <f>F40/6*G40</f>
        <v>715.54966666666667</v>
      </c>
    </row>
    <row r="41" spans="1:9" ht="15.75" hidden="1" customHeight="1">
      <c r="A41" s="44"/>
      <c r="B41" s="143" t="s">
        <v>163</v>
      </c>
      <c r="C41" s="144" t="s">
        <v>164</v>
      </c>
      <c r="D41" s="143" t="s">
        <v>89</v>
      </c>
      <c r="E41" s="145"/>
      <c r="F41" s="146">
        <v>75</v>
      </c>
      <c r="G41" s="146">
        <v>213.2</v>
      </c>
      <c r="H41" s="147">
        <f>G41*F41/1000</f>
        <v>15.99</v>
      </c>
      <c r="I41" s="19">
        <v>0</v>
      </c>
    </row>
    <row r="42" spans="1:9" ht="15.75" hidden="1" customHeight="1">
      <c r="A42" s="44">
        <v>9</v>
      </c>
      <c r="B42" s="143" t="s">
        <v>92</v>
      </c>
      <c r="C42" s="144" t="s">
        <v>32</v>
      </c>
      <c r="D42" s="143" t="s">
        <v>165</v>
      </c>
      <c r="E42" s="146">
        <v>63.5</v>
      </c>
      <c r="F42" s="146">
        <f>SUM(E42*155/1000)</f>
        <v>9.8424999999999994</v>
      </c>
      <c r="G42" s="146">
        <v>374.95</v>
      </c>
      <c r="H42" s="147">
        <f t="shared" si="3"/>
        <v>3.6904453749999999</v>
      </c>
      <c r="I42" s="19">
        <f>F42/6*G42</f>
        <v>615.07422916666667</v>
      </c>
    </row>
    <row r="43" spans="1:9" ht="15.75" hidden="1" customHeight="1">
      <c r="A43" s="44">
        <v>10</v>
      </c>
      <c r="B43" s="143" t="s">
        <v>128</v>
      </c>
      <c r="C43" s="144" t="s">
        <v>166</v>
      </c>
      <c r="D43" s="143" t="s">
        <v>212</v>
      </c>
      <c r="E43" s="146">
        <v>63.5</v>
      </c>
      <c r="F43" s="146">
        <f>SUM(E43*24/1000)</f>
        <v>1.524</v>
      </c>
      <c r="G43" s="146">
        <v>6203.7</v>
      </c>
      <c r="H43" s="147">
        <f t="shared" si="3"/>
        <v>9.4544388000000001</v>
      </c>
      <c r="I43" s="19">
        <f>F43/6*G43</f>
        <v>1575.7398000000001</v>
      </c>
    </row>
    <row r="44" spans="1:9" ht="15.75" hidden="1" customHeight="1">
      <c r="A44" s="44">
        <v>11</v>
      </c>
      <c r="B44" s="143" t="s">
        <v>168</v>
      </c>
      <c r="C44" s="144" t="s">
        <v>166</v>
      </c>
      <c r="D44" s="143" t="s">
        <v>95</v>
      </c>
      <c r="E44" s="146">
        <v>63.5</v>
      </c>
      <c r="F44" s="146">
        <f>SUM(E44*45/1000)</f>
        <v>2.8574999999999999</v>
      </c>
      <c r="G44" s="146">
        <v>458.28</v>
      </c>
      <c r="H44" s="147">
        <f t="shared" si="3"/>
        <v>1.3095350999999997</v>
      </c>
      <c r="I44" s="19">
        <f>F44/6*G44</f>
        <v>218.25584999999998</v>
      </c>
    </row>
    <row r="45" spans="1:9" ht="15.75" hidden="1" customHeight="1">
      <c r="A45" s="44">
        <v>12</v>
      </c>
      <c r="B45" s="143" t="s">
        <v>96</v>
      </c>
      <c r="C45" s="144" t="s">
        <v>35</v>
      </c>
      <c r="D45" s="143"/>
      <c r="E45" s="145"/>
      <c r="F45" s="146">
        <v>0.9</v>
      </c>
      <c r="G45" s="146">
        <v>853.06</v>
      </c>
      <c r="H45" s="147">
        <f t="shared" si="3"/>
        <v>0.76775400000000005</v>
      </c>
      <c r="I45" s="19">
        <f>F45/6*G45</f>
        <v>127.95899999999999</v>
      </c>
    </row>
    <row r="46" spans="1:9" ht="15.75" hidden="1" customHeight="1">
      <c r="A46" s="186" t="s">
        <v>186</v>
      </c>
      <c r="B46" s="187"/>
      <c r="C46" s="187"/>
      <c r="D46" s="187"/>
      <c r="E46" s="187"/>
      <c r="F46" s="187"/>
      <c r="G46" s="187"/>
      <c r="H46" s="187"/>
      <c r="I46" s="188"/>
    </row>
    <row r="47" spans="1:9" ht="15.75" hidden="1" customHeight="1">
      <c r="A47" s="44"/>
      <c r="B47" s="143" t="s">
        <v>213</v>
      </c>
      <c r="C47" s="144" t="s">
        <v>166</v>
      </c>
      <c r="D47" s="143" t="s">
        <v>49</v>
      </c>
      <c r="E47" s="145">
        <v>881.3</v>
      </c>
      <c r="F47" s="146">
        <f>SUM(E47*2/1000)</f>
        <v>1.7625999999999999</v>
      </c>
      <c r="G47" s="19">
        <v>865.61</v>
      </c>
      <c r="H47" s="147">
        <f t="shared" ref="H47:H56" si="4">SUM(F47*G47/1000)</f>
        <v>1.5257241859999999</v>
      </c>
      <c r="I47" s="19">
        <v>0</v>
      </c>
    </row>
    <row r="48" spans="1:9" ht="15.75" hidden="1" customHeight="1">
      <c r="A48" s="44"/>
      <c r="B48" s="143" t="s">
        <v>39</v>
      </c>
      <c r="C48" s="144" t="s">
        <v>166</v>
      </c>
      <c r="D48" s="143" t="s">
        <v>49</v>
      </c>
      <c r="E48" s="145">
        <v>48</v>
      </c>
      <c r="F48" s="146">
        <f>SUM(E48*2/1000)</f>
        <v>9.6000000000000002E-2</v>
      </c>
      <c r="G48" s="19">
        <v>619.46</v>
      </c>
      <c r="H48" s="147">
        <f t="shared" si="4"/>
        <v>5.9468160000000006E-2</v>
      </c>
      <c r="I48" s="19">
        <v>0</v>
      </c>
    </row>
    <row r="49" spans="1:9" ht="15.75" hidden="1" customHeight="1">
      <c r="A49" s="44"/>
      <c r="B49" s="143" t="s">
        <v>40</v>
      </c>
      <c r="C49" s="144" t="s">
        <v>166</v>
      </c>
      <c r="D49" s="143" t="s">
        <v>49</v>
      </c>
      <c r="E49" s="145">
        <v>939.64</v>
      </c>
      <c r="F49" s="146">
        <f>SUM(E49*2/1000)</f>
        <v>1.8792800000000001</v>
      </c>
      <c r="G49" s="19">
        <v>619.46</v>
      </c>
      <c r="H49" s="147">
        <f t="shared" si="4"/>
        <v>1.1641387888000001</v>
      </c>
      <c r="I49" s="19">
        <v>0</v>
      </c>
    </row>
    <row r="50" spans="1:9" ht="15.75" hidden="1" customHeight="1">
      <c r="A50" s="44"/>
      <c r="B50" s="143" t="s">
        <v>41</v>
      </c>
      <c r="C50" s="144" t="s">
        <v>166</v>
      </c>
      <c r="D50" s="143" t="s">
        <v>49</v>
      </c>
      <c r="E50" s="145">
        <v>1247.3699999999999</v>
      </c>
      <c r="F50" s="146">
        <f>SUM(E50*2/1000)</f>
        <v>2.4947399999999997</v>
      </c>
      <c r="G50" s="19">
        <v>648.64</v>
      </c>
      <c r="H50" s="147">
        <f t="shared" si="4"/>
        <v>1.6181881535999998</v>
      </c>
      <c r="I50" s="19">
        <v>0</v>
      </c>
    </row>
    <row r="51" spans="1:9" ht="15.75" hidden="1" customHeight="1">
      <c r="A51" s="44"/>
      <c r="B51" s="143" t="s">
        <v>37</v>
      </c>
      <c r="C51" s="144" t="s">
        <v>38</v>
      </c>
      <c r="D51" s="143" t="s">
        <v>49</v>
      </c>
      <c r="E51" s="145">
        <v>65.03</v>
      </c>
      <c r="F51" s="146">
        <f>SUM(E51*2/100)</f>
        <v>1.3006</v>
      </c>
      <c r="G51" s="19">
        <v>77.84</v>
      </c>
      <c r="H51" s="147">
        <f t="shared" si="4"/>
        <v>0.101238704</v>
      </c>
      <c r="I51" s="19">
        <v>0</v>
      </c>
    </row>
    <row r="52" spans="1:9" ht="15.75" hidden="1" customHeight="1">
      <c r="A52" s="44">
        <v>13</v>
      </c>
      <c r="B52" s="143" t="s">
        <v>71</v>
      </c>
      <c r="C52" s="144" t="s">
        <v>166</v>
      </c>
      <c r="D52" s="143" t="s">
        <v>239</v>
      </c>
      <c r="E52" s="145">
        <v>702</v>
      </c>
      <c r="F52" s="146">
        <f>SUM(E52*5/1000)</f>
        <v>3.51</v>
      </c>
      <c r="G52" s="19">
        <v>1297.28</v>
      </c>
      <c r="H52" s="147">
        <f t="shared" si="4"/>
        <v>4.5534527999999996</v>
      </c>
      <c r="I52" s="19">
        <f>F52/5*G52</f>
        <v>910.69055999999989</v>
      </c>
    </row>
    <row r="53" spans="1:9" ht="31.5" hidden="1" customHeight="1">
      <c r="A53" s="44"/>
      <c r="B53" s="143" t="s">
        <v>154</v>
      </c>
      <c r="C53" s="144" t="s">
        <v>166</v>
      </c>
      <c r="D53" s="143" t="s">
        <v>49</v>
      </c>
      <c r="E53" s="145">
        <v>702</v>
      </c>
      <c r="F53" s="146">
        <f>SUM(E53*2/1000)</f>
        <v>1.4039999999999999</v>
      </c>
      <c r="G53" s="19">
        <v>1297.28</v>
      </c>
      <c r="H53" s="147">
        <f t="shared" si="4"/>
        <v>1.8213811199999999</v>
      </c>
      <c r="I53" s="19">
        <v>0</v>
      </c>
    </row>
    <row r="54" spans="1:9" ht="31.5" hidden="1" customHeight="1">
      <c r="A54" s="44"/>
      <c r="B54" s="143" t="s">
        <v>155</v>
      </c>
      <c r="C54" s="144" t="s">
        <v>44</v>
      </c>
      <c r="D54" s="143" t="s">
        <v>49</v>
      </c>
      <c r="E54" s="145">
        <v>12</v>
      </c>
      <c r="F54" s="146">
        <f>SUM(E54*2/100)</f>
        <v>0.24</v>
      </c>
      <c r="G54" s="19">
        <v>2918.89</v>
      </c>
      <c r="H54" s="147">
        <f t="shared" si="4"/>
        <v>0.70053359999999998</v>
      </c>
      <c r="I54" s="19">
        <v>0</v>
      </c>
    </row>
    <row r="55" spans="1:9" ht="15.75" hidden="1" customHeight="1">
      <c r="A55" s="44"/>
      <c r="B55" s="143" t="s">
        <v>45</v>
      </c>
      <c r="C55" s="144" t="s">
        <v>46</v>
      </c>
      <c r="D55" s="143" t="s">
        <v>49</v>
      </c>
      <c r="E55" s="145">
        <v>1</v>
      </c>
      <c r="F55" s="146">
        <v>0.02</v>
      </c>
      <c r="G55" s="19">
        <v>6042.12</v>
      </c>
      <c r="H55" s="147">
        <f t="shared" si="4"/>
        <v>0.1208424</v>
      </c>
      <c r="I55" s="19">
        <v>0</v>
      </c>
    </row>
    <row r="56" spans="1:9" ht="15.75" hidden="1" customHeight="1">
      <c r="A56" s="44">
        <v>14</v>
      </c>
      <c r="B56" s="143" t="s">
        <v>48</v>
      </c>
      <c r="C56" s="144" t="s">
        <v>140</v>
      </c>
      <c r="D56" s="143" t="s">
        <v>97</v>
      </c>
      <c r="E56" s="145">
        <v>72</v>
      </c>
      <c r="F56" s="146">
        <f>SUM(E56)*3</f>
        <v>216</v>
      </c>
      <c r="G56" s="19">
        <v>70.209999999999994</v>
      </c>
      <c r="H56" s="147">
        <f t="shared" si="4"/>
        <v>15.165359999999998</v>
      </c>
      <c r="I56" s="19">
        <f>E56*G56</f>
        <v>5055.12</v>
      </c>
    </row>
    <row r="57" spans="1:9" ht="15.75" hidden="1" customHeight="1">
      <c r="A57" s="186" t="s">
        <v>187</v>
      </c>
      <c r="B57" s="187"/>
      <c r="C57" s="187"/>
      <c r="D57" s="187"/>
      <c r="E57" s="187"/>
      <c r="F57" s="187"/>
      <c r="G57" s="187"/>
      <c r="H57" s="187"/>
      <c r="I57" s="188"/>
    </row>
    <row r="58" spans="1:9" ht="15.75" hidden="1" customHeight="1">
      <c r="A58" s="44"/>
      <c r="B58" s="164" t="s">
        <v>50</v>
      </c>
      <c r="C58" s="144"/>
      <c r="D58" s="143"/>
      <c r="E58" s="145"/>
      <c r="F58" s="146"/>
      <c r="G58" s="146"/>
      <c r="H58" s="147"/>
      <c r="I58" s="19"/>
    </row>
    <row r="59" spans="1:9" ht="31.5" hidden="1" customHeight="1">
      <c r="A59" s="44">
        <v>15</v>
      </c>
      <c r="B59" s="143" t="s">
        <v>214</v>
      </c>
      <c r="C59" s="144" t="s">
        <v>148</v>
      </c>
      <c r="D59" s="143" t="s">
        <v>215</v>
      </c>
      <c r="E59" s="145">
        <v>106.13</v>
      </c>
      <c r="F59" s="146">
        <f>SUM(E59*6/100)</f>
        <v>6.3677999999999999</v>
      </c>
      <c r="G59" s="19">
        <v>1456.95</v>
      </c>
      <c r="H59" s="147">
        <f>SUM(F59*G59/1000)</f>
        <v>9.2775662100000016</v>
      </c>
      <c r="I59" s="19">
        <f>F59/6*G59</f>
        <v>1546.261035</v>
      </c>
    </row>
    <row r="60" spans="1:9" ht="15.75" hidden="1" customHeight="1">
      <c r="A60" s="44"/>
      <c r="B60" s="164" t="s">
        <v>51</v>
      </c>
      <c r="C60" s="144"/>
      <c r="D60" s="143"/>
      <c r="E60" s="145"/>
      <c r="F60" s="146"/>
      <c r="G60" s="130"/>
      <c r="H60" s="147"/>
      <c r="I60" s="19"/>
    </row>
    <row r="61" spans="1:9" ht="15.75" hidden="1" customHeight="1">
      <c r="A61" s="44"/>
      <c r="B61" s="143" t="s">
        <v>216</v>
      </c>
      <c r="C61" s="144"/>
      <c r="D61" s="143" t="s">
        <v>63</v>
      </c>
      <c r="E61" s="145">
        <v>1036</v>
      </c>
      <c r="F61" s="147">
        <v>10.36</v>
      </c>
      <c r="G61" s="19">
        <v>848.37</v>
      </c>
      <c r="H61" s="152">
        <f>F61*G61/1000</f>
        <v>8.7891131999999992</v>
      </c>
      <c r="I61" s="19">
        <v>0</v>
      </c>
    </row>
    <row r="62" spans="1:9" ht="15.75" hidden="1" customHeight="1">
      <c r="A62" s="44"/>
      <c r="B62" s="165" t="s">
        <v>53</v>
      </c>
      <c r="C62" s="153"/>
      <c r="D62" s="154"/>
      <c r="E62" s="155"/>
      <c r="F62" s="156"/>
      <c r="G62" s="156"/>
      <c r="H62" s="157" t="s">
        <v>208</v>
      </c>
      <c r="I62" s="19"/>
    </row>
    <row r="63" spans="1:9" ht="15.75" hidden="1" customHeight="1">
      <c r="A63" s="44"/>
      <c r="B63" s="21" t="s">
        <v>54</v>
      </c>
      <c r="C63" s="23" t="s">
        <v>140</v>
      </c>
      <c r="D63" s="21" t="s">
        <v>89</v>
      </c>
      <c r="E63" s="26">
        <v>10</v>
      </c>
      <c r="F63" s="146">
        <v>10</v>
      </c>
      <c r="G63" s="19">
        <v>237.74</v>
      </c>
      <c r="H63" s="141">
        <f t="shared" ref="H63:H75" si="5">SUM(F63*G63/1000)</f>
        <v>2.3774000000000002</v>
      </c>
      <c r="I63" s="19">
        <v>0</v>
      </c>
    </row>
    <row r="64" spans="1:9" ht="15.75" hidden="1" customHeight="1">
      <c r="A64" s="44"/>
      <c r="B64" s="21" t="s">
        <v>55</v>
      </c>
      <c r="C64" s="23" t="s">
        <v>140</v>
      </c>
      <c r="D64" s="21" t="s">
        <v>89</v>
      </c>
      <c r="E64" s="26">
        <v>5</v>
      </c>
      <c r="F64" s="146">
        <v>5</v>
      </c>
      <c r="G64" s="19">
        <v>81.510000000000005</v>
      </c>
      <c r="H64" s="141">
        <f t="shared" si="5"/>
        <v>0.40755000000000002</v>
      </c>
      <c r="I64" s="19">
        <v>0</v>
      </c>
    </row>
    <row r="65" spans="1:9" ht="15.75" hidden="1" customHeight="1">
      <c r="A65" s="44"/>
      <c r="B65" s="21" t="s">
        <v>56</v>
      </c>
      <c r="C65" s="23" t="s">
        <v>217</v>
      </c>
      <c r="D65" s="21" t="s">
        <v>63</v>
      </c>
      <c r="E65" s="145">
        <v>8607</v>
      </c>
      <c r="F65" s="19">
        <f>SUM(E65/100)</f>
        <v>86.07</v>
      </c>
      <c r="G65" s="19">
        <v>226.79</v>
      </c>
      <c r="H65" s="141">
        <f t="shared" si="5"/>
        <v>19.519815299999998</v>
      </c>
      <c r="I65" s="19">
        <v>0</v>
      </c>
    </row>
    <row r="66" spans="1:9" ht="15.75" hidden="1" customHeight="1">
      <c r="A66" s="44"/>
      <c r="B66" s="21" t="s">
        <v>57</v>
      </c>
      <c r="C66" s="23" t="s">
        <v>218</v>
      </c>
      <c r="D66" s="21"/>
      <c r="E66" s="145">
        <v>8607</v>
      </c>
      <c r="F66" s="19">
        <f>SUM(E66/1000)</f>
        <v>8.6069999999999993</v>
      </c>
      <c r="G66" s="19">
        <v>176.61</v>
      </c>
      <c r="H66" s="141">
        <f t="shared" si="5"/>
        <v>1.5200822700000001</v>
      </c>
      <c r="I66" s="19">
        <v>0</v>
      </c>
    </row>
    <row r="67" spans="1:9" ht="15.75" hidden="1" customHeight="1">
      <c r="A67" s="44"/>
      <c r="B67" s="21" t="s">
        <v>58</v>
      </c>
      <c r="C67" s="23" t="s">
        <v>107</v>
      </c>
      <c r="D67" s="21" t="s">
        <v>63</v>
      </c>
      <c r="E67" s="145">
        <v>1370</v>
      </c>
      <c r="F67" s="19">
        <f>SUM(E67/100)</f>
        <v>13.7</v>
      </c>
      <c r="G67" s="19">
        <v>2217.7800000000002</v>
      </c>
      <c r="H67" s="141">
        <f t="shared" si="5"/>
        <v>30.383586000000005</v>
      </c>
      <c r="I67" s="19">
        <v>0</v>
      </c>
    </row>
    <row r="68" spans="1:9" ht="15.75" hidden="1" customHeight="1">
      <c r="A68" s="44"/>
      <c r="B68" s="158" t="s">
        <v>219</v>
      </c>
      <c r="C68" s="23" t="s">
        <v>35</v>
      </c>
      <c r="D68" s="21"/>
      <c r="E68" s="145">
        <v>7.8</v>
      </c>
      <c r="F68" s="19">
        <f>SUM(E68)</f>
        <v>7.8</v>
      </c>
      <c r="G68" s="19">
        <v>42.67</v>
      </c>
      <c r="H68" s="141">
        <f t="shared" si="5"/>
        <v>0.33282600000000001</v>
      </c>
      <c r="I68" s="19">
        <v>0</v>
      </c>
    </row>
    <row r="69" spans="1:9" ht="15.75" hidden="1" customHeight="1">
      <c r="A69" s="44"/>
      <c r="B69" s="158" t="s">
        <v>220</v>
      </c>
      <c r="C69" s="23" t="s">
        <v>35</v>
      </c>
      <c r="D69" s="21"/>
      <c r="E69" s="145">
        <v>7.8</v>
      </c>
      <c r="F69" s="19">
        <f>SUM(E69)</f>
        <v>7.8</v>
      </c>
      <c r="G69" s="19">
        <v>39.81</v>
      </c>
      <c r="H69" s="141">
        <f t="shared" si="5"/>
        <v>0.31051800000000002</v>
      </c>
      <c r="I69" s="19">
        <v>0</v>
      </c>
    </row>
    <row r="70" spans="1:9" ht="15.75" hidden="1" customHeight="1">
      <c r="A70" s="44"/>
      <c r="B70" s="21" t="s">
        <v>72</v>
      </c>
      <c r="C70" s="23" t="s">
        <v>73</v>
      </c>
      <c r="D70" s="21" t="s">
        <v>63</v>
      </c>
      <c r="E70" s="26">
        <v>3</v>
      </c>
      <c r="F70" s="146">
        <v>3</v>
      </c>
      <c r="G70" s="19">
        <v>53.32</v>
      </c>
      <c r="H70" s="141">
        <f t="shared" si="5"/>
        <v>0.15996000000000002</v>
      </c>
      <c r="I70" s="19">
        <v>0</v>
      </c>
    </row>
    <row r="71" spans="1:9" ht="15.75" hidden="1" customHeight="1">
      <c r="A71" s="44"/>
      <c r="B71" s="127" t="s">
        <v>101</v>
      </c>
      <c r="C71" s="23"/>
      <c r="D71" s="21"/>
      <c r="E71" s="26"/>
      <c r="F71" s="19"/>
      <c r="G71" s="19"/>
      <c r="H71" s="141" t="s">
        <v>208</v>
      </c>
      <c r="I71" s="19"/>
    </row>
    <row r="72" spans="1:9" ht="15.75" hidden="1" customHeight="1">
      <c r="A72" s="44"/>
      <c r="B72" s="21" t="s">
        <v>102</v>
      </c>
      <c r="C72" s="23" t="s">
        <v>104</v>
      </c>
      <c r="D72" s="21"/>
      <c r="E72" s="26">
        <v>2</v>
      </c>
      <c r="F72" s="19">
        <v>0.2</v>
      </c>
      <c r="G72" s="19">
        <v>536.23</v>
      </c>
      <c r="H72" s="141">
        <f t="shared" si="5"/>
        <v>0.10724600000000001</v>
      </c>
      <c r="I72" s="19">
        <v>0</v>
      </c>
    </row>
    <row r="73" spans="1:9" ht="15.75" hidden="1" customHeight="1">
      <c r="A73" s="44"/>
      <c r="B73" s="21" t="s">
        <v>103</v>
      </c>
      <c r="C73" s="23" t="s">
        <v>33</v>
      </c>
      <c r="D73" s="21"/>
      <c r="E73" s="26">
        <v>1</v>
      </c>
      <c r="F73" s="130">
        <v>1</v>
      </c>
      <c r="G73" s="19">
        <v>911.85</v>
      </c>
      <c r="H73" s="141">
        <f>F73*G73/1000</f>
        <v>0.91185000000000005</v>
      </c>
      <c r="I73" s="19">
        <v>0</v>
      </c>
    </row>
    <row r="74" spans="1:9" ht="15.75" hidden="1" customHeight="1">
      <c r="A74" s="44"/>
      <c r="B74" s="160" t="s">
        <v>105</v>
      </c>
      <c r="C74" s="23"/>
      <c r="D74" s="21"/>
      <c r="E74" s="26"/>
      <c r="F74" s="19"/>
      <c r="G74" s="19" t="s">
        <v>208</v>
      </c>
      <c r="H74" s="141" t="s">
        <v>208</v>
      </c>
      <c r="I74" s="19"/>
    </row>
    <row r="75" spans="1:9" ht="15.75" hidden="1" customHeight="1">
      <c r="A75" s="44"/>
      <c r="B75" s="81" t="s">
        <v>240</v>
      </c>
      <c r="C75" s="23" t="s">
        <v>107</v>
      </c>
      <c r="D75" s="21"/>
      <c r="E75" s="26"/>
      <c r="F75" s="19">
        <v>1</v>
      </c>
      <c r="G75" s="19">
        <v>2831.38</v>
      </c>
      <c r="H75" s="141">
        <f t="shared" si="5"/>
        <v>2.8313800000000002</v>
      </c>
      <c r="I75" s="19">
        <v>0</v>
      </c>
    </row>
    <row r="76" spans="1:9" ht="15.75" hidden="1" customHeight="1">
      <c r="A76" s="44"/>
      <c r="B76" s="168" t="s">
        <v>158</v>
      </c>
      <c r="C76" s="168"/>
      <c r="D76" s="168"/>
      <c r="E76" s="168"/>
      <c r="F76" s="168"/>
      <c r="G76" s="149"/>
      <c r="H76" s="161">
        <f>SUM(H59:H75)</f>
        <v>76.928892980000001</v>
      </c>
      <c r="I76" s="149"/>
    </row>
    <row r="77" spans="1:9" ht="15.75" hidden="1" customHeight="1">
      <c r="A77" s="44"/>
      <c r="B77" s="166" t="s">
        <v>221</v>
      </c>
      <c r="C77" s="32"/>
      <c r="D77" s="31"/>
      <c r="E77" s="162"/>
      <c r="F77" s="167">
        <v>1</v>
      </c>
      <c r="G77" s="19">
        <v>7528.4</v>
      </c>
      <c r="H77" s="141">
        <f>G77*F77/1000</f>
        <v>7.5283999999999995</v>
      </c>
      <c r="I77" s="19">
        <v>0</v>
      </c>
    </row>
    <row r="78" spans="1:9" ht="15.75" customHeight="1">
      <c r="A78" s="186" t="s">
        <v>259</v>
      </c>
      <c r="B78" s="187"/>
      <c r="C78" s="187"/>
      <c r="D78" s="187"/>
      <c r="E78" s="187"/>
      <c r="F78" s="187"/>
      <c r="G78" s="187"/>
      <c r="H78" s="187"/>
      <c r="I78" s="188"/>
    </row>
    <row r="79" spans="1:9" ht="15.75" customHeight="1">
      <c r="A79" s="44">
        <v>9</v>
      </c>
      <c r="B79" s="143" t="s">
        <v>222</v>
      </c>
      <c r="C79" s="23" t="s">
        <v>68</v>
      </c>
      <c r="D79" s="163" t="s">
        <v>69</v>
      </c>
      <c r="E79" s="19">
        <v>2062.5</v>
      </c>
      <c r="F79" s="19">
        <f>SUM(E79*12)</f>
        <v>24750</v>
      </c>
      <c r="G79" s="19">
        <v>2.2400000000000002</v>
      </c>
      <c r="H79" s="141">
        <f>SUM(F79*G79/1000)</f>
        <v>55.440000000000005</v>
      </c>
      <c r="I79" s="19">
        <f>F79/12*G79</f>
        <v>4620</v>
      </c>
    </row>
    <row r="80" spans="1:9" ht="31.5" customHeight="1">
      <c r="A80" s="44">
        <v>10</v>
      </c>
      <c r="B80" s="21" t="s">
        <v>108</v>
      </c>
      <c r="C80" s="23"/>
      <c r="D80" s="163" t="s">
        <v>69</v>
      </c>
      <c r="E80" s="145">
        <f>E79</f>
        <v>2062.5</v>
      </c>
      <c r="F80" s="19">
        <f>E80*12</f>
        <v>24750</v>
      </c>
      <c r="G80" s="19">
        <v>1.74</v>
      </c>
      <c r="H80" s="141">
        <f>F80*G80/1000</f>
        <v>43.064999999999998</v>
      </c>
      <c r="I80" s="19">
        <f>F80/12*G80</f>
        <v>3588.75</v>
      </c>
    </row>
    <row r="81" spans="1:9" ht="15.75" customHeight="1">
      <c r="A81" s="44"/>
      <c r="B81" s="68" t="s">
        <v>115</v>
      </c>
      <c r="C81" s="160"/>
      <c r="D81" s="159"/>
      <c r="E81" s="149"/>
      <c r="F81" s="149"/>
      <c r="G81" s="149"/>
      <c r="H81" s="161">
        <f>H80</f>
        <v>43.064999999999998</v>
      </c>
      <c r="I81" s="149">
        <f>I16+I17+I18+I27+I28+I31+I32+I34+I79+I80</f>
        <v>26217.800856666669</v>
      </c>
    </row>
    <row r="82" spans="1:9" ht="15.75" customHeight="1">
      <c r="A82" s="44"/>
      <c r="B82" s="102" t="s">
        <v>76</v>
      </c>
      <c r="C82" s="23"/>
      <c r="D82" s="81"/>
      <c r="E82" s="19"/>
      <c r="F82" s="19"/>
      <c r="G82" s="19"/>
      <c r="H82" s="161" t="e">
        <f>SUM(H81+#REF!+H76+H57+H46+#REF!+H29)</f>
        <v>#REF!</v>
      </c>
      <c r="I82" s="19"/>
    </row>
    <row r="83" spans="1:9" ht="15.75" customHeight="1">
      <c r="A83" s="44">
        <v>11</v>
      </c>
      <c r="B83" s="95" t="s">
        <v>229</v>
      </c>
      <c r="C83" s="96" t="s">
        <v>129</v>
      </c>
      <c r="D83" s="81"/>
      <c r="E83" s="19"/>
      <c r="F83" s="19">
        <v>3</v>
      </c>
      <c r="G83" s="19">
        <v>185.81</v>
      </c>
      <c r="H83" s="141">
        <f>G83*F83/1000</f>
        <v>0.55743000000000009</v>
      </c>
      <c r="I83" s="19">
        <f>G83</f>
        <v>185.81</v>
      </c>
    </row>
    <row r="84" spans="1:9" ht="15.75" customHeight="1">
      <c r="A84" s="44"/>
      <c r="B84" s="75" t="s">
        <v>60</v>
      </c>
      <c r="C84" s="71"/>
      <c r="D84" s="85"/>
      <c r="E84" s="71">
        <v>1</v>
      </c>
      <c r="F84" s="71"/>
      <c r="G84" s="71"/>
      <c r="H84" s="71"/>
      <c r="I84" s="52">
        <f>SUM(I83:I83)</f>
        <v>185.81</v>
      </c>
    </row>
    <row r="85" spans="1:9">
      <c r="A85" s="44"/>
      <c r="B85" s="81" t="s">
        <v>109</v>
      </c>
      <c r="C85" s="22"/>
      <c r="D85" s="22"/>
      <c r="E85" s="72"/>
      <c r="F85" s="72"/>
      <c r="G85" s="73"/>
      <c r="H85" s="73"/>
      <c r="I85" s="25">
        <v>0</v>
      </c>
    </row>
    <row r="86" spans="1:9">
      <c r="A86" s="86"/>
      <c r="B86" s="76" t="s">
        <v>61</v>
      </c>
      <c r="C86" s="59"/>
      <c r="D86" s="59"/>
      <c r="E86" s="59"/>
      <c r="F86" s="59"/>
      <c r="G86" s="59"/>
      <c r="H86" s="59"/>
      <c r="I86" s="74">
        <f>I81+I84</f>
        <v>26403.61085666667</v>
      </c>
    </row>
    <row r="87" spans="1:9" ht="15.75" customHeight="1">
      <c r="A87" s="181" t="s">
        <v>263</v>
      </c>
      <c r="B87" s="181"/>
      <c r="C87" s="181"/>
      <c r="D87" s="181"/>
      <c r="E87" s="181"/>
      <c r="F87" s="181"/>
      <c r="G87" s="181"/>
      <c r="H87" s="181"/>
      <c r="I87" s="181"/>
    </row>
    <row r="88" spans="1:9" ht="15.75">
      <c r="A88" s="117"/>
      <c r="B88" s="182" t="s">
        <v>264</v>
      </c>
      <c r="C88" s="182"/>
      <c r="D88" s="182"/>
      <c r="E88" s="182"/>
      <c r="F88" s="182"/>
      <c r="G88" s="182"/>
      <c r="H88" s="135"/>
      <c r="I88" s="3"/>
    </row>
    <row r="89" spans="1:9">
      <c r="A89" s="116"/>
      <c r="B89" s="183" t="s">
        <v>6</v>
      </c>
      <c r="C89" s="183"/>
      <c r="D89" s="183"/>
      <c r="E89" s="183"/>
      <c r="F89" s="183"/>
      <c r="G89" s="183"/>
      <c r="H89" s="39"/>
      <c r="I89" s="5"/>
    </row>
    <row r="90" spans="1:9">
      <c r="A90" s="12"/>
      <c r="B90" s="12"/>
      <c r="C90" s="12"/>
      <c r="D90" s="12"/>
      <c r="E90" s="12"/>
      <c r="F90" s="12"/>
      <c r="G90" s="12"/>
      <c r="H90" s="12"/>
      <c r="I90" s="12"/>
    </row>
    <row r="91" spans="1:9" ht="15.75">
      <c r="A91" s="184" t="s">
        <v>7</v>
      </c>
      <c r="B91" s="184"/>
      <c r="C91" s="184"/>
      <c r="D91" s="184"/>
      <c r="E91" s="184"/>
      <c r="F91" s="184"/>
      <c r="G91" s="184"/>
      <c r="H91" s="184"/>
      <c r="I91" s="184"/>
    </row>
    <row r="92" spans="1:9" ht="15.75">
      <c r="A92" s="184" t="s">
        <v>8</v>
      </c>
      <c r="B92" s="184"/>
      <c r="C92" s="184"/>
      <c r="D92" s="184"/>
      <c r="E92" s="184"/>
      <c r="F92" s="184"/>
      <c r="G92" s="184"/>
      <c r="H92" s="184"/>
      <c r="I92" s="184"/>
    </row>
    <row r="93" spans="1:9" ht="15.75" customHeight="1">
      <c r="A93" s="185" t="s">
        <v>79</v>
      </c>
      <c r="B93" s="185"/>
      <c r="C93" s="185"/>
      <c r="D93" s="185"/>
      <c r="E93" s="185"/>
      <c r="F93" s="185"/>
      <c r="G93" s="185"/>
      <c r="H93" s="185"/>
      <c r="I93" s="185"/>
    </row>
    <row r="94" spans="1:9" ht="15.75">
      <c r="A94" s="13"/>
    </row>
    <row r="95" spans="1:9" ht="15.75">
      <c r="A95" s="191" t="s">
        <v>9</v>
      </c>
      <c r="B95" s="191"/>
      <c r="C95" s="191"/>
      <c r="D95" s="191"/>
      <c r="E95" s="191"/>
      <c r="F95" s="191"/>
      <c r="G95" s="191"/>
      <c r="H95" s="191"/>
      <c r="I95" s="191"/>
    </row>
    <row r="96" spans="1:9" ht="15.75">
      <c r="A96" s="4"/>
    </row>
    <row r="97" spans="1:9" ht="15.75" customHeight="1">
      <c r="B97" s="114" t="s">
        <v>10</v>
      </c>
      <c r="C97" s="192" t="s">
        <v>191</v>
      </c>
      <c r="D97" s="192"/>
      <c r="E97" s="192"/>
      <c r="F97" s="131"/>
      <c r="I97" s="115"/>
    </row>
    <row r="98" spans="1:9">
      <c r="A98" s="116"/>
      <c r="C98" s="183" t="s">
        <v>11</v>
      </c>
      <c r="D98" s="183"/>
      <c r="E98" s="183"/>
      <c r="F98" s="39"/>
      <c r="I98" s="113" t="s">
        <v>12</v>
      </c>
    </row>
    <row r="99" spans="1:9" ht="15.75">
      <c r="A99" s="40"/>
      <c r="C99" s="14"/>
      <c r="D99" s="14"/>
      <c r="G99" s="14"/>
      <c r="H99" s="14"/>
    </row>
    <row r="100" spans="1:9" ht="15.75" customHeight="1">
      <c r="B100" s="114" t="s">
        <v>13</v>
      </c>
      <c r="C100" s="178"/>
      <c r="D100" s="178"/>
      <c r="E100" s="178"/>
      <c r="F100" s="132"/>
      <c r="I100" s="115"/>
    </row>
    <row r="101" spans="1:9">
      <c r="A101" s="116"/>
      <c r="C101" s="179" t="s">
        <v>11</v>
      </c>
      <c r="D101" s="179"/>
      <c r="E101" s="179"/>
      <c r="F101" s="116"/>
      <c r="I101" s="113" t="s">
        <v>12</v>
      </c>
    </row>
    <row r="102" spans="1:9" ht="15.75">
      <c r="A102" s="4" t="s">
        <v>14</v>
      </c>
    </row>
    <row r="103" spans="1:9">
      <c r="A103" s="180" t="s">
        <v>15</v>
      </c>
      <c r="B103" s="180"/>
      <c r="C103" s="180"/>
      <c r="D103" s="180"/>
      <c r="E103" s="180"/>
      <c r="F103" s="180"/>
      <c r="G103" s="180"/>
      <c r="H103" s="180"/>
      <c r="I103" s="180"/>
    </row>
    <row r="104" spans="1:9" ht="45" customHeight="1">
      <c r="A104" s="190" t="s">
        <v>16</v>
      </c>
      <c r="B104" s="190"/>
      <c r="C104" s="190"/>
      <c r="D104" s="190"/>
      <c r="E104" s="190"/>
      <c r="F104" s="190"/>
      <c r="G104" s="190"/>
      <c r="H104" s="190"/>
      <c r="I104" s="190"/>
    </row>
    <row r="105" spans="1:9" ht="30" customHeight="1">
      <c r="A105" s="190" t="s">
        <v>17</v>
      </c>
      <c r="B105" s="190"/>
      <c r="C105" s="190"/>
      <c r="D105" s="190"/>
      <c r="E105" s="190"/>
      <c r="F105" s="190"/>
      <c r="G105" s="190"/>
      <c r="H105" s="190"/>
      <c r="I105" s="190"/>
    </row>
    <row r="106" spans="1:9" ht="30" customHeight="1">
      <c r="A106" s="190" t="s">
        <v>22</v>
      </c>
      <c r="B106" s="190"/>
      <c r="C106" s="190"/>
      <c r="D106" s="190"/>
      <c r="E106" s="190"/>
      <c r="F106" s="190"/>
      <c r="G106" s="190"/>
      <c r="H106" s="190"/>
      <c r="I106" s="190"/>
    </row>
    <row r="107" spans="1:9" ht="15" customHeight="1">
      <c r="A107" s="190" t="s">
        <v>21</v>
      </c>
      <c r="B107" s="190"/>
      <c r="C107" s="190"/>
      <c r="D107" s="190"/>
      <c r="E107" s="190"/>
      <c r="F107" s="190"/>
      <c r="G107" s="190"/>
      <c r="H107" s="190"/>
      <c r="I107" s="190"/>
    </row>
    <row r="174" spans="1:9" ht="15.75">
      <c r="A174" s="4" t="s">
        <v>14</v>
      </c>
    </row>
    <row r="175" spans="1:9">
      <c r="A175" s="180" t="s">
        <v>15</v>
      </c>
      <c r="B175" s="180"/>
      <c r="C175" s="180"/>
      <c r="D175" s="180"/>
      <c r="E175" s="180"/>
      <c r="F175" s="180"/>
      <c r="G175" s="180"/>
      <c r="H175" s="180"/>
      <c r="I175" s="180"/>
    </row>
    <row r="176" spans="1:9" ht="16.5" customHeight="1">
      <c r="A176" s="189" t="s">
        <v>16</v>
      </c>
      <c r="B176" s="189"/>
      <c r="C176" s="189"/>
      <c r="D176" s="189"/>
      <c r="E176" s="189"/>
      <c r="F176" s="189"/>
      <c r="G176" s="189"/>
      <c r="H176" s="189"/>
      <c r="I176" s="189"/>
    </row>
    <row r="177" spans="1:9" ht="16.5" customHeight="1">
      <c r="A177" s="189" t="s">
        <v>17</v>
      </c>
      <c r="B177" s="189"/>
      <c r="C177" s="189"/>
      <c r="D177" s="189"/>
      <c r="E177" s="189"/>
      <c r="F177" s="189"/>
      <c r="G177" s="189"/>
      <c r="H177" s="189"/>
      <c r="I177" s="189"/>
    </row>
    <row r="178" spans="1:9" ht="16.5" customHeight="1">
      <c r="A178" s="189" t="s">
        <v>22</v>
      </c>
      <c r="B178" s="189"/>
      <c r="C178" s="189"/>
      <c r="D178" s="189"/>
      <c r="E178" s="189"/>
      <c r="F178" s="189"/>
      <c r="G178" s="189"/>
      <c r="H178" s="189"/>
      <c r="I178" s="189"/>
    </row>
    <row r="179" spans="1:9" ht="16.5" customHeight="1">
      <c r="A179" s="189" t="s">
        <v>21</v>
      </c>
      <c r="B179" s="189"/>
      <c r="C179" s="189"/>
      <c r="D179" s="189"/>
      <c r="E179" s="189"/>
      <c r="F179" s="189"/>
      <c r="G179" s="189"/>
      <c r="H179" s="189"/>
      <c r="I179" s="189"/>
    </row>
    <row r="181" spans="1:9">
      <c r="A181" s="15" t="s">
        <v>20</v>
      </c>
      <c r="B181" s="15"/>
      <c r="C181" s="15"/>
      <c r="D181" s="15"/>
      <c r="E181" s="15"/>
      <c r="F181" s="15"/>
      <c r="G181" s="15"/>
      <c r="H181" s="15"/>
    </row>
  </sheetData>
  <mergeCells count="32">
    <mergeCell ref="A178:I178"/>
    <mergeCell ref="A179:I179"/>
    <mergeCell ref="A105:I105"/>
    <mergeCell ref="A106:I106"/>
    <mergeCell ref="A107:I107"/>
    <mergeCell ref="A175:I175"/>
    <mergeCell ref="A176:I176"/>
    <mergeCell ref="A177:I177"/>
    <mergeCell ref="A104:I104"/>
    <mergeCell ref="B88:G88"/>
    <mergeCell ref="B89:G89"/>
    <mergeCell ref="A91:I91"/>
    <mergeCell ref="A92:I92"/>
    <mergeCell ref="A93:I93"/>
    <mergeCell ref="A95:I95"/>
    <mergeCell ref="C97:E97"/>
    <mergeCell ref="C98:E98"/>
    <mergeCell ref="C100:E100"/>
    <mergeCell ref="C101:E101"/>
    <mergeCell ref="A103:I103"/>
    <mergeCell ref="A87:I87"/>
    <mergeCell ref="A3:I3"/>
    <mergeCell ref="A4:I4"/>
    <mergeCell ref="A5:I5"/>
    <mergeCell ref="A8:I8"/>
    <mergeCell ref="A10:I10"/>
    <mergeCell ref="A14:I14"/>
    <mergeCell ref="A15:I15"/>
    <mergeCell ref="A29:I29"/>
    <mergeCell ref="A46:I46"/>
    <mergeCell ref="A57:I57"/>
    <mergeCell ref="A78:I78"/>
  </mergeCells>
  <pageMargins left="0.70866141732283472" right="0.70866141732283472" top="0.27559055118110237" bottom="0.27559055118110237" header="0.31496062992125984" footer="0.31496062992125984"/>
  <pageSetup paperSize="9" scale="60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I184"/>
  <sheetViews>
    <sheetView workbookViewId="0">
      <selection activeCell="A4" sqref="A4:I4"/>
    </sheetView>
  </sheetViews>
  <sheetFormatPr defaultRowHeight="15"/>
  <cols>
    <col min="1" max="1" width="6.42578125" customWidth="1"/>
    <col min="2" max="2" width="53.140625" customWidth="1"/>
    <col min="3" max="3" width="18.5703125" customWidth="1"/>
    <col min="4" max="4" width="18.28515625" customWidth="1"/>
    <col min="5" max="6" width="0" hidden="1" customWidth="1"/>
    <col min="7" max="7" width="22.5703125" customWidth="1"/>
    <col min="8" max="8" width="22.5703125" hidden="1" customWidth="1"/>
    <col min="9" max="9" width="22.5703125" customWidth="1"/>
  </cols>
  <sheetData>
    <row r="1" spans="1:9" ht="15.75">
      <c r="A1" s="42" t="s">
        <v>136</v>
      </c>
      <c r="I1" s="41"/>
    </row>
    <row r="2" spans="1:9" ht="15.75">
      <c r="A2" s="43" t="s">
        <v>82</v>
      </c>
    </row>
    <row r="3" spans="1:9" ht="15.75">
      <c r="A3" s="172" t="s">
        <v>265</v>
      </c>
      <c r="B3" s="172"/>
      <c r="C3" s="172"/>
      <c r="D3" s="172"/>
      <c r="E3" s="172"/>
      <c r="F3" s="172"/>
      <c r="G3" s="172"/>
      <c r="H3" s="172"/>
      <c r="I3" s="172"/>
    </row>
    <row r="4" spans="1:9" ht="31.5" customHeight="1">
      <c r="A4" s="173" t="s">
        <v>280</v>
      </c>
      <c r="B4" s="173"/>
      <c r="C4" s="173"/>
      <c r="D4" s="173"/>
      <c r="E4" s="173"/>
      <c r="F4" s="173"/>
      <c r="G4" s="173"/>
      <c r="H4" s="173"/>
      <c r="I4" s="173"/>
    </row>
    <row r="5" spans="1:9" ht="15.75">
      <c r="A5" s="172" t="s">
        <v>80</v>
      </c>
      <c r="B5" s="174"/>
      <c r="C5" s="174"/>
      <c r="D5" s="174"/>
      <c r="E5" s="174"/>
      <c r="F5" s="174"/>
      <c r="G5" s="174"/>
      <c r="H5" s="174"/>
      <c r="I5" s="174"/>
    </row>
    <row r="6" spans="1:9" ht="15.75">
      <c r="A6" s="2"/>
      <c r="B6" s="112"/>
      <c r="C6" s="112"/>
      <c r="D6" s="112"/>
      <c r="E6" s="112"/>
      <c r="F6" s="112"/>
      <c r="G6" s="112"/>
      <c r="H6" s="112"/>
      <c r="I6" s="45">
        <v>42613</v>
      </c>
    </row>
    <row r="7" spans="1:9" ht="15.75">
      <c r="B7" s="114"/>
      <c r="C7" s="114"/>
      <c r="D7" s="114"/>
      <c r="E7" s="3"/>
      <c r="F7" s="3"/>
      <c r="G7" s="3"/>
      <c r="H7" s="3"/>
    </row>
    <row r="8" spans="1:9" ht="78.75" customHeight="1">
      <c r="A8" s="175" t="s">
        <v>246</v>
      </c>
      <c r="B8" s="175"/>
      <c r="C8" s="175"/>
      <c r="D8" s="175"/>
      <c r="E8" s="175"/>
      <c r="F8" s="175"/>
      <c r="G8" s="175"/>
      <c r="H8" s="175"/>
      <c r="I8" s="175"/>
    </row>
    <row r="9" spans="1:9" ht="15.75">
      <c r="A9" s="4"/>
    </row>
    <row r="10" spans="1:9" ht="47.25" customHeight="1">
      <c r="A10" s="176" t="s">
        <v>190</v>
      </c>
      <c r="B10" s="176"/>
      <c r="C10" s="176"/>
      <c r="D10" s="176"/>
      <c r="E10" s="176"/>
      <c r="F10" s="176"/>
      <c r="G10" s="176"/>
      <c r="H10" s="176"/>
      <c r="I10" s="176"/>
    </row>
    <row r="11" spans="1:9" ht="15.75">
      <c r="A11" s="4"/>
    </row>
    <row r="12" spans="1:9" ht="47.25" customHeight="1">
      <c r="A12" s="8" t="s">
        <v>0</v>
      </c>
      <c r="B12" s="8" t="s">
        <v>1</v>
      </c>
      <c r="C12" s="8" t="s">
        <v>2</v>
      </c>
      <c r="D12" s="8" t="s">
        <v>18</v>
      </c>
      <c r="E12" s="8" t="s">
        <v>19</v>
      </c>
      <c r="F12" s="8"/>
      <c r="G12" s="8" t="s">
        <v>23</v>
      </c>
      <c r="H12" s="8"/>
      <c r="I12" s="8" t="s">
        <v>3</v>
      </c>
    </row>
    <row r="13" spans="1:9">
      <c r="A13" s="9">
        <v>1</v>
      </c>
      <c r="B13" s="9">
        <v>2</v>
      </c>
      <c r="C13" s="9">
        <v>3</v>
      </c>
      <c r="D13" s="9">
        <v>4</v>
      </c>
      <c r="E13" s="9">
        <v>5</v>
      </c>
      <c r="F13" s="9"/>
      <c r="G13" s="9">
        <v>5</v>
      </c>
      <c r="H13" s="9"/>
      <c r="I13" s="9">
        <v>6</v>
      </c>
    </row>
    <row r="14" spans="1:9" ht="15" customHeight="1">
      <c r="A14" s="177" t="s">
        <v>74</v>
      </c>
      <c r="B14" s="177"/>
      <c r="C14" s="177"/>
      <c r="D14" s="177"/>
      <c r="E14" s="177"/>
      <c r="F14" s="177"/>
      <c r="G14" s="177"/>
      <c r="H14" s="177"/>
      <c r="I14" s="177"/>
    </row>
    <row r="15" spans="1:9" ht="15" customHeight="1">
      <c r="A15" s="171" t="s">
        <v>4</v>
      </c>
      <c r="B15" s="171"/>
      <c r="C15" s="171"/>
      <c r="D15" s="171"/>
      <c r="E15" s="171"/>
      <c r="F15" s="171"/>
      <c r="G15" s="171"/>
      <c r="H15" s="171"/>
      <c r="I15" s="171"/>
    </row>
    <row r="16" spans="1:9" ht="31.5" customHeight="1">
      <c r="A16" s="44">
        <v>1</v>
      </c>
      <c r="B16" s="143" t="s">
        <v>147</v>
      </c>
      <c r="C16" s="144" t="s">
        <v>148</v>
      </c>
      <c r="D16" s="143" t="s">
        <v>149</v>
      </c>
      <c r="E16" s="145">
        <v>38.1</v>
      </c>
      <c r="F16" s="146">
        <f>SUM(E16*156/100)</f>
        <v>59.436000000000007</v>
      </c>
      <c r="G16" s="146">
        <v>187.48</v>
      </c>
      <c r="H16" s="147">
        <f t="shared" ref="H16:H26" si="0">SUM(F16*G16/1000)</f>
        <v>11.14306128</v>
      </c>
      <c r="I16" s="19">
        <f>F16/12*G16</f>
        <v>928.58843999999999</v>
      </c>
    </row>
    <row r="17" spans="1:9" ht="31.5" customHeight="1">
      <c r="A17" s="44">
        <v>2</v>
      </c>
      <c r="B17" s="143" t="s">
        <v>150</v>
      </c>
      <c r="C17" s="144" t="s">
        <v>148</v>
      </c>
      <c r="D17" s="143" t="s">
        <v>151</v>
      </c>
      <c r="E17" s="145">
        <v>114.4</v>
      </c>
      <c r="F17" s="146">
        <f>SUM(E17*104/100)</f>
        <v>118.976</v>
      </c>
      <c r="G17" s="146">
        <v>187.48</v>
      </c>
      <c r="H17" s="147">
        <f t="shared" si="0"/>
        <v>22.305620479999998</v>
      </c>
      <c r="I17" s="19">
        <f>F17/12*G17</f>
        <v>1858.8017066666666</v>
      </c>
    </row>
    <row r="18" spans="1:9" ht="31.5" customHeight="1">
      <c r="A18" s="44">
        <v>3</v>
      </c>
      <c r="B18" s="143" t="s">
        <v>152</v>
      </c>
      <c r="C18" s="144" t="s">
        <v>148</v>
      </c>
      <c r="D18" s="143" t="s">
        <v>153</v>
      </c>
      <c r="E18" s="145">
        <f>SUM(E16+E17)</f>
        <v>152.5</v>
      </c>
      <c r="F18" s="146">
        <f>SUM(E18*24/100)</f>
        <v>36.6</v>
      </c>
      <c r="G18" s="146">
        <v>539.30999999999995</v>
      </c>
      <c r="H18" s="147">
        <f t="shared" si="0"/>
        <v>19.738745999999999</v>
      </c>
      <c r="I18" s="19">
        <f>F18/12*G18</f>
        <v>1644.8955000000001</v>
      </c>
    </row>
    <row r="19" spans="1:9" ht="15.75" hidden="1" customHeight="1">
      <c r="A19" s="44">
        <v>4</v>
      </c>
      <c r="B19" s="143" t="s">
        <v>193</v>
      </c>
      <c r="C19" s="144" t="s">
        <v>194</v>
      </c>
      <c r="D19" s="143" t="s">
        <v>195</v>
      </c>
      <c r="E19" s="145">
        <v>32.4</v>
      </c>
      <c r="F19" s="146">
        <f>SUM(E19/10)</f>
        <v>3.2399999999999998</v>
      </c>
      <c r="G19" s="146">
        <v>181.91</v>
      </c>
      <c r="H19" s="147">
        <f t="shared" si="0"/>
        <v>0.58938839999999992</v>
      </c>
      <c r="I19" s="19">
        <v>0</v>
      </c>
    </row>
    <row r="20" spans="1:9" ht="15.75" hidden="1" customHeight="1">
      <c r="A20" s="44">
        <v>5</v>
      </c>
      <c r="B20" s="143" t="s">
        <v>196</v>
      </c>
      <c r="C20" s="144" t="s">
        <v>148</v>
      </c>
      <c r="D20" s="143" t="s">
        <v>49</v>
      </c>
      <c r="E20" s="145">
        <v>12.24</v>
      </c>
      <c r="F20" s="146">
        <f>SUM(E20*2/100)</f>
        <v>0.24480000000000002</v>
      </c>
      <c r="G20" s="146">
        <v>232.92</v>
      </c>
      <c r="H20" s="147">
        <f t="shared" si="0"/>
        <v>5.7018816E-2</v>
      </c>
      <c r="I20" s="19">
        <v>0</v>
      </c>
    </row>
    <row r="21" spans="1:9" ht="15.75" hidden="1" customHeight="1">
      <c r="A21" s="44">
        <v>6</v>
      </c>
      <c r="B21" s="143" t="s">
        <v>197</v>
      </c>
      <c r="C21" s="144" t="s">
        <v>148</v>
      </c>
      <c r="D21" s="143" t="s">
        <v>49</v>
      </c>
      <c r="E21" s="145">
        <v>10.08</v>
      </c>
      <c r="F21" s="146">
        <f>SUM(E21*2/100)</f>
        <v>0.2016</v>
      </c>
      <c r="G21" s="146">
        <v>231.03</v>
      </c>
      <c r="H21" s="147">
        <f t="shared" si="0"/>
        <v>4.6575648000000004E-2</v>
      </c>
      <c r="I21" s="19">
        <v>0</v>
      </c>
    </row>
    <row r="22" spans="1:9" ht="15.75" hidden="1" customHeight="1">
      <c r="A22" s="44">
        <v>7</v>
      </c>
      <c r="B22" s="143" t="s">
        <v>198</v>
      </c>
      <c r="C22" s="144" t="s">
        <v>62</v>
      </c>
      <c r="D22" s="143" t="s">
        <v>195</v>
      </c>
      <c r="E22" s="145">
        <v>293.76</v>
      </c>
      <c r="F22" s="146">
        <f>SUM(E22/100)</f>
        <v>2.9375999999999998</v>
      </c>
      <c r="G22" s="146">
        <v>287.83999999999997</v>
      </c>
      <c r="H22" s="147">
        <f t="shared" si="0"/>
        <v>0.84555878399999984</v>
      </c>
      <c r="I22" s="19">
        <v>0</v>
      </c>
    </row>
    <row r="23" spans="1:9" ht="15.75" hidden="1" customHeight="1">
      <c r="A23" s="44">
        <v>8</v>
      </c>
      <c r="B23" s="143" t="s">
        <v>199</v>
      </c>
      <c r="C23" s="144" t="s">
        <v>62</v>
      </c>
      <c r="D23" s="143" t="s">
        <v>195</v>
      </c>
      <c r="E23" s="148">
        <v>17.64</v>
      </c>
      <c r="F23" s="146">
        <f>SUM(E23/100)</f>
        <v>0.1764</v>
      </c>
      <c r="G23" s="146">
        <v>47.34</v>
      </c>
      <c r="H23" s="147">
        <f t="shared" si="0"/>
        <v>8.3507760000000007E-3</v>
      </c>
      <c r="I23" s="19">
        <v>0</v>
      </c>
    </row>
    <row r="24" spans="1:9" ht="15.75" hidden="1" customHeight="1">
      <c r="A24" s="44">
        <v>9</v>
      </c>
      <c r="B24" s="143" t="s">
        <v>200</v>
      </c>
      <c r="C24" s="144" t="s">
        <v>62</v>
      </c>
      <c r="D24" s="143" t="s">
        <v>201</v>
      </c>
      <c r="E24" s="145">
        <v>10.8</v>
      </c>
      <c r="F24" s="146">
        <f>E24/100</f>
        <v>0.10800000000000001</v>
      </c>
      <c r="G24" s="146">
        <v>416.62</v>
      </c>
      <c r="H24" s="147">
        <f t="shared" si="0"/>
        <v>4.4994960000000007E-2</v>
      </c>
      <c r="I24" s="19">
        <v>0</v>
      </c>
    </row>
    <row r="25" spans="1:9" ht="15.75" hidden="1" customHeight="1">
      <c r="A25" s="44">
        <v>10</v>
      </c>
      <c r="B25" s="143" t="s">
        <v>202</v>
      </c>
      <c r="C25" s="144" t="s">
        <v>62</v>
      </c>
      <c r="D25" s="143" t="s">
        <v>63</v>
      </c>
      <c r="E25" s="145">
        <v>12.6</v>
      </c>
      <c r="F25" s="146">
        <v>0.13</v>
      </c>
      <c r="G25" s="146">
        <v>231.03</v>
      </c>
      <c r="H25" s="147">
        <f>G25*F25/1000</f>
        <v>3.0033900000000002E-2</v>
      </c>
      <c r="I25" s="19">
        <v>0</v>
      </c>
    </row>
    <row r="26" spans="1:9" ht="15.75" hidden="1" customHeight="1">
      <c r="A26" s="44">
        <v>11</v>
      </c>
      <c r="B26" s="143" t="s">
        <v>203</v>
      </c>
      <c r="C26" s="144" t="s">
        <v>62</v>
      </c>
      <c r="D26" s="143" t="s">
        <v>195</v>
      </c>
      <c r="E26" s="145">
        <v>14.4</v>
      </c>
      <c r="F26" s="146">
        <f>SUM(E26/100)</f>
        <v>0.14400000000000002</v>
      </c>
      <c r="G26" s="146">
        <v>556.74</v>
      </c>
      <c r="H26" s="147">
        <f t="shared" si="0"/>
        <v>8.0170560000000016E-2</v>
      </c>
      <c r="I26" s="19">
        <v>0</v>
      </c>
    </row>
    <row r="27" spans="1:9" ht="15.75" customHeight="1">
      <c r="A27" s="44">
        <v>4</v>
      </c>
      <c r="B27" s="143" t="s">
        <v>86</v>
      </c>
      <c r="C27" s="144" t="s">
        <v>35</v>
      </c>
      <c r="D27" s="143" t="s">
        <v>206</v>
      </c>
      <c r="E27" s="145">
        <v>0.1</v>
      </c>
      <c r="F27" s="146">
        <f>SUM(E27*365)</f>
        <v>36.5</v>
      </c>
      <c r="G27" s="146">
        <v>157.18</v>
      </c>
      <c r="H27" s="147">
        <f>SUM(F27*G27/1000)</f>
        <v>5.737070000000001</v>
      </c>
      <c r="I27" s="19">
        <f>F27/12*G27</f>
        <v>478.08916666666664</v>
      </c>
    </row>
    <row r="28" spans="1:9" ht="15.75" customHeight="1">
      <c r="A28" s="44">
        <v>5</v>
      </c>
      <c r="B28" s="151" t="s">
        <v>24</v>
      </c>
      <c r="C28" s="144" t="s">
        <v>25</v>
      </c>
      <c r="D28" s="151" t="s">
        <v>208</v>
      </c>
      <c r="E28" s="145">
        <v>2062.5</v>
      </c>
      <c r="F28" s="146">
        <f>SUM(E28*12)</f>
        <v>24750</v>
      </c>
      <c r="G28" s="146">
        <v>5.53</v>
      </c>
      <c r="H28" s="147">
        <f>SUM(F28*G28/1000)</f>
        <v>136.86750000000001</v>
      </c>
      <c r="I28" s="19">
        <f>F28/12*G28</f>
        <v>11405.625</v>
      </c>
    </row>
    <row r="29" spans="1:9" ht="15.75" customHeight="1">
      <c r="A29" s="186" t="s">
        <v>130</v>
      </c>
      <c r="B29" s="187"/>
      <c r="C29" s="187"/>
      <c r="D29" s="187"/>
      <c r="E29" s="187"/>
      <c r="F29" s="187"/>
      <c r="G29" s="187"/>
      <c r="H29" s="187"/>
      <c r="I29" s="188"/>
    </row>
    <row r="30" spans="1:9" ht="15.75" customHeight="1">
      <c r="A30" s="44"/>
      <c r="B30" s="164" t="s">
        <v>31</v>
      </c>
      <c r="C30" s="144"/>
      <c r="D30" s="143"/>
      <c r="E30" s="145"/>
      <c r="F30" s="146"/>
      <c r="G30" s="146"/>
      <c r="H30" s="147"/>
      <c r="I30" s="19"/>
    </row>
    <row r="31" spans="1:9" ht="31.5" customHeight="1">
      <c r="A31" s="44">
        <v>6</v>
      </c>
      <c r="B31" s="143" t="s">
        <v>236</v>
      </c>
      <c r="C31" s="144" t="s">
        <v>166</v>
      </c>
      <c r="D31" s="143" t="s">
        <v>204</v>
      </c>
      <c r="E31" s="146">
        <v>652.9</v>
      </c>
      <c r="F31" s="146">
        <f>SUM(E31*52/1000)</f>
        <v>33.950799999999994</v>
      </c>
      <c r="G31" s="146">
        <v>166.65</v>
      </c>
      <c r="H31" s="147">
        <f t="shared" ref="H31:H36" si="1">SUM(F31*G31/1000)</f>
        <v>5.6579008199999992</v>
      </c>
      <c r="I31" s="19">
        <f>F31/6*G31</f>
        <v>942.9834699999999</v>
      </c>
    </row>
    <row r="32" spans="1:9" ht="31.5" customHeight="1">
      <c r="A32" s="44">
        <v>7</v>
      </c>
      <c r="B32" s="143" t="s">
        <v>237</v>
      </c>
      <c r="C32" s="144" t="s">
        <v>166</v>
      </c>
      <c r="D32" s="143" t="s">
        <v>205</v>
      </c>
      <c r="E32" s="146">
        <v>63.5</v>
      </c>
      <c r="F32" s="146">
        <f>SUM(E32*78/1000)</f>
        <v>4.9530000000000003</v>
      </c>
      <c r="G32" s="146">
        <v>276.48</v>
      </c>
      <c r="H32" s="147">
        <f t="shared" si="1"/>
        <v>1.3694054400000002</v>
      </c>
      <c r="I32" s="19">
        <f t="shared" ref="I32:I34" si="2">F32/6*G32</f>
        <v>228.23424000000003</v>
      </c>
    </row>
    <row r="33" spans="1:9" ht="15.75" hidden="1" customHeight="1">
      <c r="A33" s="44">
        <v>8</v>
      </c>
      <c r="B33" s="143" t="s">
        <v>30</v>
      </c>
      <c r="C33" s="144" t="s">
        <v>166</v>
      </c>
      <c r="D33" s="143" t="s">
        <v>63</v>
      </c>
      <c r="E33" s="146">
        <v>652.9</v>
      </c>
      <c r="F33" s="146">
        <f>SUM(E33/1000)</f>
        <v>0.65289999999999992</v>
      </c>
      <c r="G33" s="146">
        <v>3228.73</v>
      </c>
      <c r="H33" s="147">
        <f t="shared" si="1"/>
        <v>2.108037817</v>
      </c>
      <c r="I33" s="19">
        <f>F33*G33</f>
        <v>2108.0378169999999</v>
      </c>
    </row>
    <row r="34" spans="1:9" ht="15.75" customHeight="1">
      <c r="A34" s="44">
        <v>8</v>
      </c>
      <c r="B34" s="143" t="s">
        <v>238</v>
      </c>
      <c r="C34" s="144" t="s">
        <v>33</v>
      </c>
      <c r="D34" s="143" t="s">
        <v>85</v>
      </c>
      <c r="E34" s="150">
        <v>0.33333333333333331</v>
      </c>
      <c r="F34" s="146">
        <f>155/3</f>
        <v>51.666666666666664</v>
      </c>
      <c r="G34" s="146">
        <v>60.6</v>
      </c>
      <c r="H34" s="147">
        <f>SUM(G34*155/3/1000)</f>
        <v>3.1309999999999998</v>
      </c>
      <c r="I34" s="19">
        <f t="shared" si="2"/>
        <v>521.83333333333337</v>
      </c>
    </row>
    <row r="35" spans="1:9" ht="15.75" hidden="1" customHeight="1">
      <c r="A35" s="44"/>
      <c r="B35" s="143" t="s">
        <v>87</v>
      </c>
      <c r="C35" s="144" t="s">
        <v>35</v>
      </c>
      <c r="D35" s="143" t="s">
        <v>89</v>
      </c>
      <c r="E35" s="145"/>
      <c r="F35" s="146">
        <v>2</v>
      </c>
      <c r="G35" s="146">
        <v>204.52</v>
      </c>
      <c r="H35" s="147">
        <f t="shared" si="1"/>
        <v>0.40904000000000001</v>
      </c>
      <c r="I35" s="19">
        <v>0</v>
      </c>
    </row>
    <row r="36" spans="1:9" ht="15.75" hidden="1" customHeight="1">
      <c r="A36" s="44"/>
      <c r="B36" s="143" t="s">
        <v>207</v>
      </c>
      <c r="C36" s="144" t="s">
        <v>34</v>
      </c>
      <c r="D36" s="143" t="s">
        <v>89</v>
      </c>
      <c r="E36" s="145"/>
      <c r="F36" s="146">
        <v>1</v>
      </c>
      <c r="G36" s="146">
        <v>1214.74</v>
      </c>
      <c r="H36" s="147">
        <f t="shared" si="1"/>
        <v>1.2147399999999999</v>
      </c>
      <c r="I36" s="19">
        <v>0</v>
      </c>
    </row>
    <row r="37" spans="1:9" ht="15.75" hidden="1" customHeight="1">
      <c r="A37" s="44"/>
      <c r="B37" s="164" t="s">
        <v>5</v>
      </c>
      <c r="C37" s="144"/>
      <c r="D37" s="143"/>
      <c r="E37" s="145"/>
      <c r="F37" s="146"/>
      <c r="G37" s="146"/>
      <c r="H37" s="147" t="s">
        <v>208</v>
      </c>
      <c r="I37" s="19"/>
    </row>
    <row r="38" spans="1:9" ht="15.75" hidden="1" customHeight="1">
      <c r="A38" s="44">
        <v>6</v>
      </c>
      <c r="B38" s="143" t="s">
        <v>29</v>
      </c>
      <c r="C38" s="144" t="s">
        <v>34</v>
      </c>
      <c r="D38" s="143"/>
      <c r="E38" s="145"/>
      <c r="F38" s="146">
        <v>10</v>
      </c>
      <c r="G38" s="146">
        <v>1632.6</v>
      </c>
      <c r="H38" s="147">
        <f t="shared" ref="H38:H45" si="3">SUM(F38*G38/1000)</f>
        <v>16.326000000000001</v>
      </c>
      <c r="I38" s="19">
        <f>F38/6*G38</f>
        <v>2721</v>
      </c>
    </row>
    <row r="39" spans="1:9" ht="15.75" hidden="1" customHeight="1">
      <c r="A39" s="44">
        <v>7</v>
      </c>
      <c r="B39" s="143" t="s">
        <v>209</v>
      </c>
      <c r="C39" s="144" t="s">
        <v>32</v>
      </c>
      <c r="D39" s="143" t="s">
        <v>210</v>
      </c>
      <c r="E39" s="146">
        <v>172.55</v>
      </c>
      <c r="F39" s="146">
        <f>SUM(E39*12/1000)</f>
        <v>2.0706000000000002</v>
      </c>
      <c r="G39" s="146">
        <v>2247.8000000000002</v>
      </c>
      <c r="H39" s="147">
        <f t="shared" si="3"/>
        <v>4.6542946800000005</v>
      </c>
      <c r="I39" s="19">
        <f>F39/6*G39</f>
        <v>775.71578000000011</v>
      </c>
    </row>
    <row r="40" spans="1:9" ht="15.75" hidden="1" customHeight="1">
      <c r="A40" s="44">
        <v>8</v>
      </c>
      <c r="B40" s="143" t="s">
        <v>211</v>
      </c>
      <c r="C40" s="144" t="s">
        <v>32</v>
      </c>
      <c r="D40" s="143" t="s">
        <v>162</v>
      </c>
      <c r="E40" s="145">
        <v>63.5</v>
      </c>
      <c r="F40" s="146">
        <v>1.91</v>
      </c>
      <c r="G40" s="146">
        <v>2247.8000000000002</v>
      </c>
      <c r="H40" s="147">
        <f>G40*F40/1000</f>
        <v>4.2932980000000001</v>
      </c>
      <c r="I40" s="19">
        <f>F40/6*G40</f>
        <v>715.54966666666667</v>
      </c>
    </row>
    <row r="41" spans="1:9" ht="15.75" hidden="1" customHeight="1">
      <c r="A41" s="44"/>
      <c r="B41" s="143" t="s">
        <v>163</v>
      </c>
      <c r="C41" s="144" t="s">
        <v>164</v>
      </c>
      <c r="D41" s="143" t="s">
        <v>89</v>
      </c>
      <c r="E41" s="145"/>
      <c r="F41" s="146">
        <v>75</v>
      </c>
      <c r="G41" s="146">
        <v>213.2</v>
      </c>
      <c r="H41" s="147">
        <f>G41*F41/1000</f>
        <v>15.99</v>
      </c>
      <c r="I41" s="19">
        <v>0</v>
      </c>
    </row>
    <row r="42" spans="1:9" ht="15.75" hidden="1" customHeight="1">
      <c r="A42" s="44">
        <v>9</v>
      </c>
      <c r="B42" s="143" t="s">
        <v>92</v>
      </c>
      <c r="C42" s="144" t="s">
        <v>32</v>
      </c>
      <c r="D42" s="143" t="s">
        <v>165</v>
      </c>
      <c r="E42" s="146">
        <v>63.5</v>
      </c>
      <c r="F42" s="146">
        <f>SUM(E42*155/1000)</f>
        <v>9.8424999999999994</v>
      </c>
      <c r="G42" s="146">
        <v>374.95</v>
      </c>
      <c r="H42" s="147">
        <f t="shared" si="3"/>
        <v>3.6904453749999999</v>
      </c>
      <c r="I42" s="19">
        <f>F42/6*G42</f>
        <v>615.07422916666667</v>
      </c>
    </row>
    <row r="43" spans="1:9" ht="15.75" hidden="1" customHeight="1">
      <c r="A43" s="44">
        <v>10</v>
      </c>
      <c r="B43" s="143" t="s">
        <v>128</v>
      </c>
      <c r="C43" s="144" t="s">
        <v>166</v>
      </c>
      <c r="D43" s="143" t="s">
        <v>212</v>
      </c>
      <c r="E43" s="146">
        <v>63.5</v>
      </c>
      <c r="F43" s="146">
        <f>SUM(E43*24/1000)</f>
        <v>1.524</v>
      </c>
      <c r="G43" s="146">
        <v>6203.7</v>
      </c>
      <c r="H43" s="147">
        <f t="shared" si="3"/>
        <v>9.4544388000000001</v>
      </c>
      <c r="I43" s="19">
        <f>F43/6*G43</f>
        <v>1575.7398000000001</v>
      </c>
    </row>
    <row r="44" spans="1:9" ht="15.75" hidden="1" customHeight="1">
      <c r="A44" s="44">
        <v>11</v>
      </c>
      <c r="B44" s="143" t="s">
        <v>168</v>
      </c>
      <c r="C44" s="144" t="s">
        <v>166</v>
      </c>
      <c r="D44" s="143" t="s">
        <v>95</v>
      </c>
      <c r="E44" s="146">
        <v>63.5</v>
      </c>
      <c r="F44" s="146">
        <f>SUM(E44*45/1000)</f>
        <v>2.8574999999999999</v>
      </c>
      <c r="G44" s="146">
        <v>458.28</v>
      </c>
      <c r="H44" s="147">
        <f t="shared" si="3"/>
        <v>1.3095350999999997</v>
      </c>
      <c r="I44" s="19">
        <f>F44/6*G44</f>
        <v>218.25584999999998</v>
      </c>
    </row>
    <row r="45" spans="1:9" ht="15.75" hidden="1" customHeight="1">
      <c r="A45" s="44">
        <v>12</v>
      </c>
      <c r="B45" s="143" t="s">
        <v>96</v>
      </c>
      <c r="C45" s="144" t="s">
        <v>35</v>
      </c>
      <c r="D45" s="143"/>
      <c r="E45" s="145"/>
      <c r="F45" s="146">
        <v>0.9</v>
      </c>
      <c r="G45" s="146">
        <v>853.06</v>
      </c>
      <c r="H45" s="147">
        <f t="shared" si="3"/>
        <v>0.76775400000000005</v>
      </c>
      <c r="I45" s="19">
        <f>F45/6*G45</f>
        <v>127.95899999999999</v>
      </c>
    </row>
    <row r="46" spans="1:9" ht="15.75" customHeight="1">
      <c r="A46" s="186" t="s">
        <v>186</v>
      </c>
      <c r="B46" s="187"/>
      <c r="C46" s="187"/>
      <c r="D46" s="187"/>
      <c r="E46" s="187"/>
      <c r="F46" s="187"/>
      <c r="G46" s="187"/>
      <c r="H46" s="187"/>
      <c r="I46" s="188"/>
    </row>
    <row r="47" spans="1:9" ht="15.75" hidden="1" customHeight="1">
      <c r="A47" s="44"/>
      <c r="B47" s="143" t="s">
        <v>213</v>
      </c>
      <c r="C47" s="144" t="s">
        <v>166</v>
      </c>
      <c r="D47" s="143" t="s">
        <v>49</v>
      </c>
      <c r="E47" s="145">
        <v>881.3</v>
      </c>
      <c r="F47" s="146">
        <f>SUM(E47*2/1000)</f>
        <v>1.7625999999999999</v>
      </c>
      <c r="G47" s="19">
        <v>865.61</v>
      </c>
      <c r="H47" s="147">
        <f t="shared" ref="H47:H56" si="4">SUM(F47*G47/1000)</f>
        <v>1.5257241859999999</v>
      </c>
      <c r="I47" s="19">
        <v>0</v>
      </c>
    </row>
    <row r="48" spans="1:9" ht="15.75" hidden="1" customHeight="1">
      <c r="A48" s="44"/>
      <c r="B48" s="143" t="s">
        <v>39</v>
      </c>
      <c r="C48" s="144" t="s">
        <v>166</v>
      </c>
      <c r="D48" s="143" t="s">
        <v>49</v>
      </c>
      <c r="E48" s="145">
        <v>48</v>
      </c>
      <c r="F48" s="146">
        <f>SUM(E48*2/1000)</f>
        <v>9.6000000000000002E-2</v>
      </c>
      <c r="G48" s="19">
        <v>619.46</v>
      </c>
      <c r="H48" s="147">
        <f t="shared" si="4"/>
        <v>5.9468160000000006E-2</v>
      </c>
      <c r="I48" s="19">
        <v>0</v>
      </c>
    </row>
    <row r="49" spans="1:9" ht="15.75" hidden="1" customHeight="1">
      <c r="A49" s="44"/>
      <c r="B49" s="143" t="s">
        <v>40</v>
      </c>
      <c r="C49" s="144" t="s">
        <v>166</v>
      </c>
      <c r="D49" s="143" t="s">
        <v>49</v>
      </c>
      <c r="E49" s="145">
        <v>939.64</v>
      </c>
      <c r="F49" s="146">
        <f>SUM(E49*2/1000)</f>
        <v>1.8792800000000001</v>
      </c>
      <c r="G49" s="19">
        <v>619.46</v>
      </c>
      <c r="H49" s="147">
        <f t="shared" si="4"/>
        <v>1.1641387888000001</v>
      </c>
      <c r="I49" s="19">
        <v>0</v>
      </c>
    </row>
    <row r="50" spans="1:9" ht="15.75" hidden="1" customHeight="1">
      <c r="A50" s="44"/>
      <c r="B50" s="143" t="s">
        <v>41</v>
      </c>
      <c r="C50" s="144" t="s">
        <v>166</v>
      </c>
      <c r="D50" s="143" t="s">
        <v>49</v>
      </c>
      <c r="E50" s="145">
        <v>1247.3699999999999</v>
      </c>
      <c r="F50" s="146">
        <f>SUM(E50*2/1000)</f>
        <v>2.4947399999999997</v>
      </c>
      <c r="G50" s="19">
        <v>648.64</v>
      </c>
      <c r="H50" s="147">
        <f t="shared" si="4"/>
        <v>1.6181881535999998</v>
      </c>
      <c r="I50" s="19">
        <v>0</v>
      </c>
    </row>
    <row r="51" spans="1:9" ht="15.75" hidden="1" customHeight="1">
      <c r="A51" s="44"/>
      <c r="B51" s="143" t="s">
        <v>37</v>
      </c>
      <c r="C51" s="144" t="s">
        <v>38</v>
      </c>
      <c r="D51" s="143" t="s">
        <v>49</v>
      </c>
      <c r="E51" s="145">
        <v>65.03</v>
      </c>
      <c r="F51" s="146">
        <f>SUM(E51*2/100)</f>
        <v>1.3006</v>
      </c>
      <c r="G51" s="19">
        <v>77.84</v>
      </c>
      <c r="H51" s="147">
        <f t="shared" si="4"/>
        <v>0.101238704</v>
      </c>
      <c r="I51" s="19">
        <v>0</v>
      </c>
    </row>
    <row r="52" spans="1:9" ht="15.75" hidden="1" customHeight="1">
      <c r="A52" s="44">
        <v>13</v>
      </c>
      <c r="B52" s="143" t="s">
        <v>71</v>
      </c>
      <c r="C52" s="144" t="s">
        <v>166</v>
      </c>
      <c r="D52" s="143" t="s">
        <v>239</v>
      </c>
      <c r="E52" s="145">
        <v>702</v>
      </c>
      <c r="F52" s="146">
        <f>SUM(E52*5/1000)</f>
        <v>3.51</v>
      </c>
      <c r="G52" s="19">
        <v>1297.28</v>
      </c>
      <c r="H52" s="147">
        <f t="shared" si="4"/>
        <v>4.5534527999999996</v>
      </c>
      <c r="I52" s="19">
        <f>F52/5*G52</f>
        <v>910.69055999999989</v>
      </c>
    </row>
    <row r="53" spans="1:9" ht="31.5" hidden="1" customHeight="1">
      <c r="A53" s="44"/>
      <c r="B53" s="143" t="s">
        <v>154</v>
      </c>
      <c r="C53" s="144" t="s">
        <v>166</v>
      </c>
      <c r="D53" s="143" t="s">
        <v>49</v>
      </c>
      <c r="E53" s="145">
        <v>702</v>
      </c>
      <c r="F53" s="146">
        <f>SUM(E53*2/1000)</f>
        <v>1.4039999999999999</v>
      </c>
      <c r="G53" s="19">
        <v>1297.28</v>
      </c>
      <c r="H53" s="147">
        <f t="shared" si="4"/>
        <v>1.8213811199999999</v>
      </c>
      <c r="I53" s="19">
        <v>0</v>
      </c>
    </row>
    <row r="54" spans="1:9" ht="31.5" hidden="1" customHeight="1">
      <c r="A54" s="44"/>
      <c r="B54" s="143" t="s">
        <v>155</v>
      </c>
      <c r="C54" s="144" t="s">
        <v>44</v>
      </c>
      <c r="D54" s="143" t="s">
        <v>49</v>
      </c>
      <c r="E54" s="145">
        <v>12</v>
      </c>
      <c r="F54" s="146">
        <f>SUM(E54*2/100)</f>
        <v>0.24</v>
      </c>
      <c r="G54" s="19">
        <v>2918.89</v>
      </c>
      <c r="H54" s="147">
        <f t="shared" si="4"/>
        <v>0.70053359999999998</v>
      </c>
      <c r="I54" s="19">
        <v>0</v>
      </c>
    </row>
    <row r="55" spans="1:9" ht="15.75" hidden="1" customHeight="1">
      <c r="A55" s="44"/>
      <c r="B55" s="143" t="s">
        <v>45</v>
      </c>
      <c r="C55" s="144" t="s">
        <v>46</v>
      </c>
      <c r="D55" s="143" t="s">
        <v>49</v>
      </c>
      <c r="E55" s="145">
        <v>1</v>
      </c>
      <c r="F55" s="146">
        <v>0.02</v>
      </c>
      <c r="G55" s="19">
        <v>6042.12</v>
      </c>
      <c r="H55" s="147">
        <f t="shared" si="4"/>
        <v>0.1208424</v>
      </c>
      <c r="I55" s="19">
        <v>0</v>
      </c>
    </row>
    <row r="56" spans="1:9" ht="15.75" customHeight="1">
      <c r="A56" s="44">
        <v>9</v>
      </c>
      <c r="B56" s="143" t="s">
        <v>48</v>
      </c>
      <c r="C56" s="144" t="s">
        <v>140</v>
      </c>
      <c r="D56" s="143" t="s">
        <v>97</v>
      </c>
      <c r="E56" s="145">
        <v>72</v>
      </c>
      <c r="F56" s="146">
        <f>SUM(E56)*3</f>
        <v>216</v>
      </c>
      <c r="G56" s="19">
        <v>70.209999999999994</v>
      </c>
      <c r="H56" s="147">
        <f t="shared" si="4"/>
        <v>15.165359999999998</v>
      </c>
      <c r="I56" s="19">
        <f>E56*G56</f>
        <v>5055.12</v>
      </c>
    </row>
    <row r="57" spans="1:9" ht="15.75" customHeight="1">
      <c r="A57" s="186" t="s">
        <v>187</v>
      </c>
      <c r="B57" s="187"/>
      <c r="C57" s="187"/>
      <c r="D57" s="187"/>
      <c r="E57" s="187"/>
      <c r="F57" s="187"/>
      <c r="G57" s="187"/>
      <c r="H57" s="187"/>
      <c r="I57" s="188"/>
    </row>
    <row r="58" spans="1:9" ht="15.75" hidden="1" customHeight="1">
      <c r="A58" s="44"/>
      <c r="B58" s="164" t="s">
        <v>50</v>
      </c>
      <c r="C58" s="144"/>
      <c r="D58" s="143"/>
      <c r="E58" s="145"/>
      <c r="F58" s="146"/>
      <c r="G58" s="146"/>
      <c r="H58" s="147"/>
      <c r="I58" s="19"/>
    </row>
    <row r="59" spans="1:9" ht="31.5" hidden="1" customHeight="1">
      <c r="A59" s="44">
        <v>15</v>
      </c>
      <c r="B59" s="143" t="s">
        <v>214</v>
      </c>
      <c r="C59" s="144" t="s">
        <v>148</v>
      </c>
      <c r="D59" s="143" t="s">
        <v>215</v>
      </c>
      <c r="E59" s="145">
        <v>106.13</v>
      </c>
      <c r="F59" s="146">
        <f>SUM(E59*6/100)</f>
        <v>6.3677999999999999</v>
      </c>
      <c r="G59" s="19">
        <v>1456.95</v>
      </c>
      <c r="H59" s="147">
        <f>SUM(F59*G59/1000)</f>
        <v>9.2775662100000016</v>
      </c>
      <c r="I59" s="19">
        <f>F59/6*G59</f>
        <v>1546.261035</v>
      </c>
    </row>
    <row r="60" spans="1:9" ht="15.75" hidden="1" customHeight="1">
      <c r="A60" s="44"/>
      <c r="B60" s="164" t="s">
        <v>51</v>
      </c>
      <c r="C60" s="144"/>
      <c r="D60" s="143"/>
      <c r="E60" s="145"/>
      <c r="F60" s="146"/>
      <c r="G60" s="130"/>
      <c r="H60" s="147"/>
      <c r="I60" s="19"/>
    </row>
    <row r="61" spans="1:9" ht="15.75" hidden="1" customHeight="1">
      <c r="A61" s="44"/>
      <c r="B61" s="143" t="s">
        <v>216</v>
      </c>
      <c r="C61" s="144"/>
      <c r="D61" s="143" t="s">
        <v>63</v>
      </c>
      <c r="E61" s="145">
        <v>1036</v>
      </c>
      <c r="F61" s="147">
        <v>10.36</v>
      </c>
      <c r="G61" s="19">
        <v>848.37</v>
      </c>
      <c r="H61" s="152">
        <f>F61*G61/1000</f>
        <v>8.7891131999999992</v>
      </c>
      <c r="I61" s="19">
        <v>0</v>
      </c>
    </row>
    <row r="62" spans="1:9" ht="15.75" customHeight="1">
      <c r="A62" s="44"/>
      <c r="B62" s="165" t="s">
        <v>53</v>
      </c>
      <c r="C62" s="153"/>
      <c r="D62" s="154"/>
      <c r="E62" s="155"/>
      <c r="F62" s="156"/>
      <c r="G62" s="156"/>
      <c r="H62" s="157" t="s">
        <v>208</v>
      </c>
      <c r="I62" s="19"/>
    </row>
    <row r="63" spans="1:9" ht="15.75" customHeight="1">
      <c r="A63" s="44">
        <v>10</v>
      </c>
      <c r="B63" s="21" t="s">
        <v>54</v>
      </c>
      <c r="C63" s="23" t="s">
        <v>140</v>
      </c>
      <c r="D63" s="21" t="s">
        <v>89</v>
      </c>
      <c r="E63" s="26">
        <v>10</v>
      </c>
      <c r="F63" s="146">
        <v>10</v>
      </c>
      <c r="G63" s="19">
        <v>237.74</v>
      </c>
      <c r="H63" s="141">
        <f t="shared" ref="H63:H75" si="5">SUM(F63*G63/1000)</f>
        <v>2.3774000000000002</v>
      </c>
      <c r="I63" s="19">
        <f>G63</f>
        <v>237.74</v>
      </c>
    </row>
    <row r="64" spans="1:9" ht="15.75" hidden="1" customHeight="1">
      <c r="A64" s="44"/>
      <c r="B64" s="21" t="s">
        <v>55</v>
      </c>
      <c r="C64" s="23" t="s">
        <v>140</v>
      </c>
      <c r="D64" s="21" t="s">
        <v>89</v>
      </c>
      <c r="E64" s="26">
        <v>5</v>
      </c>
      <c r="F64" s="146">
        <v>5</v>
      </c>
      <c r="G64" s="19">
        <v>81.510000000000005</v>
      </c>
      <c r="H64" s="141">
        <f t="shared" si="5"/>
        <v>0.40755000000000002</v>
      </c>
      <c r="I64" s="19">
        <v>0</v>
      </c>
    </row>
    <row r="65" spans="1:9" ht="15.75" hidden="1" customHeight="1">
      <c r="A65" s="44"/>
      <c r="B65" s="21" t="s">
        <v>56</v>
      </c>
      <c r="C65" s="23" t="s">
        <v>217</v>
      </c>
      <c r="D65" s="21" t="s">
        <v>63</v>
      </c>
      <c r="E65" s="145">
        <v>8607</v>
      </c>
      <c r="F65" s="19">
        <f>SUM(E65/100)</f>
        <v>86.07</v>
      </c>
      <c r="G65" s="19">
        <v>226.79</v>
      </c>
      <c r="H65" s="141">
        <f t="shared" si="5"/>
        <v>19.519815299999998</v>
      </c>
      <c r="I65" s="19">
        <v>0</v>
      </c>
    </row>
    <row r="66" spans="1:9" ht="15.75" hidden="1" customHeight="1">
      <c r="A66" s="44"/>
      <c r="B66" s="21" t="s">
        <v>57</v>
      </c>
      <c r="C66" s="23" t="s">
        <v>218</v>
      </c>
      <c r="D66" s="21"/>
      <c r="E66" s="145">
        <v>8607</v>
      </c>
      <c r="F66" s="19">
        <f>SUM(E66/1000)</f>
        <v>8.6069999999999993</v>
      </c>
      <c r="G66" s="19">
        <v>176.61</v>
      </c>
      <c r="H66" s="141">
        <f t="shared" si="5"/>
        <v>1.5200822700000001</v>
      </c>
      <c r="I66" s="19">
        <v>0</v>
      </c>
    </row>
    <row r="67" spans="1:9" ht="15.75" hidden="1" customHeight="1">
      <c r="A67" s="44"/>
      <c r="B67" s="21" t="s">
        <v>58</v>
      </c>
      <c r="C67" s="23" t="s">
        <v>107</v>
      </c>
      <c r="D67" s="21" t="s">
        <v>63</v>
      </c>
      <c r="E67" s="145">
        <v>1370</v>
      </c>
      <c r="F67" s="19">
        <f>SUM(E67/100)</f>
        <v>13.7</v>
      </c>
      <c r="G67" s="19">
        <v>2217.7800000000002</v>
      </c>
      <c r="H67" s="141">
        <f t="shared" si="5"/>
        <v>30.383586000000005</v>
      </c>
      <c r="I67" s="19">
        <v>0</v>
      </c>
    </row>
    <row r="68" spans="1:9" ht="15.75" hidden="1" customHeight="1">
      <c r="A68" s="44"/>
      <c r="B68" s="158" t="s">
        <v>219</v>
      </c>
      <c r="C68" s="23" t="s">
        <v>35</v>
      </c>
      <c r="D68" s="21"/>
      <c r="E68" s="145">
        <v>7.8</v>
      </c>
      <c r="F68" s="19">
        <f>SUM(E68)</f>
        <v>7.8</v>
      </c>
      <c r="G68" s="19">
        <v>42.67</v>
      </c>
      <c r="H68" s="141">
        <f t="shared" si="5"/>
        <v>0.33282600000000001</v>
      </c>
      <c r="I68" s="19">
        <v>0</v>
      </c>
    </row>
    <row r="69" spans="1:9" ht="15.75" hidden="1" customHeight="1">
      <c r="A69" s="44"/>
      <c r="B69" s="158" t="s">
        <v>220</v>
      </c>
      <c r="C69" s="23" t="s">
        <v>35</v>
      </c>
      <c r="D69" s="21"/>
      <c r="E69" s="145">
        <v>7.8</v>
      </c>
      <c r="F69" s="19">
        <f>SUM(E69)</f>
        <v>7.8</v>
      </c>
      <c r="G69" s="19">
        <v>39.81</v>
      </c>
      <c r="H69" s="141">
        <f t="shared" si="5"/>
        <v>0.31051800000000002</v>
      </c>
      <c r="I69" s="19">
        <v>0</v>
      </c>
    </row>
    <row r="70" spans="1:9" ht="15.75" hidden="1" customHeight="1">
      <c r="A70" s="44"/>
      <c r="B70" s="21" t="s">
        <v>72</v>
      </c>
      <c r="C70" s="23" t="s">
        <v>73</v>
      </c>
      <c r="D70" s="21" t="s">
        <v>63</v>
      </c>
      <c r="E70" s="26">
        <v>3</v>
      </c>
      <c r="F70" s="146">
        <v>3</v>
      </c>
      <c r="G70" s="19">
        <v>53.32</v>
      </c>
      <c r="H70" s="141">
        <f t="shared" si="5"/>
        <v>0.15996000000000002</v>
      </c>
      <c r="I70" s="19">
        <v>0</v>
      </c>
    </row>
    <row r="71" spans="1:9" ht="15.75" hidden="1" customHeight="1">
      <c r="A71" s="44"/>
      <c r="B71" s="127" t="s">
        <v>101</v>
      </c>
      <c r="C71" s="23"/>
      <c r="D71" s="21"/>
      <c r="E71" s="26"/>
      <c r="F71" s="19"/>
      <c r="G71" s="19"/>
      <c r="H71" s="141" t="s">
        <v>208</v>
      </c>
      <c r="I71" s="19"/>
    </row>
    <row r="72" spans="1:9" ht="15.75" hidden="1" customHeight="1">
      <c r="A72" s="44"/>
      <c r="B72" s="21" t="s">
        <v>102</v>
      </c>
      <c r="C72" s="23" t="s">
        <v>104</v>
      </c>
      <c r="D72" s="21"/>
      <c r="E72" s="26">
        <v>2</v>
      </c>
      <c r="F72" s="19">
        <v>0.2</v>
      </c>
      <c r="G72" s="19">
        <v>536.23</v>
      </c>
      <c r="H72" s="141">
        <f t="shared" si="5"/>
        <v>0.10724600000000001</v>
      </c>
      <c r="I72" s="19">
        <v>0</v>
      </c>
    </row>
    <row r="73" spans="1:9" ht="15.75" hidden="1" customHeight="1">
      <c r="A73" s="44"/>
      <c r="B73" s="21" t="s">
        <v>103</v>
      </c>
      <c r="C73" s="23" t="s">
        <v>33</v>
      </c>
      <c r="D73" s="21"/>
      <c r="E73" s="26">
        <v>1</v>
      </c>
      <c r="F73" s="130">
        <v>1</v>
      </c>
      <c r="G73" s="19">
        <v>911.85</v>
      </c>
      <c r="H73" s="141">
        <f>F73*G73/1000</f>
        <v>0.91185000000000005</v>
      </c>
      <c r="I73" s="19">
        <v>0</v>
      </c>
    </row>
    <row r="74" spans="1:9" ht="15.75" hidden="1" customHeight="1">
      <c r="A74" s="44"/>
      <c r="B74" s="160" t="s">
        <v>105</v>
      </c>
      <c r="C74" s="23"/>
      <c r="D74" s="21"/>
      <c r="E74" s="26"/>
      <c r="F74" s="19"/>
      <c r="G74" s="19" t="s">
        <v>208</v>
      </c>
      <c r="H74" s="141" t="s">
        <v>208</v>
      </c>
      <c r="I74" s="19"/>
    </row>
    <row r="75" spans="1:9" ht="15.75" hidden="1" customHeight="1">
      <c r="A75" s="44"/>
      <c r="B75" s="81" t="s">
        <v>240</v>
      </c>
      <c r="C75" s="23" t="s">
        <v>107</v>
      </c>
      <c r="D75" s="21"/>
      <c r="E75" s="26"/>
      <c r="F75" s="19">
        <v>1</v>
      </c>
      <c r="G75" s="19">
        <v>2831.38</v>
      </c>
      <c r="H75" s="141">
        <f t="shared" si="5"/>
        <v>2.8313800000000002</v>
      </c>
      <c r="I75" s="19">
        <v>0</v>
      </c>
    </row>
    <row r="76" spans="1:9" ht="15.75" hidden="1" customHeight="1">
      <c r="A76" s="44"/>
      <c r="B76" s="168" t="s">
        <v>158</v>
      </c>
      <c r="C76" s="168"/>
      <c r="D76" s="168"/>
      <c r="E76" s="168"/>
      <c r="F76" s="168"/>
      <c r="G76" s="149"/>
      <c r="H76" s="161">
        <f>SUM(H59:H75)</f>
        <v>76.928892980000001</v>
      </c>
      <c r="I76" s="149"/>
    </row>
    <row r="77" spans="1:9" ht="15.75" hidden="1" customHeight="1">
      <c r="A77" s="44"/>
      <c r="B77" s="166" t="s">
        <v>221</v>
      </c>
      <c r="C77" s="32"/>
      <c r="D77" s="31"/>
      <c r="E77" s="162"/>
      <c r="F77" s="167">
        <v>1</v>
      </c>
      <c r="G77" s="19">
        <v>7528.4</v>
      </c>
      <c r="H77" s="141">
        <f>G77*F77/1000</f>
        <v>7.5283999999999995</v>
      </c>
      <c r="I77" s="19">
        <v>0</v>
      </c>
    </row>
    <row r="78" spans="1:9" ht="15.75" customHeight="1">
      <c r="A78" s="186" t="s">
        <v>188</v>
      </c>
      <c r="B78" s="187"/>
      <c r="C78" s="187"/>
      <c r="D78" s="187"/>
      <c r="E78" s="187"/>
      <c r="F78" s="187"/>
      <c r="G78" s="187"/>
      <c r="H78" s="187"/>
      <c r="I78" s="188"/>
    </row>
    <row r="79" spans="1:9" ht="15.75" customHeight="1">
      <c r="A79" s="44">
        <v>11</v>
      </c>
      <c r="B79" s="143" t="s">
        <v>222</v>
      </c>
      <c r="C79" s="23" t="s">
        <v>68</v>
      </c>
      <c r="D79" s="163" t="s">
        <v>69</v>
      </c>
      <c r="E79" s="19">
        <v>2062.5</v>
      </c>
      <c r="F79" s="19">
        <f>SUM(E79*12)</f>
        <v>24750</v>
      </c>
      <c r="G79" s="19">
        <v>2.2400000000000002</v>
      </c>
      <c r="H79" s="141">
        <f>SUM(F79*G79/1000)</f>
        <v>55.440000000000005</v>
      </c>
      <c r="I79" s="19">
        <f>F79/12*G79</f>
        <v>4620</v>
      </c>
    </row>
    <row r="80" spans="1:9" ht="31.5" customHeight="1">
      <c r="A80" s="44">
        <v>12</v>
      </c>
      <c r="B80" s="21" t="s">
        <v>108</v>
      </c>
      <c r="C80" s="23"/>
      <c r="D80" s="163" t="s">
        <v>69</v>
      </c>
      <c r="E80" s="145">
        <f>E79</f>
        <v>2062.5</v>
      </c>
      <c r="F80" s="19">
        <f>E80*12</f>
        <v>24750</v>
      </c>
      <c r="G80" s="19">
        <v>1.74</v>
      </c>
      <c r="H80" s="141">
        <f>F80*G80/1000</f>
        <v>43.064999999999998</v>
      </c>
      <c r="I80" s="19">
        <f>F80/12*G80</f>
        <v>3588.75</v>
      </c>
    </row>
    <row r="81" spans="1:9" ht="15.75" customHeight="1">
      <c r="A81" s="44"/>
      <c r="B81" s="68" t="s">
        <v>115</v>
      </c>
      <c r="C81" s="160"/>
      <c r="D81" s="159"/>
      <c r="E81" s="149"/>
      <c r="F81" s="149"/>
      <c r="G81" s="149"/>
      <c r="H81" s="161">
        <f>H80</f>
        <v>43.064999999999998</v>
      </c>
      <c r="I81" s="149">
        <f>I16+I17+I18+I27+I28+I31+I32+I34+I56+I63+I79+I80</f>
        <v>31510.660856666669</v>
      </c>
    </row>
    <row r="82" spans="1:9" ht="15.75" customHeight="1">
      <c r="A82" s="44"/>
      <c r="B82" s="102" t="s">
        <v>76</v>
      </c>
      <c r="C82" s="23"/>
      <c r="D82" s="81"/>
      <c r="E82" s="19"/>
      <c r="F82" s="19"/>
      <c r="G82" s="19"/>
      <c r="H82" s="161" t="e">
        <f>SUM(H81+#REF!+H76+H57+H46+#REF!+H29)</f>
        <v>#REF!</v>
      </c>
      <c r="I82" s="19"/>
    </row>
    <row r="83" spans="1:9" ht="31.5" customHeight="1">
      <c r="A83" s="44">
        <v>13</v>
      </c>
      <c r="B83" s="95" t="s">
        <v>266</v>
      </c>
      <c r="C83" s="96" t="s">
        <v>117</v>
      </c>
      <c r="D83" s="81"/>
      <c r="E83" s="19"/>
      <c r="F83" s="19">
        <v>2</v>
      </c>
      <c r="G83" s="19">
        <v>1272</v>
      </c>
      <c r="H83" s="138">
        <f t="shared" ref="H83" si="6">G83*F83/1000</f>
        <v>2.544</v>
      </c>
      <c r="I83" s="19">
        <f>G83*2</f>
        <v>2544</v>
      </c>
    </row>
    <row r="84" spans="1:9" ht="15.75" customHeight="1">
      <c r="A84" s="44">
        <v>14</v>
      </c>
      <c r="B84" s="95" t="s">
        <v>122</v>
      </c>
      <c r="C84" s="96" t="s">
        <v>140</v>
      </c>
      <c r="D84" s="81"/>
      <c r="E84" s="19"/>
      <c r="F84" s="19">
        <v>8</v>
      </c>
      <c r="G84" s="19">
        <v>180.15</v>
      </c>
      <c r="H84" s="138">
        <f>G84*F84/1000</f>
        <v>1.4412</v>
      </c>
      <c r="I84" s="19">
        <f>G84*8</f>
        <v>1441.2</v>
      </c>
    </row>
    <row r="85" spans="1:9" ht="15.75" customHeight="1">
      <c r="A85" s="44">
        <v>15</v>
      </c>
      <c r="B85" s="95" t="s">
        <v>267</v>
      </c>
      <c r="C85" s="96" t="s">
        <v>268</v>
      </c>
      <c r="D85" s="81"/>
      <c r="E85" s="19"/>
      <c r="F85" s="19">
        <v>1</v>
      </c>
      <c r="G85" s="19">
        <v>9577</v>
      </c>
      <c r="H85" s="138">
        <f>G85*F85/1000</f>
        <v>9.577</v>
      </c>
      <c r="I85" s="19">
        <f>G85</f>
        <v>9577</v>
      </c>
    </row>
    <row r="86" spans="1:9" ht="15.75" customHeight="1">
      <c r="A86" s="44">
        <v>16</v>
      </c>
      <c r="B86" s="97" t="s">
        <v>269</v>
      </c>
      <c r="C86" s="98" t="s">
        <v>62</v>
      </c>
      <c r="D86" s="81"/>
      <c r="E86" s="19"/>
      <c r="F86" s="19">
        <f>126.1/100</f>
        <v>1.2609999999999999</v>
      </c>
      <c r="G86" s="19">
        <v>384.29</v>
      </c>
      <c r="H86" s="137">
        <f t="shared" ref="H86" si="7">G86*F86/1000</f>
        <v>0.48458968999999996</v>
      </c>
      <c r="I86" s="19">
        <f>G86*(126.1/100)</f>
        <v>484.58968999999996</v>
      </c>
    </row>
    <row r="87" spans="1:9" ht="15.75" customHeight="1">
      <c r="A87" s="44"/>
      <c r="B87" s="75" t="s">
        <v>60</v>
      </c>
      <c r="C87" s="71"/>
      <c r="D87" s="85"/>
      <c r="E87" s="71">
        <v>1</v>
      </c>
      <c r="F87" s="71"/>
      <c r="G87" s="71"/>
      <c r="H87" s="71"/>
      <c r="I87" s="52">
        <f>SUM(I83:I86)</f>
        <v>14046.789690000001</v>
      </c>
    </row>
    <row r="88" spans="1:9">
      <c r="A88" s="44"/>
      <c r="B88" s="81" t="s">
        <v>109</v>
      </c>
      <c r="C88" s="22"/>
      <c r="D88" s="22"/>
      <c r="E88" s="72"/>
      <c r="F88" s="72"/>
      <c r="G88" s="73"/>
      <c r="H88" s="73"/>
      <c r="I88" s="25">
        <v>0</v>
      </c>
    </row>
    <row r="89" spans="1:9">
      <c r="A89" s="86"/>
      <c r="B89" s="76" t="s">
        <v>61</v>
      </c>
      <c r="C89" s="59"/>
      <c r="D89" s="59"/>
      <c r="E89" s="59"/>
      <c r="F89" s="59"/>
      <c r="G89" s="59"/>
      <c r="H89" s="59"/>
      <c r="I89" s="74">
        <f>I81+I87</f>
        <v>45557.450546666674</v>
      </c>
    </row>
    <row r="90" spans="1:9" ht="15.75" customHeight="1">
      <c r="A90" s="181" t="s">
        <v>270</v>
      </c>
      <c r="B90" s="181"/>
      <c r="C90" s="181"/>
      <c r="D90" s="181"/>
      <c r="E90" s="181"/>
      <c r="F90" s="181"/>
      <c r="G90" s="181"/>
      <c r="H90" s="181"/>
      <c r="I90" s="181"/>
    </row>
    <row r="91" spans="1:9" ht="15.75">
      <c r="A91" s="117"/>
      <c r="B91" s="182" t="s">
        <v>271</v>
      </c>
      <c r="C91" s="182"/>
      <c r="D91" s="182"/>
      <c r="E91" s="182"/>
      <c r="F91" s="182"/>
      <c r="G91" s="182"/>
      <c r="H91" s="135"/>
      <c r="I91" s="3"/>
    </row>
    <row r="92" spans="1:9">
      <c r="A92" s="116"/>
      <c r="B92" s="183" t="s">
        <v>6</v>
      </c>
      <c r="C92" s="183"/>
      <c r="D92" s="183"/>
      <c r="E92" s="183"/>
      <c r="F92" s="183"/>
      <c r="G92" s="183"/>
      <c r="H92" s="39"/>
      <c r="I92" s="5"/>
    </row>
    <row r="93" spans="1:9">
      <c r="A93" s="12"/>
      <c r="B93" s="12"/>
      <c r="C93" s="12"/>
      <c r="D93" s="12"/>
      <c r="E93" s="12"/>
      <c r="F93" s="12"/>
      <c r="G93" s="12"/>
      <c r="H93" s="12"/>
      <c r="I93" s="12"/>
    </row>
    <row r="94" spans="1:9" ht="15.75">
      <c r="A94" s="184" t="s">
        <v>7</v>
      </c>
      <c r="B94" s="184"/>
      <c r="C94" s="184"/>
      <c r="D94" s="184"/>
      <c r="E94" s="184"/>
      <c r="F94" s="184"/>
      <c r="G94" s="184"/>
      <c r="H94" s="184"/>
      <c r="I94" s="184"/>
    </row>
    <row r="95" spans="1:9" ht="15.75">
      <c r="A95" s="184" t="s">
        <v>8</v>
      </c>
      <c r="B95" s="184"/>
      <c r="C95" s="184"/>
      <c r="D95" s="184"/>
      <c r="E95" s="184"/>
      <c r="F95" s="184"/>
      <c r="G95" s="184"/>
      <c r="H95" s="184"/>
      <c r="I95" s="184"/>
    </row>
    <row r="96" spans="1:9" ht="15.75" customHeight="1">
      <c r="A96" s="185" t="s">
        <v>79</v>
      </c>
      <c r="B96" s="185"/>
      <c r="C96" s="185"/>
      <c r="D96" s="185"/>
      <c r="E96" s="185"/>
      <c r="F96" s="185"/>
      <c r="G96" s="185"/>
      <c r="H96" s="185"/>
      <c r="I96" s="185"/>
    </row>
    <row r="97" spans="1:9" ht="15.75">
      <c r="A97" s="13"/>
    </row>
    <row r="98" spans="1:9" ht="15.75">
      <c r="A98" s="191" t="s">
        <v>9</v>
      </c>
      <c r="B98" s="191"/>
      <c r="C98" s="191"/>
      <c r="D98" s="191"/>
      <c r="E98" s="191"/>
      <c r="F98" s="191"/>
      <c r="G98" s="191"/>
      <c r="H98" s="191"/>
      <c r="I98" s="191"/>
    </row>
    <row r="99" spans="1:9" ht="15.75">
      <c r="A99" s="4"/>
    </row>
    <row r="100" spans="1:9" ht="15.75" customHeight="1">
      <c r="B100" s="114" t="s">
        <v>10</v>
      </c>
      <c r="C100" s="192" t="s">
        <v>191</v>
      </c>
      <c r="D100" s="192"/>
      <c r="E100" s="192"/>
      <c r="F100" s="131"/>
      <c r="I100" s="115"/>
    </row>
    <row r="101" spans="1:9">
      <c r="A101" s="116"/>
      <c r="C101" s="183" t="s">
        <v>11</v>
      </c>
      <c r="D101" s="183"/>
      <c r="E101" s="183"/>
      <c r="F101" s="39"/>
      <c r="I101" s="113" t="s">
        <v>12</v>
      </c>
    </row>
    <row r="102" spans="1:9" ht="15.75">
      <c r="A102" s="40"/>
      <c r="C102" s="14"/>
      <c r="D102" s="14"/>
      <c r="G102" s="14"/>
      <c r="H102" s="14"/>
    </row>
    <row r="103" spans="1:9" ht="15.75" customHeight="1">
      <c r="B103" s="114" t="s">
        <v>13</v>
      </c>
      <c r="C103" s="178"/>
      <c r="D103" s="178"/>
      <c r="E103" s="178"/>
      <c r="F103" s="132"/>
      <c r="I103" s="115"/>
    </row>
    <row r="104" spans="1:9">
      <c r="A104" s="116"/>
      <c r="C104" s="179" t="s">
        <v>11</v>
      </c>
      <c r="D104" s="179"/>
      <c r="E104" s="179"/>
      <c r="F104" s="116"/>
      <c r="I104" s="113" t="s">
        <v>12</v>
      </c>
    </row>
    <row r="105" spans="1:9" ht="15.75">
      <c r="A105" s="4" t="s">
        <v>14</v>
      </c>
    </row>
    <row r="106" spans="1:9">
      <c r="A106" s="180" t="s">
        <v>15</v>
      </c>
      <c r="B106" s="180"/>
      <c r="C106" s="180"/>
      <c r="D106" s="180"/>
      <c r="E106" s="180"/>
      <c r="F106" s="180"/>
      <c r="G106" s="180"/>
      <c r="H106" s="180"/>
      <c r="I106" s="180"/>
    </row>
    <row r="107" spans="1:9" ht="45" customHeight="1">
      <c r="A107" s="190" t="s">
        <v>16</v>
      </c>
      <c r="B107" s="190"/>
      <c r="C107" s="190"/>
      <c r="D107" s="190"/>
      <c r="E107" s="190"/>
      <c r="F107" s="190"/>
      <c r="G107" s="190"/>
      <c r="H107" s="190"/>
      <c r="I107" s="190"/>
    </row>
    <row r="108" spans="1:9" ht="30" customHeight="1">
      <c r="A108" s="190" t="s">
        <v>17</v>
      </c>
      <c r="B108" s="190"/>
      <c r="C108" s="190"/>
      <c r="D108" s="190"/>
      <c r="E108" s="190"/>
      <c r="F108" s="190"/>
      <c r="G108" s="190"/>
      <c r="H108" s="190"/>
      <c r="I108" s="190"/>
    </row>
    <row r="109" spans="1:9" ht="30" customHeight="1">
      <c r="A109" s="190" t="s">
        <v>22</v>
      </c>
      <c r="B109" s="190"/>
      <c r="C109" s="190"/>
      <c r="D109" s="190"/>
      <c r="E109" s="190"/>
      <c r="F109" s="190"/>
      <c r="G109" s="190"/>
      <c r="H109" s="190"/>
      <c r="I109" s="190"/>
    </row>
    <row r="110" spans="1:9" ht="15" customHeight="1">
      <c r="A110" s="190" t="s">
        <v>21</v>
      </c>
      <c r="B110" s="190"/>
      <c r="C110" s="190"/>
      <c r="D110" s="190"/>
      <c r="E110" s="190"/>
      <c r="F110" s="190"/>
      <c r="G110" s="190"/>
      <c r="H110" s="190"/>
      <c r="I110" s="190"/>
    </row>
    <row r="177" spans="1:9" ht="15.75">
      <c r="A177" s="4" t="s">
        <v>14</v>
      </c>
    </row>
    <row r="178" spans="1:9">
      <c r="A178" s="180" t="s">
        <v>15</v>
      </c>
      <c r="B178" s="180"/>
      <c r="C178" s="180"/>
      <c r="D178" s="180"/>
      <c r="E178" s="180"/>
      <c r="F178" s="180"/>
      <c r="G178" s="180"/>
      <c r="H178" s="180"/>
      <c r="I178" s="180"/>
    </row>
    <row r="179" spans="1:9" ht="16.5" customHeight="1">
      <c r="A179" s="189" t="s">
        <v>16</v>
      </c>
      <c r="B179" s="189"/>
      <c r="C179" s="189"/>
      <c r="D179" s="189"/>
      <c r="E179" s="189"/>
      <c r="F179" s="189"/>
      <c r="G179" s="189"/>
      <c r="H179" s="189"/>
      <c r="I179" s="189"/>
    </row>
    <row r="180" spans="1:9" ht="16.5" customHeight="1">
      <c r="A180" s="189" t="s">
        <v>17</v>
      </c>
      <c r="B180" s="189"/>
      <c r="C180" s="189"/>
      <c r="D180" s="189"/>
      <c r="E180" s="189"/>
      <c r="F180" s="189"/>
      <c r="G180" s="189"/>
      <c r="H180" s="189"/>
      <c r="I180" s="189"/>
    </row>
    <row r="181" spans="1:9" ht="16.5" customHeight="1">
      <c r="A181" s="189" t="s">
        <v>22</v>
      </c>
      <c r="B181" s="189"/>
      <c r="C181" s="189"/>
      <c r="D181" s="189"/>
      <c r="E181" s="189"/>
      <c r="F181" s="189"/>
      <c r="G181" s="189"/>
      <c r="H181" s="189"/>
      <c r="I181" s="189"/>
    </row>
    <row r="182" spans="1:9" ht="16.5" customHeight="1">
      <c r="A182" s="189" t="s">
        <v>21</v>
      </c>
      <c r="B182" s="189"/>
      <c r="C182" s="189"/>
      <c r="D182" s="189"/>
      <c r="E182" s="189"/>
      <c r="F182" s="189"/>
      <c r="G182" s="189"/>
      <c r="H182" s="189"/>
      <c r="I182" s="189"/>
    </row>
    <row r="184" spans="1:9">
      <c r="A184" s="15" t="s">
        <v>20</v>
      </c>
      <c r="B184" s="15"/>
      <c r="C184" s="15"/>
      <c r="D184" s="15"/>
      <c r="E184" s="15"/>
      <c r="F184" s="15"/>
      <c r="G184" s="15"/>
      <c r="H184" s="15"/>
    </row>
  </sheetData>
  <mergeCells count="32">
    <mergeCell ref="A181:I181"/>
    <mergeCell ref="A182:I182"/>
    <mergeCell ref="A108:I108"/>
    <mergeCell ref="A109:I109"/>
    <mergeCell ref="A110:I110"/>
    <mergeCell ref="A178:I178"/>
    <mergeCell ref="A179:I179"/>
    <mergeCell ref="A180:I180"/>
    <mergeCell ref="A107:I107"/>
    <mergeCell ref="B91:G91"/>
    <mergeCell ref="B92:G92"/>
    <mergeCell ref="A94:I94"/>
    <mergeCell ref="A95:I95"/>
    <mergeCell ref="A96:I96"/>
    <mergeCell ref="A98:I98"/>
    <mergeCell ref="C100:E100"/>
    <mergeCell ref="C101:E101"/>
    <mergeCell ref="C103:E103"/>
    <mergeCell ref="C104:E104"/>
    <mergeCell ref="A106:I106"/>
    <mergeCell ref="A90:I90"/>
    <mergeCell ref="A3:I3"/>
    <mergeCell ref="A4:I4"/>
    <mergeCell ref="A5:I5"/>
    <mergeCell ref="A8:I8"/>
    <mergeCell ref="A10:I10"/>
    <mergeCell ref="A14:I14"/>
    <mergeCell ref="A15:I15"/>
    <mergeCell ref="A29:I29"/>
    <mergeCell ref="A46:I46"/>
    <mergeCell ref="A57:I57"/>
    <mergeCell ref="A78:I78"/>
  </mergeCells>
  <pageMargins left="0.70866141732283472" right="0.70866141732283472" top="0.27559055118110237" bottom="0.27559055118110237" header="0.31496062992125984" footer="0.31496062992125984"/>
  <pageSetup paperSize="9" scale="60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I178"/>
  <sheetViews>
    <sheetView workbookViewId="0">
      <selection activeCell="A4" sqref="A4:I4"/>
    </sheetView>
  </sheetViews>
  <sheetFormatPr defaultRowHeight="15"/>
  <cols>
    <col min="1" max="1" width="6.42578125" customWidth="1"/>
    <col min="2" max="2" width="53.140625" customWidth="1"/>
    <col min="3" max="3" width="18.5703125" customWidth="1"/>
    <col min="4" max="4" width="18.28515625" customWidth="1"/>
    <col min="5" max="6" width="0" hidden="1" customWidth="1"/>
    <col min="7" max="7" width="22.5703125" customWidth="1"/>
    <col min="8" max="8" width="22.5703125" hidden="1" customWidth="1"/>
    <col min="9" max="9" width="22.5703125" customWidth="1"/>
  </cols>
  <sheetData>
    <row r="1" spans="1:9" ht="15.75">
      <c r="A1" s="42" t="s">
        <v>136</v>
      </c>
      <c r="I1" s="41"/>
    </row>
    <row r="2" spans="1:9" ht="15.75">
      <c r="A2" s="43" t="s">
        <v>82</v>
      </c>
    </row>
    <row r="3" spans="1:9" ht="15.75">
      <c r="A3" s="172" t="s">
        <v>272</v>
      </c>
      <c r="B3" s="172"/>
      <c r="C3" s="172"/>
      <c r="D3" s="172"/>
      <c r="E3" s="172"/>
      <c r="F3" s="172"/>
      <c r="G3" s="172"/>
      <c r="H3" s="172"/>
      <c r="I3" s="172"/>
    </row>
    <row r="4" spans="1:9" ht="31.5" customHeight="1">
      <c r="A4" s="173" t="s">
        <v>280</v>
      </c>
      <c r="B4" s="173"/>
      <c r="C4" s="173"/>
      <c r="D4" s="173"/>
      <c r="E4" s="173"/>
      <c r="F4" s="173"/>
      <c r="G4" s="173"/>
      <c r="H4" s="173"/>
      <c r="I4" s="173"/>
    </row>
    <row r="5" spans="1:9" ht="15.75">
      <c r="A5" s="172" t="s">
        <v>127</v>
      </c>
      <c r="B5" s="174"/>
      <c r="C5" s="174"/>
      <c r="D5" s="174"/>
      <c r="E5" s="174"/>
      <c r="F5" s="174"/>
      <c r="G5" s="174"/>
      <c r="H5" s="174"/>
      <c r="I5" s="174"/>
    </row>
    <row r="6" spans="1:9" ht="15.75">
      <c r="A6" s="2"/>
      <c r="B6" s="112"/>
      <c r="C6" s="112"/>
      <c r="D6" s="112"/>
      <c r="E6" s="112"/>
      <c r="F6" s="112"/>
      <c r="G6" s="112"/>
      <c r="H6" s="112"/>
      <c r="I6" s="45">
        <v>42643</v>
      </c>
    </row>
    <row r="7" spans="1:9" ht="15.75">
      <c r="B7" s="114"/>
      <c r="C7" s="114"/>
      <c r="D7" s="114"/>
      <c r="E7" s="3"/>
      <c r="F7" s="3"/>
      <c r="G7" s="3"/>
      <c r="H7" s="3"/>
    </row>
    <row r="8" spans="1:9" ht="78.75" customHeight="1">
      <c r="A8" s="175" t="s">
        <v>189</v>
      </c>
      <c r="B8" s="175"/>
      <c r="C8" s="175"/>
      <c r="D8" s="175"/>
      <c r="E8" s="175"/>
      <c r="F8" s="175"/>
      <c r="G8" s="175"/>
      <c r="H8" s="175"/>
      <c r="I8" s="175"/>
    </row>
    <row r="9" spans="1:9" ht="15.75">
      <c r="A9" s="4"/>
    </row>
    <row r="10" spans="1:9" ht="47.25" customHeight="1">
      <c r="A10" s="176" t="s">
        <v>190</v>
      </c>
      <c r="B10" s="176"/>
      <c r="C10" s="176"/>
      <c r="D10" s="176"/>
      <c r="E10" s="176"/>
      <c r="F10" s="176"/>
      <c r="G10" s="176"/>
      <c r="H10" s="176"/>
      <c r="I10" s="176"/>
    </row>
    <row r="11" spans="1:9" ht="15.75">
      <c r="A11" s="4"/>
    </row>
    <row r="12" spans="1:9" ht="47.25" customHeight="1">
      <c r="A12" s="8" t="s">
        <v>0</v>
      </c>
      <c r="B12" s="8" t="s">
        <v>1</v>
      </c>
      <c r="C12" s="8" t="s">
        <v>2</v>
      </c>
      <c r="D12" s="8" t="s">
        <v>18</v>
      </c>
      <c r="E12" s="8" t="s">
        <v>19</v>
      </c>
      <c r="F12" s="8"/>
      <c r="G12" s="8" t="s">
        <v>23</v>
      </c>
      <c r="H12" s="8"/>
      <c r="I12" s="8" t="s">
        <v>3</v>
      </c>
    </row>
    <row r="13" spans="1:9">
      <c r="A13" s="9">
        <v>1</v>
      </c>
      <c r="B13" s="9">
        <v>2</v>
      </c>
      <c r="C13" s="9">
        <v>3</v>
      </c>
      <c r="D13" s="9">
        <v>4</v>
      </c>
      <c r="E13" s="9">
        <v>5</v>
      </c>
      <c r="F13" s="9"/>
      <c r="G13" s="9">
        <v>5</v>
      </c>
      <c r="H13" s="9"/>
      <c r="I13" s="9">
        <v>6</v>
      </c>
    </row>
    <row r="14" spans="1:9" ht="15" customHeight="1">
      <c r="A14" s="177" t="s">
        <v>74</v>
      </c>
      <c r="B14" s="177"/>
      <c r="C14" s="177"/>
      <c r="D14" s="177"/>
      <c r="E14" s="177"/>
      <c r="F14" s="177"/>
      <c r="G14" s="177"/>
      <c r="H14" s="177"/>
      <c r="I14" s="177"/>
    </row>
    <row r="15" spans="1:9" ht="15" customHeight="1">
      <c r="A15" s="171" t="s">
        <v>4</v>
      </c>
      <c r="B15" s="171"/>
      <c r="C15" s="171"/>
      <c r="D15" s="171"/>
      <c r="E15" s="171"/>
      <c r="F15" s="171"/>
      <c r="G15" s="171"/>
      <c r="H15" s="171"/>
      <c r="I15" s="171"/>
    </row>
    <row r="16" spans="1:9" ht="31.5" customHeight="1">
      <c r="A16" s="44">
        <v>1</v>
      </c>
      <c r="B16" s="55" t="s">
        <v>147</v>
      </c>
      <c r="C16" s="69" t="s">
        <v>148</v>
      </c>
      <c r="D16" s="55" t="s">
        <v>149</v>
      </c>
      <c r="E16" s="44"/>
      <c r="F16" s="51"/>
      <c r="G16" s="54">
        <v>218.21</v>
      </c>
      <c r="H16" s="133"/>
      <c r="I16" s="44">
        <v>1080.79</v>
      </c>
    </row>
    <row r="17" spans="1:9" ht="31.5" customHeight="1">
      <c r="A17" s="44">
        <v>2</v>
      </c>
      <c r="B17" s="55" t="s">
        <v>150</v>
      </c>
      <c r="C17" s="69" t="s">
        <v>148</v>
      </c>
      <c r="D17" s="55" t="s">
        <v>151</v>
      </c>
      <c r="E17" s="44"/>
      <c r="F17" s="51"/>
      <c r="G17" s="54">
        <v>218.21</v>
      </c>
      <c r="H17" s="133"/>
      <c r="I17" s="44">
        <v>2163.48</v>
      </c>
    </row>
    <row r="18" spans="1:9" ht="31.5" customHeight="1">
      <c r="A18" s="44">
        <v>3</v>
      </c>
      <c r="B18" s="55" t="s">
        <v>152</v>
      </c>
      <c r="C18" s="69" t="s">
        <v>148</v>
      </c>
      <c r="D18" s="55" t="s">
        <v>153</v>
      </c>
      <c r="E18" s="44"/>
      <c r="F18" s="51"/>
      <c r="G18" s="54">
        <v>627.77</v>
      </c>
      <c r="H18" s="133"/>
      <c r="I18" s="44">
        <v>1914.7</v>
      </c>
    </row>
    <row r="19" spans="1:9" ht="15.75" customHeight="1">
      <c r="A19" s="44">
        <v>4</v>
      </c>
      <c r="B19" s="55" t="s">
        <v>196</v>
      </c>
      <c r="C19" s="69" t="s">
        <v>148</v>
      </c>
      <c r="D19" s="55" t="s">
        <v>49</v>
      </c>
      <c r="E19" s="53">
        <v>10.5</v>
      </c>
      <c r="F19" s="54">
        <f>SUM(E19*2/100)</f>
        <v>0.21</v>
      </c>
      <c r="G19" s="54">
        <v>271.12</v>
      </c>
      <c r="H19" s="136">
        <f t="shared" ref="H19:H20" si="0">SUM(F19*G19/1000)</f>
        <v>5.6935200000000005E-2</v>
      </c>
      <c r="I19" s="108">
        <f>G19/2*F19</f>
        <v>28.467600000000001</v>
      </c>
    </row>
    <row r="20" spans="1:9" ht="15.75" customHeight="1">
      <c r="A20" s="44">
        <v>5</v>
      </c>
      <c r="B20" s="55" t="s">
        <v>197</v>
      </c>
      <c r="C20" s="69" t="s">
        <v>148</v>
      </c>
      <c r="D20" s="55" t="s">
        <v>49</v>
      </c>
      <c r="E20" s="53">
        <v>10.08</v>
      </c>
      <c r="F20" s="54">
        <f>SUM(E20*2/100)</f>
        <v>0.2016</v>
      </c>
      <c r="G20" s="54">
        <v>268.92</v>
      </c>
      <c r="H20" s="136">
        <f t="shared" si="0"/>
        <v>5.4214272000000001E-2</v>
      </c>
      <c r="I20" s="108">
        <f>G20/2*F20</f>
        <v>27.107136000000001</v>
      </c>
    </row>
    <row r="21" spans="1:9" ht="15.75" customHeight="1">
      <c r="A21" s="70">
        <v>6</v>
      </c>
      <c r="B21" s="64" t="s">
        <v>86</v>
      </c>
      <c r="C21" s="65" t="s">
        <v>35</v>
      </c>
      <c r="D21" s="64" t="s">
        <v>26</v>
      </c>
      <c r="E21" s="25">
        <v>506.1</v>
      </c>
      <c r="F21" s="129"/>
      <c r="G21" s="54">
        <v>182.96</v>
      </c>
      <c r="H21" s="133"/>
      <c r="I21" s="26">
        <v>556.5</v>
      </c>
    </row>
    <row r="22" spans="1:9" ht="15.75" customHeight="1">
      <c r="A22" s="70">
        <v>7</v>
      </c>
      <c r="B22" s="16" t="s">
        <v>24</v>
      </c>
      <c r="C22" s="17" t="s">
        <v>25</v>
      </c>
      <c r="D22" s="44"/>
      <c r="E22" s="25">
        <v>506.1</v>
      </c>
      <c r="F22" s="129"/>
      <c r="G22" s="54">
        <v>3.43</v>
      </c>
      <c r="H22" s="133"/>
      <c r="I22" s="26">
        <v>7074.38</v>
      </c>
    </row>
    <row r="23" spans="1:9" ht="15.75" customHeight="1">
      <c r="A23" s="171" t="s">
        <v>130</v>
      </c>
      <c r="B23" s="171"/>
      <c r="C23" s="171"/>
      <c r="D23" s="171"/>
      <c r="E23" s="171"/>
      <c r="F23" s="171"/>
      <c r="G23" s="171"/>
      <c r="H23" s="171"/>
      <c r="I23" s="171"/>
    </row>
    <row r="24" spans="1:9" ht="15.75" customHeight="1">
      <c r="A24" s="70"/>
      <c r="B24" s="80" t="s">
        <v>31</v>
      </c>
      <c r="C24" s="80"/>
      <c r="D24" s="80"/>
      <c r="E24" s="80"/>
      <c r="F24" s="80"/>
      <c r="G24" s="80"/>
      <c r="H24" s="80"/>
      <c r="I24" s="26"/>
    </row>
    <row r="25" spans="1:9" ht="31.5" customHeight="1">
      <c r="A25" s="70">
        <v>8</v>
      </c>
      <c r="B25" s="55" t="s">
        <v>236</v>
      </c>
      <c r="C25" s="69" t="s">
        <v>166</v>
      </c>
      <c r="D25" s="55" t="s">
        <v>204</v>
      </c>
      <c r="E25" s="54">
        <v>52.9</v>
      </c>
      <c r="F25" s="54">
        <f>SUM(E25*52/1000)</f>
        <v>2.7507999999999999</v>
      </c>
      <c r="G25" s="54">
        <v>193.97</v>
      </c>
      <c r="H25" s="136">
        <f t="shared" ref="H25:H30" si="1">SUM(F25*G25/1000)</f>
        <v>0.53357267600000002</v>
      </c>
      <c r="I25" s="108">
        <f>G25/6*F25</f>
        <v>88.928779333333324</v>
      </c>
    </row>
    <row r="26" spans="1:9" ht="31.5" customHeight="1">
      <c r="A26" s="70">
        <v>9</v>
      </c>
      <c r="B26" s="55" t="s">
        <v>237</v>
      </c>
      <c r="C26" s="69" t="s">
        <v>166</v>
      </c>
      <c r="D26" s="55" t="s">
        <v>205</v>
      </c>
      <c r="E26" s="54">
        <v>58.2</v>
      </c>
      <c r="F26" s="54">
        <f>SUM(E26*78/1000)</f>
        <v>4.5396000000000001</v>
      </c>
      <c r="G26" s="54">
        <v>321.82</v>
      </c>
      <c r="H26" s="136">
        <f t="shared" si="1"/>
        <v>1.4609340719999999</v>
      </c>
      <c r="I26" s="108">
        <f t="shared" ref="I26:I28" si="2">G26/6*F26</f>
        <v>243.489012</v>
      </c>
    </row>
    <row r="27" spans="1:9" ht="15.75" hidden="1" customHeight="1">
      <c r="A27" s="70">
        <v>4</v>
      </c>
      <c r="B27" s="55" t="s">
        <v>30</v>
      </c>
      <c r="C27" s="69" t="s">
        <v>166</v>
      </c>
      <c r="D27" s="55" t="s">
        <v>63</v>
      </c>
      <c r="E27" s="54">
        <v>52.9</v>
      </c>
      <c r="F27" s="54">
        <f>SUM(E27/1000)</f>
        <v>5.2899999999999996E-2</v>
      </c>
      <c r="G27" s="54">
        <v>3758.28</v>
      </c>
      <c r="H27" s="136">
        <f t="shared" si="1"/>
        <v>0.19881301199999998</v>
      </c>
      <c r="I27" s="108">
        <f>G27*F27</f>
        <v>198.81301199999999</v>
      </c>
    </row>
    <row r="28" spans="1:9" ht="15.75" customHeight="1">
      <c r="A28" s="70">
        <v>10</v>
      </c>
      <c r="B28" s="55" t="s">
        <v>238</v>
      </c>
      <c r="C28" s="69" t="s">
        <v>33</v>
      </c>
      <c r="D28" s="55" t="s">
        <v>85</v>
      </c>
      <c r="E28" s="139">
        <f>1/3</f>
        <v>0.33333333333333331</v>
      </c>
      <c r="F28" s="54">
        <f>155/3</f>
        <v>51.666666666666664</v>
      </c>
      <c r="G28" s="54">
        <v>70.540000000000006</v>
      </c>
      <c r="H28" s="136">
        <f t="shared" si="1"/>
        <v>3.6445666666666665</v>
      </c>
      <c r="I28" s="108">
        <f t="shared" si="2"/>
        <v>607.42777777777781</v>
      </c>
    </row>
    <row r="29" spans="1:9" ht="15.75" hidden="1" customHeight="1">
      <c r="A29" s="70">
        <v>10</v>
      </c>
      <c r="B29" s="55" t="s">
        <v>87</v>
      </c>
      <c r="C29" s="69" t="s">
        <v>35</v>
      </c>
      <c r="D29" s="55" t="s">
        <v>89</v>
      </c>
      <c r="E29" s="53"/>
      <c r="F29" s="54">
        <v>1</v>
      </c>
      <c r="G29" s="54">
        <v>238.07</v>
      </c>
      <c r="H29" s="136">
        <f t="shared" si="1"/>
        <v>0.23807</v>
      </c>
      <c r="I29" s="19">
        <v>0</v>
      </c>
    </row>
    <row r="30" spans="1:9" ht="15.75" hidden="1" customHeight="1">
      <c r="A30" s="44">
        <v>11</v>
      </c>
      <c r="B30" s="55" t="s">
        <v>207</v>
      </c>
      <c r="C30" s="69" t="s">
        <v>34</v>
      </c>
      <c r="D30" s="55" t="s">
        <v>89</v>
      </c>
      <c r="E30" s="53"/>
      <c r="F30" s="54">
        <v>1</v>
      </c>
      <c r="G30" s="54">
        <v>1413.96</v>
      </c>
      <c r="H30" s="136">
        <f t="shared" si="1"/>
        <v>1.4139600000000001</v>
      </c>
      <c r="I30" s="19">
        <v>0</v>
      </c>
    </row>
    <row r="31" spans="1:9" ht="15.75" hidden="1" customHeight="1">
      <c r="A31" s="70"/>
      <c r="B31" s="78" t="s">
        <v>5</v>
      </c>
      <c r="C31" s="78"/>
      <c r="D31" s="78"/>
      <c r="E31" s="19"/>
      <c r="F31" s="19"/>
      <c r="G31" s="20"/>
      <c r="H31" s="20"/>
      <c r="I31" s="26"/>
    </row>
    <row r="32" spans="1:9" ht="15.75" hidden="1" customHeight="1">
      <c r="A32" s="56">
        <v>6</v>
      </c>
      <c r="B32" s="57" t="s">
        <v>29</v>
      </c>
      <c r="C32" s="69" t="s">
        <v>34</v>
      </c>
      <c r="D32" s="55"/>
      <c r="E32" s="19">
        <v>0</v>
      </c>
      <c r="F32" s="130"/>
      <c r="G32" s="54">
        <v>1900.37</v>
      </c>
      <c r="H32" s="133"/>
      <c r="I32" s="19">
        <v>1583.64</v>
      </c>
    </row>
    <row r="33" spans="1:9" ht="15.75" hidden="1" customHeight="1">
      <c r="A33" s="56">
        <v>7</v>
      </c>
      <c r="B33" s="57" t="s">
        <v>161</v>
      </c>
      <c r="C33" s="106" t="s">
        <v>32</v>
      </c>
      <c r="D33" s="57" t="s">
        <v>162</v>
      </c>
      <c r="E33" s="19">
        <v>0</v>
      </c>
      <c r="F33" s="130"/>
      <c r="G33" s="58">
        <v>2616.4899999999998</v>
      </c>
      <c r="H33" s="134"/>
      <c r="I33" s="19">
        <v>761.4</v>
      </c>
    </row>
    <row r="34" spans="1:9" ht="15.75" hidden="1" customHeight="1">
      <c r="A34" s="56">
        <v>5</v>
      </c>
      <c r="B34" s="55" t="s">
        <v>163</v>
      </c>
      <c r="C34" s="69" t="s">
        <v>164</v>
      </c>
      <c r="D34" s="55" t="s">
        <v>89</v>
      </c>
      <c r="E34" s="19">
        <v>0</v>
      </c>
      <c r="F34" s="130"/>
      <c r="G34" s="54">
        <v>226.84</v>
      </c>
      <c r="H34" s="133"/>
      <c r="I34" s="19">
        <v>0</v>
      </c>
    </row>
    <row r="35" spans="1:9" ht="15.75" hidden="1" customHeight="1">
      <c r="A35" s="56">
        <v>8</v>
      </c>
      <c r="B35" s="55" t="s">
        <v>92</v>
      </c>
      <c r="C35" s="69" t="s">
        <v>32</v>
      </c>
      <c r="D35" s="55" t="s">
        <v>165</v>
      </c>
      <c r="E35" s="19">
        <v>0</v>
      </c>
      <c r="F35" s="130"/>
      <c r="G35" s="54">
        <v>436.45</v>
      </c>
      <c r="H35" s="133"/>
      <c r="I35" s="19">
        <v>656.2</v>
      </c>
    </row>
    <row r="36" spans="1:9" ht="47.25" hidden="1" customHeight="1">
      <c r="A36" s="56">
        <v>9</v>
      </c>
      <c r="B36" s="55" t="s">
        <v>128</v>
      </c>
      <c r="C36" s="69" t="s">
        <v>166</v>
      </c>
      <c r="D36" s="55" t="s">
        <v>167</v>
      </c>
      <c r="E36" s="19">
        <v>0</v>
      </c>
      <c r="F36" s="130"/>
      <c r="G36" s="54">
        <v>7221.21</v>
      </c>
      <c r="H36" s="133"/>
      <c r="I36" s="19">
        <v>1061.52</v>
      </c>
    </row>
    <row r="37" spans="1:9" ht="15.75" hidden="1" customHeight="1">
      <c r="A37" s="56">
        <v>10</v>
      </c>
      <c r="B37" s="55" t="s">
        <v>168</v>
      </c>
      <c r="C37" s="69" t="s">
        <v>166</v>
      </c>
      <c r="D37" s="55" t="s">
        <v>169</v>
      </c>
      <c r="E37" s="19"/>
      <c r="F37" s="130"/>
      <c r="G37" s="54">
        <v>533.45000000000005</v>
      </c>
      <c r="H37" s="133"/>
      <c r="I37" s="19">
        <v>103.49</v>
      </c>
    </row>
    <row r="38" spans="1:9" ht="15.75" hidden="1" customHeight="1">
      <c r="A38" s="56">
        <v>11</v>
      </c>
      <c r="B38" s="57" t="s">
        <v>96</v>
      </c>
      <c r="C38" s="106" t="s">
        <v>35</v>
      </c>
      <c r="D38" s="57"/>
      <c r="E38" s="19">
        <v>0</v>
      </c>
      <c r="F38" s="130"/>
      <c r="G38" s="58">
        <v>992.97</v>
      </c>
      <c r="H38" s="134"/>
      <c r="I38" s="19">
        <v>148.94999999999999</v>
      </c>
    </row>
    <row r="39" spans="1:9" ht="15.75" customHeight="1">
      <c r="A39" s="196" t="s">
        <v>186</v>
      </c>
      <c r="B39" s="197"/>
      <c r="C39" s="197"/>
      <c r="D39" s="197"/>
      <c r="E39" s="197"/>
      <c r="F39" s="197"/>
      <c r="G39" s="197"/>
      <c r="H39" s="197"/>
      <c r="I39" s="198"/>
    </row>
    <row r="40" spans="1:9" ht="15.75" customHeight="1">
      <c r="A40" s="70">
        <v>11</v>
      </c>
      <c r="B40" s="55" t="s">
        <v>213</v>
      </c>
      <c r="C40" s="69" t="s">
        <v>166</v>
      </c>
      <c r="D40" s="55" t="s">
        <v>49</v>
      </c>
      <c r="E40" s="53">
        <v>881.3</v>
      </c>
      <c r="F40" s="54">
        <f>SUM(E40*2/1000)</f>
        <v>1.7625999999999999</v>
      </c>
      <c r="G40" s="61">
        <v>1283.46</v>
      </c>
      <c r="H40" s="136">
        <f t="shared" ref="H40:H44" si="3">SUM(F40*G40/1000)</f>
        <v>2.2622265960000001</v>
      </c>
      <c r="I40" s="108">
        <f>G40/2*F40</f>
        <v>1131.113298</v>
      </c>
    </row>
    <row r="41" spans="1:9" ht="15.75" customHeight="1">
      <c r="A41" s="70">
        <v>12</v>
      </c>
      <c r="B41" s="55" t="s">
        <v>40</v>
      </c>
      <c r="C41" s="69" t="s">
        <v>166</v>
      </c>
      <c r="D41" s="55" t="s">
        <v>49</v>
      </c>
      <c r="E41" s="53">
        <v>939.64</v>
      </c>
      <c r="F41" s="54">
        <f>SUM(E41*2/1000)</f>
        <v>1.8792800000000001</v>
      </c>
      <c r="G41" s="61">
        <v>1711.28</v>
      </c>
      <c r="H41" s="136">
        <f t="shared" si="3"/>
        <v>3.2159742784000001</v>
      </c>
      <c r="I41" s="108">
        <f t="shared" ref="I41:I43" si="4">G41/2*F41</f>
        <v>1607.9871392</v>
      </c>
    </row>
    <row r="42" spans="1:9" ht="15.75" customHeight="1">
      <c r="A42" s="70">
        <v>13</v>
      </c>
      <c r="B42" s="55" t="s">
        <v>41</v>
      </c>
      <c r="C42" s="69" t="s">
        <v>166</v>
      </c>
      <c r="D42" s="55" t="s">
        <v>49</v>
      </c>
      <c r="E42" s="53">
        <v>1247.3699999999999</v>
      </c>
      <c r="F42" s="54">
        <f>SUM(E42*2/1000)</f>
        <v>2.4947399999999997</v>
      </c>
      <c r="G42" s="61">
        <v>1179.73</v>
      </c>
      <c r="H42" s="136">
        <f t="shared" si="3"/>
        <v>2.9431196201999996</v>
      </c>
      <c r="I42" s="108">
        <f t="shared" si="4"/>
        <v>1471.5598100999998</v>
      </c>
    </row>
    <row r="43" spans="1:9" ht="15.75" customHeight="1">
      <c r="A43" s="70">
        <v>14</v>
      </c>
      <c r="B43" s="55" t="s">
        <v>37</v>
      </c>
      <c r="C43" s="69" t="s">
        <v>38</v>
      </c>
      <c r="D43" s="55" t="s">
        <v>49</v>
      </c>
      <c r="E43" s="53">
        <v>65.03</v>
      </c>
      <c r="F43" s="54">
        <f>SUM(E43*2/100)</f>
        <v>1.3006</v>
      </c>
      <c r="G43" s="61">
        <v>90.61</v>
      </c>
      <c r="H43" s="136">
        <f t="shared" si="3"/>
        <v>0.117847366</v>
      </c>
      <c r="I43" s="108">
        <f t="shared" si="4"/>
        <v>58.923682999999997</v>
      </c>
    </row>
    <row r="44" spans="1:9" ht="15.75" customHeight="1">
      <c r="A44" s="70">
        <v>15</v>
      </c>
      <c r="B44" s="55" t="s">
        <v>71</v>
      </c>
      <c r="C44" s="69" t="s">
        <v>166</v>
      </c>
      <c r="D44" s="55" t="s">
        <v>239</v>
      </c>
      <c r="E44" s="53">
        <v>2062.5</v>
      </c>
      <c r="F44" s="54">
        <f>SUM(E44*5/1000)</f>
        <v>10.3125</v>
      </c>
      <c r="G44" s="61">
        <v>1711.28</v>
      </c>
      <c r="H44" s="136">
        <f t="shared" si="3"/>
        <v>17.647575</v>
      </c>
      <c r="I44" s="108">
        <f>G44/5*F44</f>
        <v>3529.5149999999999</v>
      </c>
    </row>
    <row r="45" spans="1:9" ht="15.75" hidden="1" customHeight="1">
      <c r="A45" s="70">
        <v>12</v>
      </c>
      <c r="B45" s="21" t="s">
        <v>154</v>
      </c>
      <c r="C45" s="23" t="s">
        <v>32</v>
      </c>
      <c r="D45" s="44" t="s">
        <v>77</v>
      </c>
      <c r="E45" s="26">
        <v>0.22</v>
      </c>
      <c r="F45" s="26"/>
      <c r="G45" s="61">
        <v>1510.06</v>
      </c>
      <c r="H45" s="61"/>
      <c r="I45" s="27">
        <v>3114.5</v>
      </c>
    </row>
    <row r="46" spans="1:9" ht="31.5" hidden="1" customHeight="1">
      <c r="A46" s="70">
        <v>13</v>
      </c>
      <c r="B46" s="21" t="s">
        <v>155</v>
      </c>
      <c r="C46" s="23" t="s">
        <v>44</v>
      </c>
      <c r="D46" s="44" t="s">
        <v>77</v>
      </c>
      <c r="E46" s="26">
        <v>0.02</v>
      </c>
      <c r="F46" s="26"/>
      <c r="G46" s="61">
        <v>3850.4</v>
      </c>
      <c r="H46" s="61"/>
      <c r="I46" s="27">
        <v>462.05</v>
      </c>
    </row>
    <row r="47" spans="1:9" ht="31.5" hidden="1" customHeight="1">
      <c r="A47" s="70">
        <v>14</v>
      </c>
      <c r="B47" s="21" t="s">
        <v>45</v>
      </c>
      <c r="C47" s="23" t="s">
        <v>46</v>
      </c>
      <c r="D47" s="44" t="s">
        <v>77</v>
      </c>
      <c r="E47" s="26">
        <v>0.01</v>
      </c>
      <c r="F47" s="26"/>
      <c r="G47" s="61">
        <v>7033.13</v>
      </c>
      <c r="H47" s="61"/>
      <c r="I47" s="27">
        <v>70.33</v>
      </c>
    </row>
    <row r="48" spans="1:9" ht="60" hidden="1" customHeight="1">
      <c r="A48" s="70">
        <v>23</v>
      </c>
      <c r="B48" s="21" t="s">
        <v>47</v>
      </c>
      <c r="C48" s="23" t="s">
        <v>33</v>
      </c>
      <c r="D48" s="70" t="s">
        <v>97</v>
      </c>
      <c r="E48" s="26">
        <v>8</v>
      </c>
      <c r="F48" s="26"/>
      <c r="G48" s="62">
        <v>141.12</v>
      </c>
      <c r="H48" s="62"/>
      <c r="I48" s="19">
        <v>0</v>
      </c>
    </row>
    <row r="49" spans="1:9" ht="60" hidden="1" customHeight="1">
      <c r="A49" s="70">
        <v>24</v>
      </c>
      <c r="B49" s="21" t="s">
        <v>48</v>
      </c>
      <c r="C49" s="23" t="s">
        <v>33</v>
      </c>
      <c r="D49" s="70" t="s">
        <v>97</v>
      </c>
      <c r="E49" s="26">
        <v>16</v>
      </c>
      <c r="F49" s="26"/>
      <c r="G49" s="62">
        <v>65.67</v>
      </c>
      <c r="H49" s="62"/>
      <c r="I49" s="19">
        <v>0</v>
      </c>
    </row>
    <row r="50" spans="1:9" ht="15.75" customHeight="1">
      <c r="A50" s="196" t="s">
        <v>187</v>
      </c>
      <c r="B50" s="199"/>
      <c r="C50" s="199"/>
      <c r="D50" s="199"/>
      <c r="E50" s="199"/>
      <c r="F50" s="199"/>
      <c r="G50" s="199"/>
      <c r="H50" s="199"/>
      <c r="I50" s="200"/>
    </row>
    <row r="51" spans="1:9" ht="15.75" hidden="1" customHeight="1">
      <c r="A51" s="128"/>
      <c r="B51" s="77" t="s">
        <v>50</v>
      </c>
      <c r="C51" s="23"/>
      <c r="D51" s="22"/>
      <c r="E51" s="22"/>
      <c r="F51" s="22"/>
      <c r="G51" s="44"/>
      <c r="H51" s="44"/>
      <c r="I51" s="26"/>
    </row>
    <row r="52" spans="1:9" ht="15.75" hidden="1" customHeight="1">
      <c r="A52" s="70">
        <v>15</v>
      </c>
      <c r="B52" s="21" t="s">
        <v>121</v>
      </c>
      <c r="C52" s="23" t="s">
        <v>62</v>
      </c>
      <c r="D52" s="22" t="s">
        <v>98</v>
      </c>
      <c r="E52" s="26">
        <v>0</v>
      </c>
      <c r="F52" s="26"/>
      <c r="G52" s="61">
        <v>2306.62</v>
      </c>
      <c r="H52" s="61"/>
      <c r="I52" s="27">
        <v>1275.56</v>
      </c>
    </row>
    <row r="53" spans="1:9" ht="15.75" hidden="1" customHeight="1">
      <c r="A53" s="70">
        <v>26</v>
      </c>
      <c r="B53" s="64" t="s">
        <v>111</v>
      </c>
      <c r="C53" s="23" t="s">
        <v>62</v>
      </c>
      <c r="D53" s="22" t="s">
        <v>112</v>
      </c>
      <c r="E53" s="26"/>
      <c r="F53" s="26"/>
      <c r="G53" s="61">
        <v>1547.28</v>
      </c>
      <c r="H53" s="61"/>
      <c r="I53" s="27">
        <v>0</v>
      </c>
    </row>
    <row r="54" spans="1:9" ht="15.75" customHeight="1">
      <c r="A54" s="70"/>
      <c r="B54" s="127" t="s">
        <v>51</v>
      </c>
      <c r="C54" s="127"/>
      <c r="D54" s="127"/>
      <c r="E54" s="127"/>
      <c r="F54" s="127"/>
      <c r="G54" s="127"/>
      <c r="H54" s="127"/>
      <c r="I54" s="60"/>
    </row>
    <row r="55" spans="1:9" ht="15.75" hidden="1" customHeight="1">
      <c r="A55" s="70">
        <v>27</v>
      </c>
      <c r="B55" s="21" t="s">
        <v>52</v>
      </c>
      <c r="C55" s="23" t="s">
        <v>62</v>
      </c>
      <c r="D55" s="44" t="s">
        <v>63</v>
      </c>
      <c r="E55" s="26">
        <v>0</v>
      </c>
      <c r="F55" s="26"/>
      <c r="G55" s="61">
        <v>793.61</v>
      </c>
      <c r="H55" s="61"/>
      <c r="I55" s="27">
        <f>E55/2</f>
        <v>0</v>
      </c>
    </row>
    <row r="56" spans="1:9" ht="15.75" customHeight="1">
      <c r="A56" s="70">
        <v>16</v>
      </c>
      <c r="B56" s="104" t="s">
        <v>156</v>
      </c>
      <c r="C56" s="82" t="s">
        <v>27</v>
      </c>
      <c r="D56" s="105" t="s">
        <v>157</v>
      </c>
      <c r="E56" s="26"/>
      <c r="F56" s="26"/>
      <c r="G56" s="61">
        <v>2.59</v>
      </c>
      <c r="H56" s="61"/>
      <c r="I56" s="27">
        <v>363.64</v>
      </c>
    </row>
    <row r="57" spans="1:9" ht="15.75" customHeight="1">
      <c r="A57" s="70"/>
      <c r="B57" s="127" t="s">
        <v>53</v>
      </c>
      <c r="C57" s="23"/>
      <c r="D57" s="22"/>
      <c r="E57" s="22"/>
      <c r="F57" s="22"/>
      <c r="G57" s="44"/>
      <c r="H57" s="44"/>
      <c r="I57" s="26"/>
    </row>
    <row r="58" spans="1:9" ht="15.75" hidden="1" customHeight="1">
      <c r="A58" s="70">
        <v>17</v>
      </c>
      <c r="B58" s="21" t="s">
        <v>54</v>
      </c>
      <c r="C58" s="23" t="s">
        <v>33</v>
      </c>
      <c r="D58" s="22" t="s">
        <v>89</v>
      </c>
      <c r="E58" s="26">
        <v>0</v>
      </c>
      <c r="F58" s="26"/>
      <c r="G58" s="61">
        <v>276.74</v>
      </c>
      <c r="H58" s="61"/>
      <c r="I58" s="27">
        <v>276.74</v>
      </c>
    </row>
    <row r="59" spans="1:9" ht="15.75" hidden="1" customHeight="1">
      <c r="A59" s="44">
        <v>29</v>
      </c>
      <c r="B59" s="21" t="s">
        <v>55</v>
      </c>
      <c r="C59" s="23" t="s">
        <v>33</v>
      </c>
      <c r="D59" s="22" t="s">
        <v>28</v>
      </c>
      <c r="E59" s="26">
        <v>0</v>
      </c>
      <c r="F59" s="26"/>
      <c r="G59" s="61">
        <v>76.25</v>
      </c>
      <c r="H59" s="61"/>
      <c r="I59" s="27">
        <f>E59/2</f>
        <v>0</v>
      </c>
    </row>
    <row r="60" spans="1:9" ht="15.75" hidden="1" customHeight="1">
      <c r="A60" s="44">
        <v>8</v>
      </c>
      <c r="B60" s="21" t="s">
        <v>56</v>
      </c>
      <c r="C60" s="23" t="s">
        <v>38</v>
      </c>
      <c r="D60" s="44" t="s">
        <v>63</v>
      </c>
      <c r="E60" s="26">
        <v>13.47</v>
      </c>
      <c r="F60" s="26"/>
      <c r="G60" s="61">
        <v>212.15</v>
      </c>
      <c r="H60" s="61"/>
      <c r="I60" s="26">
        <v>7955.63</v>
      </c>
    </row>
    <row r="61" spans="1:9" ht="15.75" hidden="1" customHeight="1">
      <c r="A61" s="44">
        <v>9</v>
      </c>
      <c r="B61" s="21" t="s">
        <v>57</v>
      </c>
      <c r="C61" s="23" t="s">
        <v>64</v>
      </c>
      <c r="D61" s="44" t="s">
        <v>63</v>
      </c>
      <c r="E61" s="26">
        <v>1.35</v>
      </c>
      <c r="F61" s="26"/>
      <c r="G61" s="61">
        <v>165.21</v>
      </c>
      <c r="H61" s="61"/>
      <c r="I61" s="26">
        <v>619.54</v>
      </c>
    </row>
    <row r="62" spans="1:9" ht="15.75" hidden="1" customHeight="1">
      <c r="A62" s="44">
        <v>10</v>
      </c>
      <c r="B62" s="118" t="s">
        <v>58</v>
      </c>
      <c r="C62" s="23" t="s">
        <v>65</v>
      </c>
      <c r="D62" s="44" t="s">
        <v>63</v>
      </c>
      <c r="E62" s="26">
        <v>0</v>
      </c>
      <c r="F62" s="26"/>
      <c r="G62" s="61">
        <v>2074.63</v>
      </c>
      <c r="H62" s="61"/>
      <c r="I62" s="26">
        <v>12447.78</v>
      </c>
    </row>
    <row r="63" spans="1:9" ht="15.75" hidden="1" customHeight="1">
      <c r="A63" s="44">
        <v>12</v>
      </c>
      <c r="B63" s="84" t="s">
        <v>99</v>
      </c>
      <c r="C63" s="65" t="s">
        <v>35</v>
      </c>
      <c r="D63" s="44"/>
      <c r="E63" s="18"/>
      <c r="F63" s="18"/>
      <c r="G63" s="61">
        <v>45.32</v>
      </c>
      <c r="H63" s="61"/>
      <c r="I63" s="26">
        <v>543.84</v>
      </c>
    </row>
    <row r="64" spans="1:9" ht="15.75" hidden="1" customHeight="1">
      <c r="A64" s="44">
        <v>13</v>
      </c>
      <c r="B64" s="84" t="s">
        <v>100</v>
      </c>
      <c r="C64" s="65" t="s">
        <v>35</v>
      </c>
      <c r="D64" s="44"/>
      <c r="E64" s="18"/>
      <c r="F64" s="18"/>
      <c r="G64" s="61">
        <v>42.28</v>
      </c>
      <c r="H64" s="61"/>
      <c r="I64" s="26">
        <v>507.36</v>
      </c>
    </row>
    <row r="65" spans="1:9" ht="15.75" customHeight="1">
      <c r="A65" s="44">
        <v>17</v>
      </c>
      <c r="B65" s="21" t="s">
        <v>72</v>
      </c>
      <c r="C65" s="23" t="s">
        <v>73</v>
      </c>
      <c r="D65" s="44" t="s">
        <v>63</v>
      </c>
      <c r="E65" s="18">
        <v>0</v>
      </c>
      <c r="F65" s="18"/>
      <c r="G65" s="61">
        <v>49.88</v>
      </c>
      <c r="H65" s="61"/>
      <c r="I65" s="26">
        <v>186.21</v>
      </c>
    </row>
    <row r="66" spans="1:9" ht="15.75" customHeight="1">
      <c r="A66" s="44">
        <v>18</v>
      </c>
      <c r="B66" s="64" t="s">
        <v>159</v>
      </c>
      <c r="C66" s="70" t="s">
        <v>160</v>
      </c>
      <c r="D66" s="70" t="s">
        <v>157</v>
      </c>
      <c r="E66" s="103"/>
      <c r="F66" s="103"/>
      <c r="G66" s="61">
        <v>2.16</v>
      </c>
      <c r="H66" s="61"/>
      <c r="I66" s="26">
        <v>4455</v>
      </c>
    </row>
    <row r="67" spans="1:9" ht="15.75" hidden="1" customHeight="1">
      <c r="A67" s="128"/>
      <c r="B67" s="201" t="s">
        <v>158</v>
      </c>
      <c r="C67" s="202"/>
      <c r="D67" s="202"/>
      <c r="E67" s="202"/>
      <c r="F67" s="202"/>
      <c r="G67" s="203"/>
      <c r="H67" s="125"/>
      <c r="I67" s="26"/>
    </row>
    <row r="68" spans="1:9" ht="15.75" hidden="1" customHeight="1">
      <c r="A68" s="44">
        <v>36</v>
      </c>
      <c r="B68" s="21" t="s">
        <v>59</v>
      </c>
      <c r="C68" s="23" t="s">
        <v>67</v>
      </c>
      <c r="D68" s="44" t="s">
        <v>63</v>
      </c>
      <c r="E68" s="26">
        <v>0</v>
      </c>
      <c r="F68" s="26"/>
      <c r="G68" s="63">
        <v>3779.8</v>
      </c>
      <c r="H68" s="63"/>
      <c r="I68" s="26">
        <v>0</v>
      </c>
    </row>
    <row r="69" spans="1:9" ht="15.75" hidden="1" customHeight="1">
      <c r="A69" s="44"/>
      <c r="B69" s="78" t="s">
        <v>101</v>
      </c>
      <c r="C69" s="78"/>
      <c r="D69" s="78"/>
      <c r="E69" s="26"/>
      <c r="F69" s="26"/>
      <c r="G69" s="44"/>
      <c r="H69" s="44"/>
      <c r="I69" s="26"/>
    </row>
    <row r="70" spans="1:9" ht="15.75" hidden="1" customHeight="1">
      <c r="A70" s="44">
        <v>37</v>
      </c>
      <c r="B70" s="64" t="s">
        <v>102</v>
      </c>
      <c r="C70" s="65" t="s">
        <v>104</v>
      </c>
      <c r="D70" s="44"/>
      <c r="E70" s="26"/>
      <c r="F70" s="26"/>
      <c r="G70" s="61">
        <v>501.62</v>
      </c>
      <c r="H70" s="61"/>
      <c r="I70" s="26">
        <v>0</v>
      </c>
    </row>
    <row r="71" spans="1:9" ht="15.75" hidden="1" customHeight="1">
      <c r="A71" s="44">
        <v>38</v>
      </c>
      <c r="B71" s="64" t="s">
        <v>103</v>
      </c>
      <c r="C71" s="65" t="s">
        <v>33</v>
      </c>
      <c r="D71" s="44"/>
      <c r="E71" s="26"/>
      <c r="F71" s="26"/>
      <c r="G71" s="61">
        <v>852.99</v>
      </c>
      <c r="H71" s="61"/>
      <c r="I71" s="26">
        <v>0</v>
      </c>
    </row>
    <row r="72" spans="1:9" ht="15.75" hidden="1" customHeight="1">
      <c r="A72" s="44"/>
      <c r="B72" s="79" t="s">
        <v>105</v>
      </c>
      <c r="C72" s="65"/>
      <c r="D72" s="44"/>
      <c r="E72" s="26"/>
      <c r="F72" s="26"/>
      <c r="G72" s="61"/>
      <c r="H72" s="61"/>
      <c r="I72" s="26"/>
    </row>
    <row r="73" spans="1:9" ht="15.75" hidden="1" customHeight="1">
      <c r="A73" s="44">
        <v>39</v>
      </c>
      <c r="B73" s="66" t="s">
        <v>106</v>
      </c>
      <c r="C73" s="67" t="s">
        <v>107</v>
      </c>
      <c r="D73" s="59"/>
      <c r="E73" s="26"/>
      <c r="F73" s="26"/>
      <c r="G73" s="62">
        <v>2759.44</v>
      </c>
      <c r="H73" s="62"/>
      <c r="I73" s="26">
        <v>0</v>
      </c>
    </row>
    <row r="74" spans="1:9" ht="15.75" customHeight="1">
      <c r="A74" s="193" t="s">
        <v>188</v>
      </c>
      <c r="B74" s="194"/>
      <c r="C74" s="194"/>
      <c r="D74" s="194"/>
      <c r="E74" s="194"/>
      <c r="F74" s="194"/>
      <c r="G74" s="194"/>
      <c r="H74" s="194"/>
      <c r="I74" s="195"/>
    </row>
    <row r="75" spans="1:9" ht="15.75" customHeight="1">
      <c r="A75" s="44">
        <v>19</v>
      </c>
      <c r="B75" s="21" t="s">
        <v>113</v>
      </c>
      <c r="C75" s="23" t="s">
        <v>68</v>
      </c>
      <c r="D75" s="22" t="s">
        <v>69</v>
      </c>
      <c r="E75" s="22">
        <v>327.9</v>
      </c>
      <c r="F75" s="22"/>
      <c r="G75" s="61">
        <v>2.95</v>
      </c>
      <c r="H75" s="107"/>
      <c r="I75" s="19">
        <v>6084.38</v>
      </c>
    </row>
    <row r="76" spans="1:9" ht="31.5" customHeight="1">
      <c r="A76" s="44">
        <v>20</v>
      </c>
      <c r="B76" s="64" t="s">
        <v>108</v>
      </c>
      <c r="C76" s="23"/>
      <c r="D76" s="22" t="s">
        <v>69</v>
      </c>
      <c r="E76" s="22"/>
      <c r="F76" s="22"/>
      <c r="G76" s="61">
        <v>3.05</v>
      </c>
      <c r="H76" s="61"/>
      <c r="I76" s="19">
        <v>6290.63</v>
      </c>
    </row>
    <row r="77" spans="1:9" ht="15.75" customHeight="1">
      <c r="A77" s="128"/>
      <c r="B77" s="68" t="s">
        <v>115</v>
      </c>
      <c r="C77" s="70"/>
      <c r="D77" s="22"/>
      <c r="E77" s="22"/>
      <c r="F77" s="22"/>
      <c r="G77" s="26"/>
      <c r="H77" s="26"/>
      <c r="I77" s="52">
        <f>SUM(I16+I17+I18+I19+I20+I21+I22+I25+I26+I28+I40+I41+I42+I43+I44+I56+I65+I66+I75+I76)</f>
        <v>38964.229235411112</v>
      </c>
    </row>
    <row r="78" spans="1:9" ht="15.75" customHeight="1">
      <c r="A78" s="128"/>
      <c r="B78" s="102" t="s">
        <v>76</v>
      </c>
      <c r="C78" s="102"/>
      <c r="D78" s="102"/>
      <c r="E78" s="102"/>
      <c r="F78" s="102"/>
      <c r="G78" s="102"/>
      <c r="H78" s="102"/>
      <c r="I78" s="102"/>
    </row>
    <row r="79" spans="1:9" ht="31.5" customHeight="1">
      <c r="A79" s="44">
        <v>21</v>
      </c>
      <c r="B79" s="95" t="s">
        <v>114</v>
      </c>
      <c r="C79" s="96" t="s">
        <v>140</v>
      </c>
      <c r="D79" s="81"/>
      <c r="E79" s="19"/>
      <c r="F79" s="19">
        <v>3</v>
      </c>
      <c r="G79" s="19">
        <v>79.09</v>
      </c>
      <c r="H79" s="141">
        <f>G79*F79/1000</f>
        <v>0.23727000000000001</v>
      </c>
      <c r="I79" s="19">
        <f>G79</f>
        <v>79.09</v>
      </c>
    </row>
    <row r="80" spans="1:9" ht="15.75" customHeight="1">
      <c r="A80" s="44">
        <v>22</v>
      </c>
      <c r="B80" s="95" t="s">
        <v>273</v>
      </c>
      <c r="C80" s="96" t="s">
        <v>268</v>
      </c>
      <c r="D80" s="81"/>
      <c r="E80" s="19"/>
      <c r="F80" s="19">
        <v>1</v>
      </c>
      <c r="G80" s="19">
        <v>82172</v>
      </c>
      <c r="H80" s="141">
        <f>G80*F80/1000</f>
        <v>82.171999999999997</v>
      </c>
      <c r="I80" s="19">
        <f>G80</f>
        <v>82172</v>
      </c>
    </row>
    <row r="81" spans="1:9" ht="15.75" customHeight="1">
      <c r="A81" s="44"/>
      <c r="B81" s="75" t="s">
        <v>60</v>
      </c>
      <c r="C81" s="71"/>
      <c r="D81" s="85"/>
      <c r="E81" s="71">
        <v>1</v>
      </c>
      <c r="F81" s="71"/>
      <c r="G81" s="71"/>
      <c r="H81" s="71"/>
      <c r="I81" s="52">
        <f>SUM(I79:I80)</f>
        <v>82251.09</v>
      </c>
    </row>
    <row r="82" spans="1:9">
      <c r="A82" s="44"/>
      <c r="B82" s="81" t="s">
        <v>109</v>
      </c>
      <c r="C82" s="22"/>
      <c r="D82" s="22"/>
      <c r="E82" s="72"/>
      <c r="F82" s="72"/>
      <c r="G82" s="73"/>
      <c r="H82" s="73"/>
      <c r="I82" s="25">
        <v>0</v>
      </c>
    </row>
    <row r="83" spans="1:9">
      <c r="A83" s="86"/>
      <c r="B83" s="76" t="s">
        <v>61</v>
      </c>
      <c r="C83" s="59"/>
      <c r="D83" s="59"/>
      <c r="E83" s="59"/>
      <c r="F83" s="59"/>
      <c r="G83" s="59"/>
      <c r="H83" s="59"/>
      <c r="I83" s="74">
        <f>I77+I81</f>
        <v>121215.31923541111</v>
      </c>
    </row>
    <row r="84" spans="1:9" ht="15.75" customHeight="1">
      <c r="A84" s="181" t="s">
        <v>274</v>
      </c>
      <c r="B84" s="181"/>
      <c r="C84" s="181"/>
      <c r="D84" s="181"/>
      <c r="E84" s="181"/>
      <c r="F84" s="181"/>
      <c r="G84" s="181"/>
      <c r="H84" s="181"/>
      <c r="I84" s="181"/>
    </row>
    <row r="85" spans="1:9" ht="15.75">
      <c r="A85" s="117"/>
      <c r="B85" s="182" t="s">
        <v>275</v>
      </c>
      <c r="C85" s="182"/>
      <c r="D85" s="182"/>
      <c r="E85" s="182"/>
      <c r="F85" s="182"/>
      <c r="G85" s="182"/>
      <c r="H85" s="135"/>
      <c r="I85" s="3"/>
    </row>
    <row r="86" spans="1:9">
      <c r="A86" s="116"/>
      <c r="B86" s="183" t="s">
        <v>6</v>
      </c>
      <c r="C86" s="183"/>
      <c r="D86" s="183"/>
      <c r="E86" s="183"/>
      <c r="F86" s="183"/>
      <c r="G86" s="183"/>
      <c r="H86" s="39"/>
      <c r="I86" s="5"/>
    </row>
    <row r="87" spans="1:9">
      <c r="A87" s="12"/>
      <c r="B87" s="12"/>
      <c r="C87" s="12"/>
      <c r="D87" s="12"/>
      <c r="E87" s="12"/>
      <c r="F87" s="12"/>
      <c r="G87" s="12"/>
      <c r="H87" s="12"/>
      <c r="I87" s="12"/>
    </row>
    <row r="88" spans="1:9" ht="15.75">
      <c r="A88" s="184" t="s">
        <v>7</v>
      </c>
      <c r="B88" s="184"/>
      <c r="C88" s="184"/>
      <c r="D88" s="184"/>
      <c r="E88" s="184"/>
      <c r="F88" s="184"/>
      <c r="G88" s="184"/>
      <c r="H88" s="184"/>
      <c r="I88" s="184"/>
    </row>
    <row r="89" spans="1:9" ht="15.75">
      <c r="A89" s="184" t="s">
        <v>8</v>
      </c>
      <c r="B89" s="184"/>
      <c r="C89" s="184"/>
      <c r="D89" s="184"/>
      <c r="E89" s="184"/>
      <c r="F89" s="184"/>
      <c r="G89" s="184"/>
      <c r="H89" s="184"/>
      <c r="I89" s="184"/>
    </row>
    <row r="90" spans="1:9" ht="15.75" customHeight="1">
      <c r="A90" s="185" t="s">
        <v>79</v>
      </c>
      <c r="B90" s="185"/>
      <c r="C90" s="185"/>
      <c r="D90" s="185"/>
      <c r="E90" s="185"/>
      <c r="F90" s="185"/>
      <c r="G90" s="185"/>
      <c r="H90" s="185"/>
      <c r="I90" s="185"/>
    </row>
    <row r="91" spans="1:9" ht="15.75">
      <c r="A91" s="13"/>
    </row>
    <row r="92" spans="1:9" ht="15.75">
      <c r="A92" s="191" t="s">
        <v>9</v>
      </c>
      <c r="B92" s="191"/>
      <c r="C92" s="191"/>
      <c r="D92" s="191"/>
      <c r="E92" s="191"/>
      <c r="F92" s="191"/>
      <c r="G92" s="191"/>
      <c r="H92" s="191"/>
      <c r="I92" s="191"/>
    </row>
    <row r="93" spans="1:9" ht="15.75">
      <c r="A93" s="4"/>
    </row>
    <row r="94" spans="1:9" ht="15.75" customHeight="1">
      <c r="B94" s="114" t="s">
        <v>10</v>
      </c>
      <c r="C94" s="192" t="s">
        <v>191</v>
      </c>
      <c r="D94" s="192"/>
      <c r="E94" s="192"/>
      <c r="F94" s="131"/>
      <c r="I94" s="115"/>
    </row>
    <row r="95" spans="1:9">
      <c r="A95" s="116"/>
      <c r="C95" s="183" t="s">
        <v>11</v>
      </c>
      <c r="D95" s="183"/>
      <c r="E95" s="183"/>
      <c r="F95" s="39"/>
      <c r="I95" s="113" t="s">
        <v>12</v>
      </c>
    </row>
    <row r="96" spans="1:9" ht="15.75">
      <c r="A96" s="40"/>
      <c r="C96" s="14"/>
      <c r="D96" s="14"/>
      <c r="G96" s="14"/>
      <c r="H96" s="14"/>
    </row>
    <row r="97" spans="1:9" ht="15.75" customHeight="1">
      <c r="B97" s="114" t="s">
        <v>13</v>
      </c>
      <c r="C97" s="178"/>
      <c r="D97" s="178"/>
      <c r="E97" s="178"/>
      <c r="F97" s="132"/>
      <c r="I97" s="115"/>
    </row>
    <row r="98" spans="1:9">
      <c r="A98" s="116"/>
      <c r="C98" s="179" t="s">
        <v>11</v>
      </c>
      <c r="D98" s="179"/>
      <c r="E98" s="179"/>
      <c r="F98" s="116"/>
      <c r="I98" s="113" t="s">
        <v>12</v>
      </c>
    </row>
    <row r="99" spans="1:9" ht="15.75">
      <c r="A99" s="4" t="s">
        <v>14</v>
      </c>
    </row>
    <row r="100" spans="1:9">
      <c r="A100" s="180" t="s">
        <v>15</v>
      </c>
      <c r="B100" s="180"/>
      <c r="C100" s="180"/>
      <c r="D100" s="180"/>
      <c r="E100" s="180"/>
      <c r="F100" s="180"/>
      <c r="G100" s="180"/>
      <c r="H100" s="180"/>
      <c r="I100" s="180"/>
    </row>
    <row r="101" spans="1:9" ht="45" customHeight="1">
      <c r="A101" s="190" t="s">
        <v>16</v>
      </c>
      <c r="B101" s="190"/>
      <c r="C101" s="190"/>
      <c r="D101" s="190"/>
      <c r="E101" s="190"/>
      <c r="F101" s="190"/>
      <c r="G101" s="190"/>
      <c r="H101" s="190"/>
      <c r="I101" s="190"/>
    </row>
    <row r="102" spans="1:9" ht="30" customHeight="1">
      <c r="A102" s="190" t="s">
        <v>17</v>
      </c>
      <c r="B102" s="190"/>
      <c r="C102" s="190"/>
      <c r="D102" s="190"/>
      <c r="E102" s="190"/>
      <c r="F102" s="190"/>
      <c r="G102" s="190"/>
      <c r="H102" s="190"/>
      <c r="I102" s="190"/>
    </row>
    <row r="103" spans="1:9" ht="30" customHeight="1">
      <c r="A103" s="190" t="s">
        <v>22</v>
      </c>
      <c r="B103" s="190"/>
      <c r="C103" s="190"/>
      <c r="D103" s="190"/>
      <c r="E103" s="190"/>
      <c r="F103" s="190"/>
      <c r="G103" s="190"/>
      <c r="H103" s="190"/>
      <c r="I103" s="190"/>
    </row>
    <row r="104" spans="1:9" ht="15" customHeight="1">
      <c r="A104" s="190" t="s">
        <v>21</v>
      </c>
      <c r="B104" s="190"/>
      <c r="C104" s="190"/>
      <c r="D104" s="190"/>
      <c r="E104" s="190"/>
      <c r="F104" s="190"/>
      <c r="G104" s="190"/>
      <c r="H104" s="190"/>
      <c r="I104" s="190"/>
    </row>
    <row r="171" spans="1:9" ht="15.75">
      <c r="A171" s="4" t="s">
        <v>14</v>
      </c>
    </row>
    <row r="172" spans="1:9">
      <c r="A172" s="180" t="s">
        <v>15</v>
      </c>
      <c r="B172" s="180"/>
      <c r="C172" s="180"/>
      <c r="D172" s="180"/>
      <c r="E172" s="180"/>
      <c r="F172" s="180"/>
      <c r="G172" s="180"/>
      <c r="H172" s="180"/>
      <c r="I172" s="180"/>
    </row>
    <row r="173" spans="1:9" ht="16.5" customHeight="1">
      <c r="A173" s="189" t="s">
        <v>16</v>
      </c>
      <c r="B173" s="189"/>
      <c r="C173" s="189"/>
      <c r="D173" s="189"/>
      <c r="E173" s="189"/>
      <c r="F173" s="189"/>
      <c r="G173" s="189"/>
      <c r="H173" s="189"/>
      <c r="I173" s="189"/>
    </row>
    <row r="174" spans="1:9" ht="16.5" customHeight="1">
      <c r="A174" s="189" t="s">
        <v>17</v>
      </c>
      <c r="B174" s="189"/>
      <c r="C174" s="189"/>
      <c r="D174" s="189"/>
      <c r="E174" s="189"/>
      <c r="F174" s="189"/>
      <c r="G174" s="189"/>
      <c r="H174" s="189"/>
      <c r="I174" s="189"/>
    </row>
    <row r="175" spans="1:9" ht="16.5" customHeight="1">
      <c r="A175" s="189" t="s">
        <v>22</v>
      </c>
      <c r="B175" s="189"/>
      <c r="C175" s="189"/>
      <c r="D175" s="189"/>
      <c r="E175" s="189"/>
      <c r="F175" s="189"/>
      <c r="G175" s="189"/>
      <c r="H175" s="189"/>
      <c r="I175" s="189"/>
    </row>
    <row r="176" spans="1:9" ht="16.5" customHeight="1">
      <c r="A176" s="189" t="s">
        <v>21</v>
      </c>
      <c r="B176" s="189"/>
      <c r="C176" s="189"/>
      <c r="D176" s="189"/>
      <c r="E176" s="189"/>
      <c r="F176" s="189"/>
      <c r="G176" s="189"/>
      <c r="H176" s="189"/>
      <c r="I176" s="189"/>
    </row>
    <row r="178" spans="1:8">
      <c r="A178" s="15" t="s">
        <v>20</v>
      </c>
      <c r="B178" s="15"/>
      <c r="C178" s="15"/>
      <c r="D178" s="15"/>
      <c r="E178" s="15"/>
      <c r="F178" s="15"/>
      <c r="G178" s="15"/>
      <c r="H178" s="15"/>
    </row>
  </sheetData>
  <mergeCells count="33">
    <mergeCell ref="A174:I174"/>
    <mergeCell ref="A175:I175"/>
    <mergeCell ref="A176:I176"/>
    <mergeCell ref="A101:I101"/>
    <mergeCell ref="A102:I102"/>
    <mergeCell ref="A103:I103"/>
    <mergeCell ref="A104:I104"/>
    <mergeCell ref="A172:I172"/>
    <mergeCell ref="A173:I173"/>
    <mergeCell ref="A100:I100"/>
    <mergeCell ref="A84:I84"/>
    <mergeCell ref="B85:G85"/>
    <mergeCell ref="B86:G86"/>
    <mergeCell ref="A88:I88"/>
    <mergeCell ref="A89:I89"/>
    <mergeCell ref="A90:I90"/>
    <mergeCell ref="A92:I92"/>
    <mergeCell ref="C94:E94"/>
    <mergeCell ref="C95:E95"/>
    <mergeCell ref="C97:E97"/>
    <mergeCell ref="C98:E98"/>
    <mergeCell ref="A74:I74"/>
    <mergeCell ref="A3:I3"/>
    <mergeCell ref="A4:I4"/>
    <mergeCell ref="A5:I5"/>
    <mergeCell ref="A8:I8"/>
    <mergeCell ref="A10:I10"/>
    <mergeCell ref="A14:I14"/>
    <mergeCell ref="A15:I15"/>
    <mergeCell ref="A23:I23"/>
    <mergeCell ref="A39:I39"/>
    <mergeCell ref="A50:I50"/>
    <mergeCell ref="B67:G67"/>
  </mergeCells>
  <pageMargins left="0.70866141732283472" right="0.70866141732283472" top="0.27559055118110237" bottom="7.874015748031496E-2" header="0.31496062992125984" footer="0.31496062992125984"/>
  <pageSetup paperSize="9" scale="6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13</vt:i4>
      </vt:variant>
      <vt:variant>
        <vt:lpstr>Именованные диапазоны</vt:lpstr>
      </vt:variant>
      <vt:variant>
        <vt:i4>13</vt:i4>
      </vt:variant>
    </vt:vector>
  </HeadingPairs>
  <TitlesOfParts>
    <vt:vector size="26" baseType="lpstr">
      <vt:lpstr>01.16</vt:lpstr>
      <vt:lpstr>02.16</vt:lpstr>
      <vt:lpstr>03.16</vt:lpstr>
      <vt:lpstr>04.16</vt:lpstr>
      <vt:lpstr>05.16</vt:lpstr>
      <vt:lpstr>06.16</vt:lpstr>
      <vt:lpstr>07.16</vt:lpstr>
      <vt:lpstr>08.16</vt:lpstr>
      <vt:lpstr>09.16</vt:lpstr>
      <vt:lpstr>10.16</vt:lpstr>
      <vt:lpstr>11.16</vt:lpstr>
      <vt:lpstr>юбьмрмить</vt:lpstr>
      <vt:lpstr>12.16</vt:lpstr>
      <vt:lpstr>'01.16'!Область_печати</vt:lpstr>
      <vt:lpstr>'02.16'!Область_печати</vt:lpstr>
      <vt:lpstr>'03.16'!Область_печати</vt:lpstr>
      <vt:lpstr>'04.16'!Область_печати</vt:lpstr>
      <vt:lpstr>'05.16'!Область_печати</vt:lpstr>
      <vt:lpstr>'06.16'!Область_печати</vt:lpstr>
      <vt:lpstr>'07.16'!Область_печати</vt:lpstr>
      <vt:lpstr>'08.16'!Область_печати</vt:lpstr>
      <vt:lpstr>'09.16'!Область_печати</vt:lpstr>
      <vt:lpstr>'10.16'!Область_печати</vt:lpstr>
      <vt:lpstr>'11.16'!Область_печати</vt:lpstr>
      <vt:lpstr>'12.16'!Область_печати</vt:lpstr>
      <vt:lpstr>юбьмрмить!Область_печати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2017-04-18T05:29:37Z</cp:lastPrinted>
  <dcterms:created xsi:type="dcterms:W3CDTF">2016-03-25T08:33:47Z</dcterms:created>
  <dcterms:modified xsi:type="dcterms:W3CDTF">2017-04-18T05:48:19Z</dcterms:modified>
</cp:coreProperties>
</file>