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30" windowWidth="15480" windowHeight="8280"/>
  </bookViews>
  <sheets>
    <sheet name="01.16" sheetId="17" r:id="rId1"/>
    <sheet name="02.16" sheetId="18" r:id="rId2"/>
    <sheet name="03.16" sheetId="19" r:id="rId3"/>
    <sheet name="04.16" sheetId="20" r:id="rId4"/>
    <sheet name="05.16" sheetId="21" r:id="rId5"/>
    <sheet name="06.16" sheetId="22" r:id="rId6"/>
    <sheet name="07.16" sheetId="23" r:id="rId7"/>
    <sheet name="08.16" sheetId="24" r:id="rId8"/>
    <sheet name="09.16" sheetId="25" r:id="rId9"/>
    <sheet name="10.16" sheetId="26" r:id="rId10"/>
    <sheet name="11.16" sheetId="14" r:id="rId11"/>
    <sheet name="12.16" sheetId="8" r:id="rId12"/>
  </sheets>
  <definedNames>
    <definedName name="_xlnm._FilterDatabase" localSheetId="0" hidden="1">'01.16'!$I$12:$I$62</definedName>
    <definedName name="_xlnm._FilterDatabase" localSheetId="1" hidden="1">'02.16'!$I$12:$I$62</definedName>
    <definedName name="_xlnm._FilterDatabase" localSheetId="2" hidden="1">'03.16'!$I$12:$I$62</definedName>
    <definedName name="_xlnm._FilterDatabase" localSheetId="3" hidden="1">'04.16'!$I$12:$I$62</definedName>
    <definedName name="_xlnm._FilterDatabase" localSheetId="4" hidden="1">'05.16'!$I$12:$I$62</definedName>
    <definedName name="_xlnm._FilterDatabase" localSheetId="5" hidden="1">'06.16'!$I$12:$I$62</definedName>
    <definedName name="_xlnm._FilterDatabase" localSheetId="6" hidden="1">'07.16'!$I$12:$I$62</definedName>
    <definedName name="_xlnm._FilterDatabase" localSheetId="7" hidden="1">'08.16'!$I$12:$I$62</definedName>
    <definedName name="_xlnm._FilterDatabase" localSheetId="8" hidden="1">'09.16'!$I$12:$I$62</definedName>
    <definedName name="_xlnm._FilterDatabase" localSheetId="9" hidden="1">'10.16'!$I$12:$I$62</definedName>
    <definedName name="_xlnm._FilterDatabase" localSheetId="10" hidden="1">'11.16'!$G$13:$G$94</definedName>
    <definedName name="_xlnm._FilterDatabase" localSheetId="11" hidden="1">'12.16'!$G$12:$G$67</definedName>
    <definedName name="_xlnm.Print_Titles" localSheetId="10">'11.16'!$13:$14</definedName>
    <definedName name="_xlnm.Print_Area" localSheetId="0">'01.16'!$A$1:$I$142</definedName>
    <definedName name="_xlnm.Print_Area" localSheetId="1">'02.16'!$A$1:$I$118</definedName>
    <definedName name="_xlnm.Print_Area" localSheetId="2">'03.16'!$A$1:$I$112</definedName>
    <definedName name="_xlnm.Print_Area" localSheetId="3">'04.16'!$A$1:$I$116</definedName>
    <definedName name="_xlnm.Print_Area" localSheetId="4">'05.16'!$A$1:$I$115</definedName>
    <definedName name="_xlnm.Print_Area" localSheetId="5">'06.16'!$A$1:$I$113</definedName>
    <definedName name="_xlnm.Print_Area" localSheetId="6">'07.16'!$A$1:$I$116</definedName>
    <definedName name="_xlnm.Print_Area" localSheetId="7">'08.16'!$A$1:$I$121</definedName>
    <definedName name="_xlnm.Print_Area" localSheetId="8">'09.16'!$A$1:$I$116</definedName>
    <definedName name="_xlnm.Print_Area" localSheetId="9">'10.16'!$A$1:$I$115</definedName>
    <definedName name="_xlnm.Print_Area" localSheetId="10">'11.16'!$A$1:$G$116</definedName>
    <definedName name="_xlnm.Print_Area" localSheetId="11">'12.16'!$A$1:$G$115</definedName>
  </definedNames>
  <calcPr calcId="124519"/>
</workbook>
</file>

<file path=xl/calcChain.xml><?xml version="1.0" encoding="utf-8"?>
<calcChain xmlns="http://schemas.openxmlformats.org/spreadsheetml/2006/main">
  <c r="G85" i="8"/>
  <c r="I91" i="26" l="1"/>
  <c r="I90"/>
  <c r="I89"/>
  <c r="I66"/>
  <c r="I55"/>
  <c r="H91"/>
  <c r="F91"/>
  <c r="F89"/>
  <c r="H89" s="1"/>
  <c r="I88"/>
  <c r="H88"/>
  <c r="I92"/>
  <c r="E85"/>
  <c r="F85" s="1"/>
  <c r="H85" s="1"/>
  <c r="F84"/>
  <c r="H84" s="1"/>
  <c r="H82"/>
  <c r="H80"/>
  <c r="H78"/>
  <c r="F77"/>
  <c r="H77" s="1"/>
  <c r="I74"/>
  <c r="F73"/>
  <c r="I73" s="1"/>
  <c r="F72"/>
  <c r="H72" s="1"/>
  <c r="F71"/>
  <c r="I71" s="1"/>
  <c r="F70"/>
  <c r="H70" s="1"/>
  <c r="F69"/>
  <c r="I69" s="1"/>
  <c r="F68"/>
  <c r="H68" s="1"/>
  <c r="H67"/>
  <c r="H66"/>
  <c r="F64"/>
  <c r="H64" s="1"/>
  <c r="F63"/>
  <c r="H63" s="1"/>
  <c r="F60"/>
  <c r="I60" s="1"/>
  <c r="F59"/>
  <c r="H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I46"/>
  <c r="H46"/>
  <c r="F45"/>
  <c r="H45" s="1"/>
  <c r="F44"/>
  <c r="I44" s="1"/>
  <c r="F43"/>
  <c r="H43" s="1"/>
  <c r="H42"/>
  <c r="F41"/>
  <c r="H41" s="1"/>
  <c r="I40"/>
  <c r="H40"/>
  <c r="F38"/>
  <c r="H38" s="1"/>
  <c r="H37"/>
  <c r="H36"/>
  <c r="H35"/>
  <c r="F35"/>
  <c r="I35" s="1"/>
  <c r="F34"/>
  <c r="H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I17" s="1"/>
  <c r="F16"/>
  <c r="H16" s="1"/>
  <c r="I92" i="25"/>
  <c r="I91"/>
  <c r="I90"/>
  <c r="I89"/>
  <c r="I66"/>
  <c r="H92"/>
  <c r="F91"/>
  <c r="H91" s="1"/>
  <c r="H90"/>
  <c r="F89"/>
  <c r="H89" s="1"/>
  <c r="I88"/>
  <c r="H88"/>
  <c r="E85"/>
  <c r="F85" s="1"/>
  <c r="F84"/>
  <c r="H84" s="1"/>
  <c r="H82"/>
  <c r="H80"/>
  <c r="H78"/>
  <c r="F77"/>
  <c r="H77" s="1"/>
  <c r="I74"/>
  <c r="F73"/>
  <c r="I73" s="1"/>
  <c r="F72"/>
  <c r="H72" s="1"/>
  <c r="F71"/>
  <c r="I71" s="1"/>
  <c r="F70"/>
  <c r="H70" s="1"/>
  <c r="F69"/>
  <c r="I69" s="1"/>
  <c r="F68"/>
  <c r="H68" s="1"/>
  <c r="H67"/>
  <c r="H66"/>
  <c r="F64"/>
  <c r="I64" s="1"/>
  <c r="F63"/>
  <c r="H63" s="1"/>
  <c r="F60"/>
  <c r="I60" s="1"/>
  <c r="F59"/>
  <c r="H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I46"/>
  <c r="H46"/>
  <c r="F45"/>
  <c r="H45" s="1"/>
  <c r="F44"/>
  <c r="I44" s="1"/>
  <c r="F43"/>
  <c r="H43" s="1"/>
  <c r="H42"/>
  <c r="F41"/>
  <c r="H41" s="1"/>
  <c r="I40"/>
  <c r="H40"/>
  <c r="F38"/>
  <c r="H38" s="1"/>
  <c r="H37"/>
  <c r="H36"/>
  <c r="H35"/>
  <c r="F35"/>
  <c r="I35" s="1"/>
  <c r="F34"/>
  <c r="H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I16" s="1"/>
  <c r="I97" i="24"/>
  <c r="I96"/>
  <c r="I95"/>
  <c r="I94"/>
  <c r="I93"/>
  <c r="I92"/>
  <c r="I91"/>
  <c r="I90"/>
  <c r="I89"/>
  <c r="I88"/>
  <c r="I76"/>
  <c r="H69" i="26" l="1"/>
  <c r="H73"/>
  <c r="I53"/>
  <c r="I54"/>
  <c r="H71"/>
  <c r="H60"/>
  <c r="H52"/>
  <c r="H18"/>
  <c r="I18"/>
  <c r="I16"/>
  <c r="H20"/>
  <c r="I21"/>
  <c r="H27"/>
  <c r="I28"/>
  <c r="H31"/>
  <c r="I32"/>
  <c r="H33"/>
  <c r="I34"/>
  <c r="I41"/>
  <c r="I43"/>
  <c r="H44"/>
  <c r="I45"/>
  <c r="I59"/>
  <c r="I64"/>
  <c r="I68"/>
  <c r="I70"/>
  <c r="I72"/>
  <c r="I84"/>
  <c r="I85"/>
  <c r="I93" i="25"/>
  <c r="H16"/>
  <c r="H21"/>
  <c r="I50"/>
  <c r="I48"/>
  <c r="H64"/>
  <c r="I51"/>
  <c r="I49"/>
  <c r="I18"/>
  <c r="H18"/>
  <c r="H85"/>
  <c r="I85"/>
  <c r="I20"/>
  <c r="H27"/>
  <c r="I28"/>
  <c r="H31"/>
  <c r="I32"/>
  <c r="H33"/>
  <c r="I34"/>
  <c r="I41"/>
  <c r="I43"/>
  <c r="H44"/>
  <c r="I45"/>
  <c r="H52"/>
  <c r="I59"/>
  <c r="H60"/>
  <c r="I68"/>
  <c r="H69"/>
  <c r="I70"/>
  <c r="H71"/>
  <c r="I72"/>
  <c r="H73"/>
  <c r="I84"/>
  <c r="H97" i="24"/>
  <c r="H96"/>
  <c r="H95"/>
  <c r="H94"/>
  <c r="H93"/>
  <c r="H92"/>
  <c r="H91"/>
  <c r="H90"/>
  <c r="F89"/>
  <c r="H89" s="1"/>
  <c r="F88"/>
  <c r="H88" s="1"/>
  <c r="I98"/>
  <c r="E85"/>
  <c r="F85" s="1"/>
  <c r="H85" s="1"/>
  <c r="F84"/>
  <c r="H84" s="1"/>
  <c r="H82"/>
  <c r="H80"/>
  <c r="H78"/>
  <c r="F77"/>
  <c r="H77" s="1"/>
  <c r="I74"/>
  <c r="F73"/>
  <c r="I73" s="1"/>
  <c r="F72"/>
  <c r="H72" s="1"/>
  <c r="F71"/>
  <c r="I71" s="1"/>
  <c r="F70"/>
  <c r="H70" s="1"/>
  <c r="F69"/>
  <c r="I69" s="1"/>
  <c r="F68"/>
  <c r="H68" s="1"/>
  <c r="H67"/>
  <c r="I66"/>
  <c r="H66"/>
  <c r="F64"/>
  <c r="I64" s="1"/>
  <c r="F63"/>
  <c r="H63" s="1"/>
  <c r="F60"/>
  <c r="I60" s="1"/>
  <c r="F59"/>
  <c r="I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I46"/>
  <c r="H46"/>
  <c r="F45"/>
  <c r="I45" s="1"/>
  <c r="F44"/>
  <c r="I44" s="1"/>
  <c r="F43"/>
  <c r="H43" s="1"/>
  <c r="H42"/>
  <c r="F41"/>
  <c r="H41" s="1"/>
  <c r="I40"/>
  <c r="H40"/>
  <c r="F38"/>
  <c r="H38" s="1"/>
  <c r="H37"/>
  <c r="H36"/>
  <c r="H35"/>
  <c r="F35"/>
  <c r="I35" s="1"/>
  <c r="F34"/>
  <c r="H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I17" s="1"/>
  <c r="H16"/>
  <c r="F16"/>
  <c r="I16" s="1"/>
  <c r="I92" i="23"/>
  <c r="I91"/>
  <c r="I90"/>
  <c r="I89"/>
  <c r="I88"/>
  <c r="I66"/>
  <c r="H92"/>
  <c r="H91"/>
  <c r="F90"/>
  <c r="H90" s="1"/>
  <c r="H89"/>
  <c r="H88"/>
  <c r="I93"/>
  <c r="E85"/>
  <c r="F85" s="1"/>
  <c r="F84"/>
  <c r="H84" s="1"/>
  <c r="H82"/>
  <c r="H80"/>
  <c r="H78"/>
  <c r="F77"/>
  <c r="H77" s="1"/>
  <c r="I74"/>
  <c r="F73"/>
  <c r="I73" s="1"/>
  <c r="F72"/>
  <c r="H72" s="1"/>
  <c r="F71"/>
  <c r="I71" s="1"/>
  <c r="F70"/>
  <c r="H70" s="1"/>
  <c r="F69"/>
  <c r="I69" s="1"/>
  <c r="F68"/>
  <c r="H68" s="1"/>
  <c r="H67"/>
  <c r="H66"/>
  <c r="F64"/>
  <c r="I64" s="1"/>
  <c r="F63"/>
  <c r="H63" s="1"/>
  <c r="F60"/>
  <c r="I60" s="1"/>
  <c r="F59"/>
  <c r="I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I46"/>
  <c r="H46"/>
  <c r="F45"/>
  <c r="I45" s="1"/>
  <c r="F44"/>
  <c r="I44" s="1"/>
  <c r="F43"/>
  <c r="I43" s="1"/>
  <c r="H42"/>
  <c r="F41"/>
  <c r="I41" s="1"/>
  <c r="I40"/>
  <c r="H40"/>
  <c r="F38"/>
  <c r="H38" s="1"/>
  <c r="H37"/>
  <c r="H36"/>
  <c r="H35"/>
  <c r="F35"/>
  <c r="I35" s="1"/>
  <c r="F34"/>
  <c r="I34" s="1"/>
  <c r="F33"/>
  <c r="I33" s="1"/>
  <c r="F32"/>
  <c r="I32" s="1"/>
  <c r="F31"/>
  <c r="I31" s="1"/>
  <c r="F28"/>
  <c r="I28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F17"/>
  <c r="I17" s="1"/>
  <c r="F16"/>
  <c r="I16" s="1"/>
  <c r="I89" i="22"/>
  <c r="I88"/>
  <c r="H89"/>
  <c r="F88"/>
  <c r="H88" s="1"/>
  <c r="I90"/>
  <c r="E85"/>
  <c r="F85" s="1"/>
  <c r="F84"/>
  <c r="H84" s="1"/>
  <c r="H82"/>
  <c r="H80"/>
  <c r="H78"/>
  <c r="F77"/>
  <c r="H77" s="1"/>
  <c r="I74"/>
  <c r="F73"/>
  <c r="I73" s="1"/>
  <c r="F72"/>
  <c r="H72" s="1"/>
  <c r="F71"/>
  <c r="I71" s="1"/>
  <c r="F70"/>
  <c r="H70" s="1"/>
  <c r="F69"/>
  <c r="I69" s="1"/>
  <c r="F68"/>
  <c r="H68" s="1"/>
  <c r="H67"/>
  <c r="I66"/>
  <c r="H66"/>
  <c r="F64"/>
  <c r="H64" s="1"/>
  <c r="F63"/>
  <c r="H63" s="1"/>
  <c r="F60"/>
  <c r="I60" s="1"/>
  <c r="F59"/>
  <c r="H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I46"/>
  <c r="H46"/>
  <c r="F45"/>
  <c r="H45" s="1"/>
  <c r="F44"/>
  <c r="I44" s="1"/>
  <c r="F43"/>
  <c r="H43" s="1"/>
  <c r="H42"/>
  <c r="F41"/>
  <c r="H41" s="1"/>
  <c r="I40"/>
  <c r="H40"/>
  <c r="F38"/>
  <c r="H38" s="1"/>
  <c r="H37"/>
  <c r="H36"/>
  <c r="H35"/>
  <c r="F35"/>
  <c r="I35" s="1"/>
  <c r="F34"/>
  <c r="H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I17" s="1"/>
  <c r="F16"/>
  <c r="H16" s="1"/>
  <c r="I91" i="21"/>
  <c r="I90"/>
  <c r="I89"/>
  <c r="H91"/>
  <c r="F90"/>
  <c r="H90" s="1"/>
  <c r="H89"/>
  <c r="I88"/>
  <c r="H88"/>
  <c r="I92"/>
  <c r="E85"/>
  <c r="F85" s="1"/>
  <c r="F84"/>
  <c r="H84" s="1"/>
  <c r="H82"/>
  <c r="H80"/>
  <c r="H78"/>
  <c r="F77"/>
  <c r="H77" s="1"/>
  <c r="I74"/>
  <c r="F73"/>
  <c r="I73" s="1"/>
  <c r="F72"/>
  <c r="H72" s="1"/>
  <c r="F71"/>
  <c r="I71" s="1"/>
  <c r="F70"/>
  <c r="H70" s="1"/>
  <c r="F69"/>
  <c r="I69" s="1"/>
  <c r="F68"/>
  <c r="H68" s="1"/>
  <c r="H67"/>
  <c r="I66"/>
  <c r="H66"/>
  <c r="F64"/>
  <c r="I64" s="1"/>
  <c r="F63"/>
  <c r="H63" s="1"/>
  <c r="F60"/>
  <c r="I60" s="1"/>
  <c r="F59"/>
  <c r="H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I46"/>
  <c r="H46"/>
  <c r="F45"/>
  <c r="H45" s="1"/>
  <c r="F44"/>
  <c r="I44" s="1"/>
  <c r="F43"/>
  <c r="H43" s="1"/>
  <c r="H42"/>
  <c r="F41"/>
  <c r="H41" s="1"/>
  <c r="I40"/>
  <c r="H40"/>
  <c r="F38"/>
  <c r="H38" s="1"/>
  <c r="H37"/>
  <c r="H36"/>
  <c r="H35"/>
  <c r="F35"/>
  <c r="I35" s="1"/>
  <c r="F34"/>
  <c r="H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I17" s="1"/>
  <c r="F16"/>
  <c r="H16" s="1"/>
  <c r="I92" i="20"/>
  <c r="I91"/>
  <c r="I90"/>
  <c r="I88"/>
  <c r="I55"/>
  <c r="H92"/>
  <c r="H91"/>
  <c r="G90"/>
  <c r="H90" s="1"/>
  <c r="I89"/>
  <c r="H89"/>
  <c r="H88"/>
  <c r="I93"/>
  <c r="E85"/>
  <c r="F85" s="1"/>
  <c r="H85" s="1"/>
  <c r="F84"/>
  <c r="H84" s="1"/>
  <c r="H82"/>
  <c r="H80"/>
  <c r="H78"/>
  <c r="F77"/>
  <c r="H77" s="1"/>
  <c r="I74"/>
  <c r="F73"/>
  <c r="I73" s="1"/>
  <c r="F72"/>
  <c r="H72" s="1"/>
  <c r="F71"/>
  <c r="I71" s="1"/>
  <c r="F70"/>
  <c r="H70" s="1"/>
  <c r="F69"/>
  <c r="I69" s="1"/>
  <c r="F68"/>
  <c r="H68" s="1"/>
  <c r="H67"/>
  <c r="I66"/>
  <c r="H66"/>
  <c r="F64"/>
  <c r="H64" s="1"/>
  <c r="F63"/>
  <c r="H63" s="1"/>
  <c r="F60"/>
  <c r="I60" s="1"/>
  <c r="F59"/>
  <c r="H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I46"/>
  <c r="H46"/>
  <c r="F45"/>
  <c r="H45" s="1"/>
  <c r="F44"/>
  <c r="I44" s="1"/>
  <c r="F43"/>
  <c r="H43" s="1"/>
  <c r="H42"/>
  <c r="F41"/>
  <c r="H41" s="1"/>
  <c r="I40"/>
  <c r="H40"/>
  <c r="F38"/>
  <c r="H38" s="1"/>
  <c r="H37"/>
  <c r="H36"/>
  <c r="H35"/>
  <c r="F35"/>
  <c r="I35" s="1"/>
  <c r="F34"/>
  <c r="H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I17" s="1"/>
  <c r="F16"/>
  <c r="I16" s="1"/>
  <c r="I88" i="19"/>
  <c r="I89" s="1"/>
  <c r="I61"/>
  <c r="F88"/>
  <c r="H88" s="1"/>
  <c r="E85"/>
  <c r="F85" s="1"/>
  <c r="H85" s="1"/>
  <c r="F84"/>
  <c r="H84" s="1"/>
  <c r="H82"/>
  <c r="H80"/>
  <c r="H78"/>
  <c r="F77"/>
  <c r="H77" s="1"/>
  <c r="I74"/>
  <c r="F73"/>
  <c r="I73" s="1"/>
  <c r="F72"/>
  <c r="H72" s="1"/>
  <c r="F71"/>
  <c r="I71" s="1"/>
  <c r="F70"/>
  <c r="H70" s="1"/>
  <c r="F69"/>
  <c r="I69" s="1"/>
  <c r="F68"/>
  <c r="H68" s="1"/>
  <c r="H67"/>
  <c r="I66"/>
  <c r="H66"/>
  <c r="F64"/>
  <c r="H64" s="1"/>
  <c r="F63"/>
  <c r="H63" s="1"/>
  <c r="F60"/>
  <c r="I60" s="1"/>
  <c r="F59"/>
  <c r="H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I46"/>
  <c r="H46"/>
  <c r="F45"/>
  <c r="H45" s="1"/>
  <c r="F44"/>
  <c r="I44" s="1"/>
  <c r="F43"/>
  <c r="H43" s="1"/>
  <c r="H42"/>
  <c r="F41"/>
  <c r="H41" s="1"/>
  <c r="I40"/>
  <c r="H40"/>
  <c r="F38"/>
  <c r="H38" s="1"/>
  <c r="H37"/>
  <c r="H36"/>
  <c r="H35"/>
  <c r="F35"/>
  <c r="I35" s="1"/>
  <c r="F34"/>
  <c r="H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I17" s="1"/>
  <c r="F16"/>
  <c r="H16" s="1"/>
  <c r="I95" i="18"/>
  <c r="I94"/>
  <c r="H94"/>
  <c r="F94"/>
  <c r="I86"/>
  <c r="I93"/>
  <c r="I92"/>
  <c r="I91"/>
  <c r="I89"/>
  <c r="I66"/>
  <c r="H93"/>
  <c r="F93"/>
  <c r="H92"/>
  <c r="F92"/>
  <c r="H91"/>
  <c r="I90"/>
  <c r="H90"/>
  <c r="H89"/>
  <c r="I88"/>
  <c r="H88"/>
  <c r="E85"/>
  <c r="F85" s="1"/>
  <c r="F84"/>
  <c r="H84" s="1"/>
  <c r="H82"/>
  <c r="H80"/>
  <c r="H78"/>
  <c r="F77"/>
  <c r="H77" s="1"/>
  <c r="I74"/>
  <c r="F73"/>
  <c r="I73" s="1"/>
  <c r="F72"/>
  <c r="H72" s="1"/>
  <c r="F71"/>
  <c r="I71" s="1"/>
  <c r="F70"/>
  <c r="H70" s="1"/>
  <c r="F69"/>
  <c r="I69" s="1"/>
  <c r="F68"/>
  <c r="H68" s="1"/>
  <c r="H67"/>
  <c r="H66"/>
  <c r="F64"/>
  <c r="I64" s="1"/>
  <c r="F63"/>
  <c r="H63" s="1"/>
  <c r="F60"/>
  <c r="I60" s="1"/>
  <c r="F59"/>
  <c r="H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I46"/>
  <c r="H46"/>
  <c r="F45"/>
  <c r="H45" s="1"/>
  <c r="F44"/>
  <c r="I44" s="1"/>
  <c r="F43"/>
  <c r="H43" s="1"/>
  <c r="H42"/>
  <c r="F41"/>
  <c r="H41" s="1"/>
  <c r="I40"/>
  <c r="H40"/>
  <c r="F38"/>
  <c r="H38" s="1"/>
  <c r="H37"/>
  <c r="H36"/>
  <c r="H35"/>
  <c r="F35"/>
  <c r="I35" s="1"/>
  <c r="F34"/>
  <c r="H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I17" s="1"/>
  <c r="F16"/>
  <c r="H16" s="1"/>
  <c r="I86" i="17"/>
  <c r="F118"/>
  <c r="H118" s="1"/>
  <c r="H116"/>
  <c r="F115"/>
  <c r="H115" s="1"/>
  <c r="H114"/>
  <c r="H113"/>
  <c r="H112"/>
  <c r="H111"/>
  <c r="H110"/>
  <c r="H109"/>
  <c r="H108"/>
  <c r="H107"/>
  <c r="H106"/>
  <c r="H105"/>
  <c r="H104"/>
  <c r="H103"/>
  <c r="F102"/>
  <c r="H102" s="1"/>
  <c r="H101"/>
  <c r="F100"/>
  <c r="H100" s="1"/>
  <c r="H99"/>
  <c r="H98"/>
  <c r="G97"/>
  <c r="H97" s="1"/>
  <c r="F96"/>
  <c r="H96" s="1"/>
  <c r="F95"/>
  <c r="H95" s="1"/>
  <c r="F94"/>
  <c r="H94" s="1"/>
  <c r="H93"/>
  <c r="I92"/>
  <c r="I119" s="1"/>
  <c r="I121" s="1"/>
  <c r="H92"/>
  <c r="I91"/>
  <c r="H91"/>
  <c r="I90"/>
  <c r="H90"/>
  <c r="I89"/>
  <c r="H89"/>
  <c r="I88"/>
  <c r="H88"/>
  <c r="E85"/>
  <c r="F85" s="1"/>
  <c r="F84"/>
  <c r="H84" s="1"/>
  <c r="H82"/>
  <c r="H80"/>
  <c r="H78"/>
  <c r="F77"/>
  <c r="H77" s="1"/>
  <c r="I74"/>
  <c r="F73"/>
  <c r="H73" s="1"/>
  <c r="F72"/>
  <c r="H72" s="1"/>
  <c r="F71"/>
  <c r="H71" s="1"/>
  <c r="F70"/>
  <c r="H70" s="1"/>
  <c r="F69"/>
  <c r="H69" s="1"/>
  <c r="F68"/>
  <c r="H68" s="1"/>
  <c r="H67"/>
  <c r="I66"/>
  <c r="H66"/>
  <c r="F64"/>
  <c r="I64" s="1"/>
  <c r="F63"/>
  <c r="H63" s="1"/>
  <c r="F60"/>
  <c r="I60" s="1"/>
  <c r="F59"/>
  <c r="I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I46"/>
  <c r="H46"/>
  <c r="F45"/>
  <c r="I45" s="1"/>
  <c r="F44"/>
  <c r="I44" s="1"/>
  <c r="F43"/>
  <c r="I43" s="1"/>
  <c r="H42"/>
  <c r="F41"/>
  <c r="I41" s="1"/>
  <c r="I40"/>
  <c r="H40"/>
  <c r="F38"/>
  <c r="H38" s="1"/>
  <c r="F28"/>
  <c r="I28" s="1"/>
  <c r="H37"/>
  <c r="H36"/>
  <c r="F27"/>
  <c r="I27" s="1"/>
  <c r="H35"/>
  <c r="F35"/>
  <c r="I35" s="1"/>
  <c r="F34"/>
  <c r="H34" s="1"/>
  <c r="F33"/>
  <c r="H33" s="1"/>
  <c r="F32"/>
  <c r="H32" s="1"/>
  <c r="F31"/>
  <c r="H31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I16" s="1"/>
  <c r="I86" i="26" l="1"/>
  <c r="I94" s="1"/>
  <c r="I86" i="25"/>
  <c r="I95" s="1"/>
  <c r="H64" i="24"/>
  <c r="H69"/>
  <c r="H73"/>
  <c r="H71"/>
  <c r="H59"/>
  <c r="H52"/>
  <c r="H45"/>
  <c r="H18"/>
  <c r="I18"/>
  <c r="H20"/>
  <c r="I21"/>
  <c r="H27"/>
  <c r="I28"/>
  <c r="H31"/>
  <c r="I32"/>
  <c r="H33"/>
  <c r="I34"/>
  <c r="I41"/>
  <c r="I43"/>
  <c r="H44"/>
  <c r="H60"/>
  <c r="I68"/>
  <c r="I70"/>
  <c r="I72"/>
  <c r="I84"/>
  <c r="I85"/>
  <c r="H64" i="23"/>
  <c r="H34"/>
  <c r="H16"/>
  <c r="H21"/>
  <c r="H28"/>
  <c r="H41"/>
  <c r="H59"/>
  <c r="H43"/>
  <c r="H45"/>
  <c r="H32"/>
  <c r="H85"/>
  <c r="I85"/>
  <c r="H18"/>
  <c r="I18"/>
  <c r="H20"/>
  <c r="H27"/>
  <c r="H31"/>
  <c r="H33"/>
  <c r="H44"/>
  <c r="H52"/>
  <c r="H60"/>
  <c r="I68"/>
  <c r="H69"/>
  <c r="I70"/>
  <c r="H71"/>
  <c r="I72"/>
  <c r="H73"/>
  <c r="I84"/>
  <c r="H18" i="22"/>
  <c r="I18"/>
  <c r="H85"/>
  <c r="I85"/>
  <c r="I16"/>
  <c r="H20"/>
  <c r="I21"/>
  <c r="H27"/>
  <c r="I28"/>
  <c r="H31"/>
  <c r="I32"/>
  <c r="H33"/>
  <c r="I34"/>
  <c r="I41"/>
  <c r="I43"/>
  <c r="H44"/>
  <c r="I45"/>
  <c r="H52"/>
  <c r="I59"/>
  <c r="H60"/>
  <c r="I64"/>
  <c r="I68"/>
  <c r="H69"/>
  <c r="I70"/>
  <c r="H71"/>
  <c r="I72"/>
  <c r="H73"/>
  <c r="I84"/>
  <c r="I19" i="21"/>
  <c r="I26"/>
  <c r="I24"/>
  <c r="I51"/>
  <c r="I49"/>
  <c r="H64"/>
  <c r="I22"/>
  <c r="I25"/>
  <c r="I23"/>
  <c r="I50"/>
  <c r="I48"/>
  <c r="H18"/>
  <c r="I18"/>
  <c r="H85"/>
  <c r="I85"/>
  <c r="I16"/>
  <c r="H20"/>
  <c r="I21"/>
  <c r="H27"/>
  <c r="I28"/>
  <c r="H31"/>
  <c r="I32"/>
  <c r="H33"/>
  <c r="I34"/>
  <c r="I41"/>
  <c r="I43"/>
  <c r="H44"/>
  <c r="I45"/>
  <c r="H52"/>
  <c r="I59"/>
  <c r="H60"/>
  <c r="I68"/>
  <c r="H69"/>
  <c r="I70"/>
  <c r="H71"/>
  <c r="I72"/>
  <c r="H73"/>
  <c r="I84"/>
  <c r="H71" i="20"/>
  <c r="H16"/>
  <c r="H44"/>
  <c r="H60"/>
  <c r="H69"/>
  <c r="H73"/>
  <c r="I53"/>
  <c r="I54"/>
  <c r="H52"/>
  <c r="H18"/>
  <c r="I18"/>
  <c r="H20"/>
  <c r="I21"/>
  <c r="H27"/>
  <c r="I28"/>
  <c r="H31"/>
  <c r="I32"/>
  <c r="H33"/>
  <c r="I34"/>
  <c r="I41"/>
  <c r="I43"/>
  <c r="I45"/>
  <c r="I59"/>
  <c r="I64"/>
  <c r="I68"/>
  <c r="I70"/>
  <c r="I72"/>
  <c r="I84"/>
  <c r="I85"/>
  <c r="H69" i="19"/>
  <c r="H73"/>
  <c r="H71"/>
  <c r="H60"/>
  <c r="H18"/>
  <c r="I18"/>
  <c r="I16"/>
  <c r="H20"/>
  <c r="I21"/>
  <c r="H27"/>
  <c r="I28"/>
  <c r="H31"/>
  <c r="I32"/>
  <c r="H33"/>
  <c r="I34"/>
  <c r="I41"/>
  <c r="I43"/>
  <c r="H44"/>
  <c r="I45"/>
  <c r="H52"/>
  <c r="I59"/>
  <c r="I64"/>
  <c r="I68"/>
  <c r="I70"/>
  <c r="I72"/>
  <c r="I84"/>
  <c r="I85"/>
  <c r="H64" i="18"/>
  <c r="H18"/>
  <c r="I18"/>
  <c r="H85"/>
  <c r="I85"/>
  <c r="I16"/>
  <c r="H20"/>
  <c r="I21"/>
  <c r="H27"/>
  <c r="I28"/>
  <c r="H31"/>
  <c r="I32"/>
  <c r="H33"/>
  <c r="I34"/>
  <c r="I41"/>
  <c r="I43"/>
  <c r="H44"/>
  <c r="I45"/>
  <c r="H52"/>
  <c r="I59"/>
  <c r="H60"/>
  <c r="I68"/>
  <c r="H69"/>
  <c r="I70"/>
  <c r="H71"/>
  <c r="I72"/>
  <c r="H73"/>
  <c r="I84"/>
  <c r="I73" i="17"/>
  <c r="I71"/>
  <c r="I69"/>
  <c r="I68"/>
  <c r="I72"/>
  <c r="I70"/>
  <c r="I31"/>
  <c r="I34"/>
  <c r="I33"/>
  <c r="I32"/>
  <c r="H28"/>
  <c r="H43"/>
  <c r="H16"/>
  <c r="H41"/>
  <c r="H45"/>
  <c r="H52"/>
  <c r="H59"/>
  <c r="H64"/>
  <c r="I18"/>
  <c r="H18"/>
  <c r="I85"/>
  <c r="H85"/>
  <c r="I20"/>
  <c r="H21"/>
  <c r="H27"/>
  <c r="H44"/>
  <c r="H60"/>
  <c r="I84"/>
  <c r="I86" i="24" l="1"/>
  <c r="I100" s="1"/>
  <c r="I86" i="23"/>
  <c r="I95" s="1"/>
  <c r="I86" i="22"/>
  <c r="I92"/>
  <c r="I86" i="21"/>
  <c r="I94" s="1"/>
  <c r="I86" i="20"/>
  <c r="I95" s="1"/>
  <c r="I86" i="19"/>
  <c r="I91"/>
  <c r="I97" i="18"/>
  <c r="G69" i="14" l="1"/>
  <c r="G92" i="8"/>
  <c r="E32"/>
  <c r="G94" l="1"/>
  <c r="G92" i="14" l="1"/>
  <c r="G95" s="1"/>
  <c r="E23" l="1"/>
  <c r="G64" l="1"/>
  <c r="G47"/>
  <c r="G46"/>
  <c r="G44"/>
  <c r="G43"/>
  <c r="E43"/>
  <c r="E44"/>
  <c r="E45"/>
  <c r="G42"/>
  <c r="G41"/>
  <c r="G40"/>
  <c r="E27" l="1"/>
  <c r="E33"/>
  <c r="E38"/>
  <c r="E39"/>
  <c r="E40"/>
  <c r="E41"/>
  <c r="E42"/>
  <c r="E50"/>
  <c r="E56"/>
  <c r="E59"/>
  <c r="E61"/>
  <c r="E62"/>
  <c r="E63"/>
  <c r="E65"/>
  <c r="E67"/>
  <c r="G38" l="1"/>
  <c r="G39"/>
  <c r="E37" l="1"/>
  <c r="J67"/>
  <c r="E32" l="1"/>
  <c r="E28"/>
  <c r="G37" l="1"/>
  <c r="G45"/>
  <c r="G65"/>
  <c r="E34"/>
  <c r="E35" l="1"/>
  <c r="H67" l="1"/>
  <c r="H68" s="1"/>
</calcChain>
</file>

<file path=xl/sharedStrings.xml><?xml version="1.0" encoding="utf-8"?>
<sst xmlns="http://schemas.openxmlformats.org/spreadsheetml/2006/main" count="2796" uniqueCount="318">
  <si>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</si>
  <si>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</si>
  <si>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</si>
  <si>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</si>
  <si>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</si>
  <si>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</si>
  <si>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</si>
  <si>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</si>
  <si>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</si>
  <si>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</si>
  <si>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</si>
  <si>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</si>
  <si>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</si>
  <si>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</si>
  <si>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</si>
  <si>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</si>
  <si>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</si>
  <si>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</si>
  <si>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</si>
  <si>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</si>
  <si>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</si>
  <si>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</si>
  <si>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t xml:space="preserve">Приказ Министерства строительства и жилищно - коммунального хозяйства Российской Федерации от 26 октября 2015г. № 761/пр. 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</si>
  <si>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</si>
  <si>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</si>
  <si>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</si>
  <si>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</si>
  <si>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</si>
  <si>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</si>
  <si>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</si>
  <si>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по необходим-ти</t>
  </si>
  <si>
    <t>Механизированная уборка дворовой территории</t>
  </si>
  <si>
    <t xml:space="preserve">Стоимость песка 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</si>
  <si>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</si>
  <si>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</si>
  <si>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</si>
  <si>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</si>
  <si>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</si>
  <si>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10 шт.</t>
  </si>
  <si>
    <t>м/час</t>
  </si>
  <si>
    <t>м3</t>
  </si>
  <si>
    <t>Осмотр шиферной  кровли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</si>
  <si>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</si>
  <si>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</si>
  <si>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</si>
  <si>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</si>
  <si>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</si>
  <si>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электросетей, арматуры и электрообору- дования на чердаках, подвалах и техэтажах</t>
  </si>
  <si>
    <t>Осмотр электросетей,арматуры и электооборудо- вания на лестничных клетках</t>
  </si>
  <si>
    <t>100 лест.</t>
  </si>
  <si>
    <t>Осмотр вводных электрических щитков</t>
  </si>
  <si>
    <t>100 шт.</t>
  </si>
  <si>
    <t>Проверка  дымоходов</t>
  </si>
  <si>
    <t>4 раза в год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</si>
  <si>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</si>
  <si>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</si>
  <si>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</si>
  <si>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</si>
  <si>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</si>
  <si>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</si>
  <si>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</si>
  <si>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</si>
  <si>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</si>
  <si>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</si>
  <si>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</si>
  <si>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Визуальная проверка окраски и креплений наруж- ного (фасадного ) газопровода</t>
  </si>
  <si>
    <t>Итого текущий ремонт</t>
  </si>
  <si>
    <t>Итого годовые затраты</t>
  </si>
  <si>
    <t>100 м2</t>
  </si>
  <si>
    <t>1 раз в год</t>
  </si>
  <si>
    <t>1000 м3</t>
  </si>
  <si>
    <t>Техническое обслуживание  наружных газопроводов</t>
  </si>
  <si>
    <t>10 м</t>
  </si>
  <si>
    <t>1 м2</t>
  </si>
  <si>
    <t>ежемесячно</t>
  </si>
  <si>
    <t>за период с 01.06.2016 г. по 30.06.2016 г.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</si>
  <si>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</si>
  <si>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</si>
  <si>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</si>
  <si>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</si>
  <si>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</si>
  <si>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весенне-осенний осмотр, 2 раза</t>
  </si>
  <si>
    <t>5. Настоящий Акт составлен в 2 экземплярах, имеющих одинаковую юридическую силу, по одному для каждой из Сторон</t>
  </si>
  <si>
    <t>за период с 01.08.2016 г. по 31.08.2016 г.</t>
  </si>
  <si>
    <t>за период с 01.10.2016 г. по 31.10.2016 г.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</si>
  <si>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</si>
  <si>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</si>
  <si>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</si>
  <si>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</si>
  <si>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</si>
  <si>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</si>
  <si>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</si>
  <si>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</si>
  <si>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</si>
  <si>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</si>
  <si>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</si>
  <si>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</si>
  <si>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</si>
  <si>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</si>
  <si>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</si>
  <si>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</si>
  <si>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</si>
  <si>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</si>
  <si>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</si>
  <si>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</si>
  <si>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Осмотр и очистка оголовков дымоходов и вентканалов от наледи и снега (по необходимости) зимой</t>
  </si>
  <si>
    <t>2 раза в месяц</t>
  </si>
  <si>
    <t>Ремонт групповых щитков на лестничной клетке без ремонта автоматов</t>
  </si>
  <si>
    <t>Итого:</t>
  </si>
  <si>
    <t>за период с 01.02.2016 г. по 29.02.2016 г.</t>
  </si>
  <si>
    <t>1 м</t>
  </si>
  <si>
    <t>за период с 01.03.2016 г. по 31.03.2016 г.</t>
  </si>
  <si>
    <t>за период с 01.04.2016 г. по 30.04.2016 г.</t>
  </si>
  <si>
    <t>Подключение и отключение сварочного аппарата</t>
  </si>
  <si>
    <t>за период с 01.05.2016 г. по 31.05.2016 г.</t>
  </si>
  <si>
    <t>за период с 01.07.2016 г. по 31.07.2016 г.</t>
  </si>
  <si>
    <t>за период с 01.09.2016 г. по 30.09.2016 г.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</si>
  <si>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</si>
  <si>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</si>
  <si>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</si>
  <si>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дверных приборов - петли</t>
  </si>
  <si>
    <t>Смена дверных приборов (замки навесные)</t>
  </si>
  <si>
    <t>II. Уборка земельного участка</t>
  </si>
  <si>
    <t>7 раз в месяц</t>
  </si>
  <si>
    <t xml:space="preserve">ежедневно </t>
  </si>
  <si>
    <t xml:space="preserve">II. Уборка земельного участка </t>
  </si>
  <si>
    <t>26 раз в месяц</t>
  </si>
  <si>
    <r>
      <t>Наименование вида работы (услуги)</t>
    </r>
    <r>
      <rPr>
        <vertAlign val="superscript"/>
        <sz val="12"/>
        <rFont val="Times New Roman"/>
        <family val="1"/>
        <charset val="204"/>
      </rPr>
      <t>2</t>
    </r>
  </si>
  <si>
    <t>ООО «Жилсервис»</t>
  </si>
  <si>
    <t>за период с 01.11.2016 г. по 30.11.2016 г.</t>
  </si>
  <si>
    <t>Влажное подметание лестничных клеток 1 этажа</t>
  </si>
  <si>
    <t>13 раз в месяц</t>
  </si>
  <si>
    <t>III. Плановые осмотры  и мелкий ремонт</t>
  </si>
  <si>
    <t>III. Содержание общего имущества</t>
  </si>
  <si>
    <t>Работа автовышки</t>
  </si>
  <si>
    <t>ТО внутренних сетей водопровода и канализации</t>
  </si>
  <si>
    <t>Замена ламп ДРЛ</t>
  </si>
  <si>
    <t xml:space="preserve"> IV. Прочие услуги</t>
  </si>
  <si>
    <t>Подметание снега - с входных площадок, контейнерных площадок</t>
  </si>
  <si>
    <t>Пескопосыпка территории: входн. площадки</t>
  </si>
  <si>
    <t>Смена арматуры - вентилей и клапанов обратных муфтовых диаметром до 20 мм</t>
  </si>
  <si>
    <t>Смена трубопроводов на полипропиленовые трубы PN20 диаметром 20мм</t>
  </si>
  <si>
    <t>генеральный директор Куканов Ю.Л.</t>
  </si>
  <si>
    <t>4 раза в месяц</t>
  </si>
  <si>
    <t>Аварийно - диспетчерское обслуживание</t>
  </si>
  <si>
    <t>Прочистка засоров ГВС, XВC</t>
  </si>
  <si>
    <t>3м</t>
  </si>
  <si>
    <t>Смена трубопроводов на полипропиленовые трубы PN20 диаметром 25мм</t>
  </si>
  <si>
    <t xml:space="preserve">Смена сосков у трубопроводов диаметром до 20 мм </t>
  </si>
  <si>
    <t>1 шт</t>
  </si>
  <si>
    <t>руб./м2 в месяц</t>
  </si>
  <si>
    <t>Влажное подметание лестничных клеток 2-5 этажа</t>
  </si>
  <si>
    <t>Мытье лестничных  площадок и маршей 1-5 этаж.</t>
  </si>
  <si>
    <t>Площадь помещений</t>
  </si>
  <si>
    <t>Сдвигание снега в дни снегопада (крылька, тротуары)</t>
  </si>
  <si>
    <t>5 раз в месяц</t>
  </si>
  <si>
    <t>Вывоз снега с придомовой территории</t>
  </si>
  <si>
    <t>1 м3</t>
  </si>
  <si>
    <t>Очистка водостоков от наледи</t>
  </si>
  <si>
    <t>Дератизация</t>
  </si>
  <si>
    <t>Устройство герметизации горизонтальных и вертикальных стыков стеновых панелей</t>
  </si>
  <si>
    <t>100 м шва</t>
  </si>
  <si>
    <t>Заделка окон фанерой</t>
  </si>
  <si>
    <t>10 м2</t>
  </si>
  <si>
    <t>Влажная протирка перил</t>
  </si>
  <si>
    <t>Влажная протирка почтовых ящиков</t>
  </si>
  <si>
    <t>8 раз в месяц</t>
  </si>
  <si>
    <t>Зимняя уборка газонов от мусора</t>
  </si>
  <si>
    <t>Очистка внутреннего водостока</t>
  </si>
  <si>
    <t>водосток</t>
  </si>
  <si>
    <t>Снятие показаний эл.счетчика коммунального назначения</t>
  </si>
  <si>
    <t xml:space="preserve">Ремонт и регулировка доводчика (со стоимостью доводчика) </t>
  </si>
  <si>
    <t>1 шт.</t>
  </si>
  <si>
    <t>маш/час</t>
  </si>
  <si>
    <t>Обработка деревянных перил наждачной бумагой</t>
  </si>
  <si>
    <t xml:space="preserve"> 10 м</t>
  </si>
  <si>
    <t>Влажная протирка подоконников</t>
  </si>
  <si>
    <t>Влажная протирка отопительных приборов</t>
  </si>
  <si>
    <t xml:space="preserve">Очистка края кровли  от слежавшегося снега со сбрасыванием сосулек (козырьки) </t>
  </si>
  <si>
    <t>Уплотнение сгонов с применением льняной пряди или асбестового шнура (без разборки сгонов)</t>
  </si>
  <si>
    <t>1 соединение</t>
  </si>
  <si>
    <t>Смена автомата на ток до 20 А (авт.выкл. ВА47-29 Iн-25А)</t>
  </si>
  <si>
    <t>Внеплановая проверка вентканалов</t>
  </si>
  <si>
    <t>Сдвигание снега в дни снегопада (проезды)</t>
  </si>
  <si>
    <t>Смена светодиодных светильников</t>
  </si>
  <si>
    <t>Смена дощатых полов с добавлением новых досок до25%</t>
  </si>
  <si>
    <t>5916,3 м2</t>
  </si>
  <si>
    <t xml:space="preserve">приемки оказанных услуг и выполненных работ по содержанию и текущему ремонту
общего имущества в многоквартирном доме № 10 по  ул. Нефтяников  пгт. Ярега
</t>
  </si>
  <si>
    <t>1 раз в 2 месяца</t>
  </si>
  <si>
    <t>6 раз в месяц</t>
  </si>
  <si>
    <t>Обслуживание приборов тепловой энергии</t>
  </si>
  <si>
    <t>Устройство хомута диаметром до 50 мм</t>
  </si>
  <si>
    <t>АКТ №12</t>
  </si>
  <si>
    <t>за период с 01.12.2016 г. по 31.12.2016 г.</t>
  </si>
  <si>
    <t>100м2</t>
  </si>
  <si>
    <t>156 раз в год</t>
  </si>
  <si>
    <t>104 раза в год</t>
  </si>
  <si>
    <t xml:space="preserve">24 раза в год 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</si>
  <si>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</si>
  <si>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</si>
  <si>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</si>
  <si>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</si>
  <si>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</si>
  <si>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Влажная протирка шкафов для щитов и слаботочн.устройств</t>
  </si>
  <si>
    <t>Уборка газонов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</si>
  <si>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</si>
  <si>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</si>
  <si>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</si>
  <si>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</si>
  <si>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 xml:space="preserve">Очистка урн от мусора </t>
  </si>
  <si>
    <t>Уборка контейнерной площадки (16 кв.м.)</t>
  </si>
  <si>
    <t>30 раз за сезон</t>
  </si>
  <si>
    <t>155 раз за сезон</t>
  </si>
  <si>
    <t xml:space="preserve">Пескопосыпка территории: крыльца и тротуары </t>
  </si>
  <si>
    <t>Осмотр рулонной кровли</t>
  </si>
  <si>
    <t>5 раз в году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</si>
  <si>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</si>
  <si>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</si>
  <si>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</si>
  <si>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</si>
  <si>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</si>
  <si>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</si>
  <si>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</si>
  <si>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</si>
  <si>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</si>
  <si>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</si>
  <si>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</si>
  <si>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</si>
  <si>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№10 по ул.Нефтяников пгт.Ярега
</t>
  </si>
  <si>
    <t>1м3</t>
  </si>
  <si>
    <t>35 раз за сезон</t>
  </si>
  <si>
    <t>Очистка оголовков дымоходов и вентканалов от наледи и снега (по необходимости) зимой</t>
  </si>
  <si>
    <t>Спуск воды после промывки СО в канализацию</t>
  </si>
  <si>
    <t>Обслуживание прибора тепловой энергии</t>
  </si>
  <si>
    <t>Смена дверных приборов - пружины</t>
  </si>
  <si>
    <t>Ремонт дверных коробок в каменных стенах без снятия полотна</t>
  </si>
  <si>
    <t>коробка</t>
  </si>
  <si>
    <t>Очистка чердака от снега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</si>
  <si>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10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д.10</t>
    </r>
  </si>
  <si>
    <r>
      <t xml:space="preserve">    Собственники помещений в многоквартирном доме,  расположенном по адресу:  пгт.Ярега, ул.Нефтяников, д.10,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25.03.2014г. стороны,  и ООО «Жилсервис»,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</si>
  <si>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III. Проведение технических осмотров</t>
  </si>
  <si>
    <t>IV. Содержание общего имущества МКД</t>
  </si>
  <si>
    <t>V. Прочие услуги</t>
  </si>
  <si>
    <t>АКТ №11</t>
  </si>
  <si>
    <t>АКТ №1</t>
  </si>
  <si>
    <t>Очистка урн от мусора</t>
  </si>
  <si>
    <t>155 раз в год</t>
  </si>
  <si>
    <t>ежедневно 365 раз</t>
  </si>
  <si>
    <t>Дополнительная подборка мусора</t>
  </si>
  <si>
    <t>договор</t>
  </si>
  <si>
    <t>Мелкий ремонт электропроводки</t>
  </si>
  <si>
    <t>Устройство хомута диаметром до 50мм</t>
  </si>
  <si>
    <t>Ремонт и регулировка доводчика (со стоимостью доводчика)</t>
  </si>
  <si>
    <t>1шт.</t>
  </si>
  <si>
    <t>Смена трубопроводов на металл-полимерные трубы д=20</t>
  </si>
  <si>
    <t>Крепление кабеля на тепловычислитель</t>
  </si>
  <si>
    <t>10шт</t>
  </si>
  <si>
    <t>Внеплановый осмотр электросетей, армазуры и электрооборудования на лестничных клетках</t>
  </si>
  <si>
    <t>Замена чугунного тройника Dy-100</t>
  </si>
  <si>
    <t>Ремонт дверных полотен со сменой брусков обвязки горизонтальных на 2 сопряжения верхних (+ 3 листа железа и уголок 30*30 20м)</t>
  </si>
  <si>
    <t>брусок</t>
  </si>
  <si>
    <t>Настройка таймера освещения ТО-2</t>
  </si>
  <si>
    <t>100шт</t>
  </si>
  <si>
    <t>Ремонт ограждений контейнерной площадки</t>
  </si>
  <si>
    <t>тыс.руб.</t>
  </si>
  <si>
    <t>Установка хомута диаметром до 50 мм</t>
  </si>
  <si>
    <t>Ремонт металлической двери</t>
  </si>
  <si>
    <t>Смена полиэтиленовых канализационных труб 110×1000 мм</t>
  </si>
  <si>
    <t>Патрубок компенсационный Ду 100</t>
  </si>
  <si>
    <t>Ревизия 110</t>
  </si>
  <si>
    <t>Тройник 100</t>
  </si>
  <si>
    <t>Смена трубопроводов на полипропиленовые трубы PN25 диаметром 20мм</t>
  </si>
  <si>
    <t>Ремонт отдельными местами рулонного покрытия, промазка битумными составами отдельными местами рулонного покрытия, замена 1 слоя</t>
  </si>
  <si>
    <t>Работы автовышки</t>
  </si>
  <si>
    <t>маш-час</t>
  </si>
  <si>
    <t xml:space="preserve">Уплотнение сгонов с применением льняной пряди или асбестового шнура (без разборки сгонов) </t>
  </si>
  <si>
    <t>Смена стекол в деревянных переплетах при площади стекла до 1,0 м2</t>
  </si>
  <si>
    <t>Переход чугун-пластик 119×110</t>
  </si>
  <si>
    <t>Переход 100×50</t>
  </si>
  <si>
    <t>Крестовина 100×50 (левая)</t>
  </si>
  <si>
    <t xml:space="preserve">ПРЭМ Ду-65 ГФ Кл. D расходомер электромагнитный 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</si>
  <si>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</si>
  <si>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</si>
  <si>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2. Всего за период с 01.01.2016 по 31.01.2016 выполнено работ (оказано услуг) на общую сумму: 110549,38 руб.</t>
  </si>
  <si>
    <t>(сто десять тысяч пятьсот сорок девять рублей 38 копеек)</t>
  </si>
  <si>
    <t>АКТ №2</t>
  </si>
  <si>
    <t>2. Всего за период с 01.02.2016 по 29.02.2016 выполнено работ (оказано услуг) на общую сумму: 123967,45 руб.</t>
  </si>
  <si>
    <t>(сто двадцать три тысячи девятьсот шестьдесят семь рублей 45 копеек)</t>
  </si>
  <si>
    <t>АКТ №3</t>
  </si>
  <si>
    <t>III. Содержание общего имущества МКД</t>
  </si>
  <si>
    <t>IV. Прочие услуги</t>
  </si>
  <si>
    <t>2. Всего за период с 01.03.2016 по 31.03.2016 выполнено работ (оказано услуг) на общую сумму: 100568,39 руб.</t>
  </si>
  <si>
    <t>(сто тысяч пятьсот шестьдесят восемь рублей 39 копеек)</t>
  </si>
  <si>
    <t>АКТ №4</t>
  </si>
  <si>
    <t>2. Всего за период с 01.04.2016 по 30.04.2016 выполнено работ (оказано услуг) на общую сумму: 116941,04 руб.</t>
  </si>
  <si>
    <t>(сто шестнадцать тысяч девятьсот сорок один рубль 04 копейки)</t>
  </si>
  <si>
    <t>АКТ №5</t>
  </si>
  <si>
    <t>2. Всего за период с 01.05.2016 по 31.05.2016 выполнено работ (оказано услуг) на общую сумму: 242226,79 руб.</t>
  </si>
  <si>
    <t>(двести сорок две тысячи двести двадцать шесть рублей 79 копеек)</t>
  </si>
  <si>
    <t>АКТ №6</t>
  </si>
  <si>
    <t>2. Всего за период с 01.06.2016 по 30.06.2016 выполнено работ (оказано услуг) на общую сумму: 87337,92 руб.</t>
  </si>
  <si>
    <t>(восемьдесят семь тысяч триста тридцать семь рублей 92 копейки)</t>
  </si>
  <si>
    <t>АКТ №7</t>
  </si>
  <si>
    <t>2. Всего за период с 01.07.2016 по 31.07.2016 выполнено работ (оказано услуг) на общую сумму: 96869,57 руб.</t>
  </si>
  <si>
    <t>(сдевяносто шесть тысяч восемьсот шестьдесят девять рублей 57 копеек)</t>
  </si>
  <si>
    <t>АКТ №8</t>
  </si>
  <si>
    <t>2. Всего за период с 01.08.2016 по 31.08.2016 выполнено работ (оказано услуг) на общую сумму: 153403,62 руб.</t>
  </si>
  <si>
    <t>(сто пятьдесят три тысячи четыреста три рубля 62 копейки)</t>
  </si>
  <si>
    <t>АКТ №9</t>
  </si>
  <si>
    <t>2. Всего за период с 01.09.2016 по 30.09.2016 выполнено работ (оказано услуг) на общую сумму: 123234,72 руб.</t>
  </si>
  <si>
    <t>(сто двадцать три тысячи двести тридцать четыре рубля 72 копейки)</t>
  </si>
  <si>
    <t>АКТ №10</t>
  </si>
  <si>
    <t>2. Всего за период с 01.10.2016 по 31.10.2016 выполнено работ (оказано услуг) на общую сумму: 96413,45 руб.</t>
  </si>
  <si>
    <t>(девяносто шесть тысяч четыреста тринадцать рублей 45 копеек)</t>
  </si>
  <si>
    <t>2. Всего за период с  01.11.2016 г. по 30.11.2016 г. выполнено работ (оказано услуг) на общую сумму: 108178,66 руб.</t>
  </si>
  <si>
    <t>сто восемь тысяч сто семьдесят восемь рублей 66 копеек)</t>
  </si>
  <si>
    <t>2. Всего за период с 01.12.2016 по 31.12.2016 выполнено работ (оказано услуг) на общую сумму: 125083,46 руб.</t>
  </si>
  <si>
    <t>(сто двадцать пять тысяч восемьдесят три рубля 46 копеек)</t>
  </si>
</sst>
</file>

<file path=xl/styles.xml><?xml version="1.0" encoding="utf-8"?>
<styleSheet xmlns="http://schemas.openxmlformats.org/spreadsheetml/2006/main">
  <numFmts count="3">
    <numFmt numFmtId="164" formatCode="#,##0.000"/>
    <numFmt numFmtId="166" formatCode="#,##0.0"/>
    <numFmt numFmtId="167" formatCode="0.00000"/>
  </numFmts>
  <fonts count="3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2"/>
      <color rgb="FF353535"/>
      <name val="Times New Roman"/>
      <family val="1"/>
      <charset val="204"/>
    </font>
    <font>
      <b/>
      <sz val="12"/>
      <color rgb="FF353535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7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0" fillId="0" borderId="0" xfId="0" applyFont="1"/>
    <xf numFmtId="4" fontId="12" fillId="0" borderId="3" xfId="0" applyNumberFormat="1" applyFont="1" applyFill="1" applyBorder="1" applyAlignment="1">
      <alignment horizontal="center" wrapText="1"/>
    </xf>
    <xf numFmtId="4" fontId="12" fillId="0" borderId="3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3" xfId="0" applyFont="1" applyBorder="1"/>
    <xf numFmtId="2" fontId="0" fillId="0" borderId="0" xfId="0" applyNumberFormat="1"/>
    <xf numFmtId="4" fontId="0" fillId="0" borderId="0" xfId="0" applyNumberFormat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/>
    <xf numFmtId="4" fontId="0" fillId="0" borderId="0" xfId="0" applyNumberFormat="1" applyFill="1"/>
    <xf numFmtId="167" fontId="0" fillId="0" borderId="0" xfId="0" applyNumberFormat="1" applyFill="1"/>
    <xf numFmtId="0" fontId="5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7" fillId="0" borderId="0" xfId="0" applyFont="1" applyAlignment="1">
      <alignment horizontal="right" vertical="top"/>
    </xf>
    <xf numFmtId="4" fontId="15" fillId="0" borderId="3" xfId="0" applyNumberFormat="1" applyFont="1" applyFill="1" applyBorder="1" applyAlignment="1">
      <alignment horizontal="center" vertical="center" wrapText="1"/>
    </xf>
    <xf numFmtId="4" fontId="12" fillId="2" borderId="8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 wrapText="1"/>
    </xf>
    <xf numFmtId="4" fontId="12" fillId="3" borderId="8" xfId="0" applyNumberFormat="1" applyFont="1" applyFill="1" applyBorder="1" applyAlignment="1">
      <alignment horizontal="center" vertical="center"/>
    </xf>
    <xf numFmtId="0" fontId="16" fillId="0" borderId="3" xfId="0" applyFont="1" applyBorder="1"/>
    <xf numFmtId="0" fontId="16" fillId="0" borderId="3" xfId="0" applyFont="1" applyFill="1" applyBorder="1"/>
    <xf numFmtId="4" fontId="12" fillId="2" borderId="3" xfId="0" applyNumberFormat="1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center" vertical="center"/>
    </xf>
    <xf numFmtId="4" fontId="12" fillId="4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1" fontId="12" fillId="0" borderId="3" xfId="0" applyNumberFormat="1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4" fontId="2" fillId="0" borderId="3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1" fillId="0" borderId="3" xfId="0" applyFont="1" applyBorder="1"/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wrapText="1"/>
    </xf>
    <xf numFmtId="0" fontId="12" fillId="0" borderId="3" xfId="0" applyFont="1" applyBorder="1"/>
    <xf numFmtId="0" fontId="2" fillId="0" borderId="3" xfId="1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3" xfId="0" applyFont="1" applyFill="1" applyBorder="1"/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25" fillId="0" borderId="0" xfId="0" applyFont="1" applyAlignment="1">
      <alignment horizontal="right" wrapText="1"/>
    </xf>
    <xf numFmtId="0" fontId="25" fillId="0" borderId="0" xfId="0" applyFont="1" applyBorder="1" applyAlignment="1">
      <alignment wrapText="1"/>
    </xf>
    <xf numFmtId="0" fontId="3" fillId="0" borderId="0" xfId="0" applyFont="1" applyAlignment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justify"/>
    </xf>
    <xf numFmtId="0" fontId="26" fillId="0" borderId="0" xfId="0" applyFont="1"/>
    <xf numFmtId="0" fontId="25" fillId="0" borderId="0" xfId="0" applyFont="1" applyAlignment="1">
      <alignment horizontal="center" vertical="top" wrapText="1"/>
    </xf>
    <xf numFmtId="0" fontId="25" fillId="0" borderId="0" xfId="0" applyFont="1" applyAlignment="1">
      <alignment wrapText="1"/>
    </xf>
    <xf numFmtId="14" fontId="24" fillId="0" borderId="0" xfId="0" applyNumberFormat="1" applyFont="1" applyAlignment="1">
      <alignment wrapText="1"/>
    </xf>
    <xf numFmtId="0" fontId="27" fillId="0" borderId="0" xfId="0" applyFont="1" applyAlignment="1"/>
    <xf numFmtId="0" fontId="27" fillId="0" borderId="0" xfId="0" applyFont="1"/>
    <xf numFmtId="0" fontId="28" fillId="0" borderId="0" xfId="0" applyFont="1" applyAlignment="1">
      <alignment horizontal="center" vertical="top" wrapText="1"/>
    </xf>
    <xf numFmtId="0" fontId="29" fillId="0" borderId="0" xfId="0" applyFont="1"/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0" fillId="0" borderId="0" xfId="0" applyFont="1" applyFill="1" applyAlignment="1">
      <alignment wrapText="1"/>
    </xf>
    <xf numFmtId="0" fontId="31" fillId="0" borderId="3" xfId="0" applyFont="1" applyFill="1" applyBorder="1" applyAlignment="1">
      <alignment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5" fillId="0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wrapText="1"/>
    </xf>
    <xf numFmtId="2" fontId="12" fillId="0" borderId="3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center" vertical="center"/>
    </xf>
    <xf numFmtId="4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 wrapText="1"/>
    </xf>
    <xf numFmtId="4" fontId="12" fillId="0" borderId="7" xfId="0" applyNumberFormat="1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/>
    </xf>
    <xf numFmtId="4" fontId="12" fillId="2" borderId="16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1" fontId="12" fillId="2" borderId="3" xfId="0" applyNumberFormat="1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wrapText="1"/>
    </xf>
    <xf numFmtId="0" fontId="12" fillId="2" borderId="3" xfId="0" applyNumberFormat="1" applyFont="1" applyFill="1" applyBorder="1" applyAlignment="1" applyProtection="1">
      <alignment horizontal="left" vertical="center" wrapText="1"/>
    </xf>
    <xf numFmtId="0" fontId="12" fillId="2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left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wrapText="1"/>
    </xf>
    <xf numFmtId="0" fontId="32" fillId="0" borderId="3" xfId="0" applyFont="1" applyFill="1" applyBorder="1" applyAlignment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/>
    </xf>
    <xf numFmtId="0" fontId="12" fillId="0" borderId="13" xfId="0" applyNumberFormat="1" applyFont="1" applyFill="1" applyBorder="1" applyAlignment="1" applyProtection="1">
      <alignment horizontal="left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/>
    </xf>
    <xf numFmtId="4" fontId="12" fillId="0" borderId="8" xfId="0" applyNumberFormat="1" applyFont="1" applyFill="1" applyBorder="1" applyAlignment="1">
      <alignment horizontal="center" vertical="center" wrapText="1"/>
    </xf>
    <xf numFmtId="4" fontId="12" fillId="0" borderId="8" xfId="0" applyNumberFormat="1" applyFont="1" applyFill="1" applyBorder="1" applyAlignment="1">
      <alignment horizontal="center" vertical="center"/>
    </xf>
    <xf numFmtId="4" fontId="12" fillId="0" borderId="17" xfId="0" applyNumberFormat="1" applyFont="1" applyFill="1" applyBorder="1" applyAlignment="1">
      <alignment horizontal="center" vertical="center"/>
    </xf>
    <xf numFmtId="4" fontId="12" fillId="0" borderId="16" xfId="0" applyNumberFormat="1" applyFont="1" applyFill="1" applyBorder="1" applyAlignment="1">
      <alignment horizontal="center" vertical="center" wrapText="1"/>
    </xf>
    <xf numFmtId="4" fontId="12" fillId="0" borderId="18" xfId="0" applyNumberFormat="1" applyFont="1" applyFill="1" applyBorder="1" applyAlignment="1">
      <alignment horizontal="center" vertical="center"/>
    </xf>
    <xf numFmtId="4" fontId="22" fillId="0" borderId="8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/>
    </xf>
    <xf numFmtId="4" fontId="22" fillId="0" borderId="3" xfId="0" applyNumberFormat="1" applyFont="1" applyFill="1" applyBorder="1" applyAlignment="1">
      <alignment horizontal="center" vertical="center" wrapText="1"/>
    </xf>
    <xf numFmtId="4" fontId="12" fillId="0" borderId="14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 wrapText="1"/>
    </xf>
    <xf numFmtId="4" fontId="12" fillId="0" borderId="11" xfId="0" applyNumberFormat="1" applyFont="1" applyFill="1" applyBorder="1" applyAlignment="1">
      <alignment horizontal="center" vertical="center" wrapText="1"/>
    </xf>
    <xf numFmtId="4" fontId="12" fillId="0" borderId="11" xfId="0" applyNumberFormat="1" applyFont="1" applyFill="1" applyBorder="1" applyAlignment="1">
      <alignment horizontal="center" vertical="center"/>
    </xf>
    <xf numFmtId="4" fontId="12" fillId="0" borderId="19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4" fontId="12" fillId="0" borderId="15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/>
    </xf>
    <xf numFmtId="1" fontId="12" fillId="0" borderId="3" xfId="0" applyNumberFormat="1" applyFont="1" applyFill="1" applyBorder="1" applyAlignment="1">
      <alignment horizontal="left" vertical="center" wrapText="1"/>
    </xf>
    <xf numFmtId="2" fontId="12" fillId="0" borderId="3" xfId="0" applyNumberFormat="1" applyFont="1" applyFill="1" applyBorder="1" applyAlignment="1" applyProtection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" fontId="12" fillId="0" borderId="20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42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1" t="s">
        <v>128</v>
      </c>
      <c r="I1" s="40"/>
      <c r="J1" s="1"/>
      <c r="K1" s="1"/>
      <c r="L1" s="1"/>
      <c r="M1" s="1"/>
    </row>
    <row r="2" spans="1:13" ht="15.75" customHeight="1">
      <c r="A2" s="42" t="s">
        <v>85</v>
      </c>
      <c r="J2" s="2"/>
      <c r="K2" s="2"/>
      <c r="L2" s="2"/>
      <c r="M2" s="2"/>
    </row>
    <row r="3" spans="1:13" ht="15.75" customHeight="1">
      <c r="A3" s="226" t="s">
        <v>244</v>
      </c>
      <c r="B3" s="226"/>
      <c r="C3" s="226"/>
      <c r="D3" s="226"/>
      <c r="E3" s="226"/>
      <c r="F3" s="226"/>
      <c r="G3" s="226"/>
      <c r="H3" s="226"/>
      <c r="I3" s="226"/>
      <c r="J3" s="3"/>
      <c r="K3" s="3"/>
      <c r="L3" s="3"/>
    </row>
    <row r="4" spans="1:13" ht="31.5" customHeight="1">
      <c r="A4" s="227" t="s">
        <v>228</v>
      </c>
      <c r="B4" s="227"/>
      <c r="C4" s="227"/>
      <c r="D4" s="227"/>
      <c r="E4" s="227"/>
      <c r="F4" s="227"/>
      <c r="G4" s="227"/>
      <c r="H4" s="227"/>
      <c r="I4" s="227"/>
    </row>
    <row r="5" spans="1:13" ht="15.75" customHeight="1">
      <c r="A5" s="226" t="s">
        <v>104</v>
      </c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5.75" customHeight="1">
      <c r="A6" s="2"/>
      <c r="B6" s="199"/>
      <c r="C6" s="199"/>
      <c r="D6" s="199"/>
      <c r="E6" s="199"/>
      <c r="F6" s="199"/>
      <c r="G6" s="199"/>
      <c r="H6" s="199"/>
      <c r="I6" s="51">
        <v>42400</v>
      </c>
      <c r="J6" s="2"/>
      <c r="K6" s="2"/>
      <c r="L6" s="2"/>
      <c r="M6" s="2"/>
    </row>
    <row r="7" spans="1:13" ht="15.75" customHeight="1">
      <c r="B7" s="200"/>
      <c r="C7" s="200"/>
      <c r="D7" s="20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5" t="s">
        <v>239</v>
      </c>
      <c r="B8" s="205"/>
      <c r="C8" s="205"/>
      <c r="D8" s="205"/>
      <c r="E8" s="205"/>
      <c r="F8" s="205"/>
      <c r="G8" s="205"/>
      <c r="H8" s="205"/>
      <c r="I8" s="20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06" t="s">
        <v>238</v>
      </c>
      <c r="B10" s="206"/>
      <c r="C10" s="206"/>
      <c r="D10" s="206"/>
      <c r="E10" s="206"/>
      <c r="F10" s="206"/>
      <c r="G10" s="206"/>
      <c r="H10" s="206"/>
      <c r="I10" s="20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29" t="s">
        <v>79</v>
      </c>
      <c r="B14" s="229"/>
      <c r="C14" s="229"/>
      <c r="D14" s="229"/>
      <c r="E14" s="229"/>
      <c r="F14" s="229"/>
      <c r="G14" s="229"/>
      <c r="H14" s="229"/>
      <c r="I14" s="229"/>
      <c r="J14" s="8"/>
      <c r="K14" s="8"/>
      <c r="L14" s="8"/>
      <c r="M14" s="8"/>
    </row>
    <row r="15" spans="1:13" ht="15.75" customHeight="1">
      <c r="A15" s="230" t="s">
        <v>4</v>
      </c>
      <c r="B15" s="230"/>
      <c r="C15" s="230"/>
      <c r="D15" s="230"/>
      <c r="E15" s="230"/>
      <c r="F15" s="230"/>
      <c r="G15" s="230"/>
      <c r="H15" s="230"/>
      <c r="I15" s="230"/>
      <c r="J15" s="8"/>
      <c r="K15" s="8"/>
      <c r="L15" s="8"/>
      <c r="M15" s="8"/>
    </row>
    <row r="16" spans="1:13" ht="15.75" customHeight="1">
      <c r="A16" s="46">
        <v>1</v>
      </c>
      <c r="B16" s="247" t="s">
        <v>130</v>
      </c>
      <c r="C16" s="248" t="s">
        <v>194</v>
      </c>
      <c r="D16" s="247" t="s">
        <v>195</v>
      </c>
      <c r="E16" s="249">
        <v>176.24</v>
      </c>
      <c r="F16" s="250">
        <f>SUM(E16*156/100)</f>
        <v>274.93440000000004</v>
      </c>
      <c r="G16" s="250">
        <v>187.48</v>
      </c>
      <c r="H16" s="251">
        <f t="shared" ref="H16:H26" si="0">SUM(F16*G16/1000)</f>
        <v>51.544701312000008</v>
      </c>
      <c r="I16" s="16">
        <f>F16/12*G16</f>
        <v>4295.3917760000004</v>
      </c>
      <c r="J16" s="8"/>
      <c r="K16" s="8"/>
      <c r="L16" s="8"/>
      <c r="M16" s="8"/>
    </row>
    <row r="17" spans="1:13" ht="15.75" customHeight="1">
      <c r="A17" s="46">
        <v>2</v>
      </c>
      <c r="B17" s="247" t="s">
        <v>151</v>
      </c>
      <c r="C17" s="248" t="s">
        <v>194</v>
      </c>
      <c r="D17" s="247" t="s">
        <v>196</v>
      </c>
      <c r="E17" s="249">
        <v>704.96</v>
      </c>
      <c r="F17" s="250">
        <f>SUM(E17*104/100)</f>
        <v>733.15839999999992</v>
      </c>
      <c r="G17" s="250">
        <v>187.48</v>
      </c>
      <c r="H17" s="251">
        <v>137.453</v>
      </c>
      <c r="I17" s="16">
        <f>F17/12*G17</f>
        <v>11454.378069333332</v>
      </c>
      <c r="J17" s="31"/>
      <c r="K17" s="8"/>
      <c r="L17" s="8"/>
      <c r="M17" s="8"/>
    </row>
    <row r="18" spans="1:13" ht="15.75" customHeight="1">
      <c r="A18" s="46">
        <v>3</v>
      </c>
      <c r="B18" s="247" t="s">
        <v>152</v>
      </c>
      <c r="C18" s="248" t="s">
        <v>194</v>
      </c>
      <c r="D18" s="247" t="s">
        <v>197</v>
      </c>
      <c r="E18" s="249">
        <f>SUM(E16+E17)</f>
        <v>881.2</v>
      </c>
      <c r="F18" s="250">
        <f>SUM(E18*24/100)</f>
        <v>211.48800000000003</v>
      </c>
      <c r="G18" s="250">
        <v>539.30999999999995</v>
      </c>
      <c r="H18" s="251">
        <f t="shared" si="0"/>
        <v>114.05759328000001</v>
      </c>
      <c r="I18" s="16">
        <f>F18/12*G18</f>
        <v>9504.7994400000007</v>
      </c>
      <c r="J18" s="31"/>
      <c r="K18" s="8"/>
      <c r="L18" s="8"/>
      <c r="M18" s="8"/>
    </row>
    <row r="19" spans="1:13" ht="15.75" hidden="1" customHeight="1">
      <c r="A19" s="46">
        <v>4</v>
      </c>
      <c r="B19" s="247" t="s">
        <v>198</v>
      </c>
      <c r="C19" s="248" t="s">
        <v>199</v>
      </c>
      <c r="D19" s="247" t="s">
        <v>200</v>
      </c>
      <c r="E19" s="249">
        <v>28.8</v>
      </c>
      <c r="F19" s="250">
        <f>SUM(E19/10)</f>
        <v>2.88</v>
      </c>
      <c r="G19" s="250">
        <v>181.91</v>
      </c>
      <c r="H19" s="251">
        <f t="shared" si="0"/>
        <v>0.52390080000000006</v>
      </c>
      <c r="I19" s="16">
        <v>0</v>
      </c>
      <c r="J19" s="31"/>
      <c r="K19" s="8"/>
      <c r="L19" s="8"/>
      <c r="M19" s="8"/>
    </row>
    <row r="20" spans="1:13" ht="15.75" customHeight="1">
      <c r="A20" s="46">
        <v>4</v>
      </c>
      <c r="B20" s="247" t="s">
        <v>164</v>
      </c>
      <c r="C20" s="248" t="s">
        <v>194</v>
      </c>
      <c r="D20" s="247" t="s">
        <v>36</v>
      </c>
      <c r="E20" s="249">
        <v>17.5</v>
      </c>
      <c r="F20" s="250">
        <f>SUM(E20*12/100)</f>
        <v>2.1</v>
      </c>
      <c r="G20" s="250">
        <v>232.92</v>
      </c>
      <c r="H20" s="251">
        <f t="shared" si="0"/>
        <v>0.48913200000000001</v>
      </c>
      <c r="I20" s="16">
        <f>F20/12*G20</f>
        <v>40.761000000000003</v>
      </c>
      <c r="J20" s="31"/>
      <c r="K20" s="8"/>
      <c r="L20" s="8"/>
      <c r="M20" s="8"/>
    </row>
    <row r="21" spans="1:13" ht="15.75" customHeight="1">
      <c r="A21" s="46">
        <v>5</v>
      </c>
      <c r="B21" s="247" t="s">
        <v>165</v>
      </c>
      <c r="C21" s="248" t="s">
        <v>194</v>
      </c>
      <c r="D21" s="247" t="s">
        <v>188</v>
      </c>
      <c r="E21" s="249">
        <v>5.94</v>
      </c>
      <c r="F21" s="250">
        <f>SUM(E21*6/100)</f>
        <v>0.35639999999999999</v>
      </c>
      <c r="G21" s="250">
        <v>231.03</v>
      </c>
      <c r="H21" s="251">
        <f t="shared" si="0"/>
        <v>8.2339091999999989E-2</v>
      </c>
      <c r="I21" s="16">
        <f>F21/6*G21</f>
        <v>13.723182</v>
      </c>
      <c r="J21" s="31"/>
      <c r="K21" s="8"/>
      <c r="L21" s="8"/>
      <c r="M21" s="8"/>
    </row>
    <row r="22" spans="1:13" ht="15.75" hidden="1" customHeight="1">
      <c r="A22" s="46">
        <v>7</v>
      </c>
      <c r="B22" s="247" t="s">
        <v>201</v>
      </c>
      <c r="C22" s="248" t="s">
        <v>68</v>
      </c>
      <c r="D22" s="247" t="s">
        <v>200</v>
      </c>
      <c r="E22" s="249">
        <v>376</v>
      </c>
      <c r="F22" s="250">
        <f>SUM(E22/100)</f>
        <v>3.76</v>
      </c>
      <c r="G22" s="250">
        <v>287.83999999999997</v>
      </c>
      <c r="H22" s="251">
        <f t="shared" si="0"/>
        <v>1.0822783999999999</v>
      </c>
      <c r="I22" s="16">
        <v>0</v>
      </c>
      <c r="J22" s="31"/>
      <c r="K22" s="8"/>
      <c r="L22" s="8"/>
      <c r="M22" s="8"/>
    </row>
    <row r="23" spans="1:13" ht="15.75" hidden="1" customHeight="1">
      <c r="A23" s="46">
        <v>8</v>
      </c>
      <c r="B23" s="247" t="s">
        <v>202</v>
      </c>
      <c r="C23" s="248" t="s">
        <v>68</v>
      </c>
      <c r="D23" s="247" t="s">
        <v>200</v>
      </c>
      <c r="E23" s="252">
        <v>60.4</v>
      </c>
      <c r="F23" s="250">
        <f>SUM(E23/100)</f>
        <v>0.60399999999999998</v>
      </c>
      <c r="G23" s="250">
        <v>47.34</v>
      </c>
      <c r="H23" s="251">
        <f t="shared" si="0"/>
        <v>2.8593360000000002E-2</v>
      </c>
      <c r="I23" s="16">
        <v>0</v>
      </c>
      <c r="J23" s="31"/>
      <c r="K23" s="8"/>
      <c r="L23" s="8"/>
      <c r="M23" s="8"/>
    </row>
    <row r="24" spans="1:13" ht="15.75" hidden="1" customHeight="1">
      <c r="A24" s="46">
        <v>9</v>
      </c>
      <c r="B24" s="247" t="s">
        <v>176</v>
      </c>
      <c r="C24" s="248" t="s">
        <v>68</v>
      </c>
      <c r="D24" s="247" t="s">
        <v>69</v>
      </c>
      <c r="E24" s="23">
        <v>25</v>
      </c>
      <c r="F24" s="253">
        <f>E24/100</f>
        <v>0.25</v>
      </c>
      <c r="G24" s="250">
        <v>416.62</v>
      </c>
      <c r="H24" s="251">
        <f>F24*G24/1000</f>
        <v>0.104155</v>
      </c>
      <c r="I24" s="16">
        <v>0</v>
      </c>
      <c r="J24" s="31"/>
      <c r="K24" s="8"/>
      <c r="L24" s="8"/>
      <c r="M24" s="8"/>
    </row>
    <row r="25" spans="1:13" ht="15.75" hidden="1" customHeight="1">
      <c r="A25" s="46">
        <v>10</v>
      </c>
      <c r="B25" s="247" t="s">
        <v>203</v>
      </c>
      <c r="C25" s="248" t="s">
        <v>68</v>
      </c>
      <c r="D25" s="247" t="s">
        <v>200</v>
      </c>
      <c r="E25" s="252">
        <v>23.75</v>
      </c>
      <c r="F25" s="250">
        <f>E25/100</f>
        <v>0.23749999999999999</v>
      </c>
      <c r="G25" s="250">
        <v>231.03</v>
      </c>
      <c r="H25" s="251">
        <f>F25*G25/1000</f>
        <v>5.4869624999999998E-2</v>
      </c>
      <c r="I25" s="16">
        <v>0</v>
      </c>
      <c r="J25" s="31"/>
      <c r="K25" s="8"/>
      <c r="L25" s="8"/>
      <c r="M25" s="8"/>
    </row>
    <row r="26" spans="1:13" ht="15.75" hidden="1" customHeight="1">
      <c r="A26" s="46">
        <v>11</v>
      </c>
      <c r="B26" s="247" t="s">
        <v>177</v>
      </c>
      <c r="C26" s="248" t="s">
        <v>68</v>
      </c>
      <c r="D26" s="247" t="s">
        <v>200</v>
      </c>
      <c r="E26" s="249">
        <v>10.63</v>
      </c>
      <c r="F26" s="250">
        <f>SUM(E26/100)</f>
        <v>0.10630000000000001</v>
      </c>
      <c r="G26" s="250">
        <v>556.74</v>
      </c>
      <c r="H26" s="251">
        <f t="shared" si="0"/>
        <v>5.9181462000000004E-2</v>
      </c>
      <c r="I26" s="16">
        <v>0</v>
      </c>
      <c r="J26" s="31"/>
      <c r="K26" s="8"/>
      <c r="L26" s="8"/>
      <c r="M26" s="8"/>
    </row>
    <row r="27" spans="1:13" ht="15.75" customHeight="1">
      <c r="A27" s="46">
        <v>6</v>
      </c>
      <c r="B27" s="247" t="s">
        <v>87</v>
      </c>
      <c r="C27" s="248" t="s">
        <v>40</v>
      </c>
      <c r="D27" s="247" t="s">
        <v>247</v>
      </c>
      <c r="E27" s="249">
        <v>0.1</v>
      </c>
      <c r="F27" s="250">
        <f>SUM(E27*365)</f>
        <v>36.5</v>
      </c>
      <c r="G27" s="250">
        <v>157.18</v>
      </c>
      <c r="H27" s="251">
        <f>SUM(F27*G27/1000)</f>
        <v>5.737070000000001</v>
      </c>
      <c r="I27" s="16">
        <f>F27/12*G27</f>
        <v>478.08916666666664</v>
      </c>
      <c r="J27" s="32"/>
    </row>
    <row r="28" spans="1:13" ht="15.75" customHeight="1">
      <c r="A28" s="46">
        <v>7</v>
      </c>
      <c r="B28" s="255" t="s">
        <v>26</v>
      </c>
      <c r="C28" s="248" t="s">
        <v>27</v>
      </c>
      <c r="D28" s="255" t="s">
        <v>247</v>
      </c>
      <c r="E28" s="249">
        <v>5816.5</v>
      </c>
      <c r="F28" s="250">
        <f>SUM(E28*12)</f>
        <v>69798</v>
      </c>
      <c r="G28" s="250">
        <v>4.72</v>
      </c>
      <c r="H28" s="251">
        <f>SUM(F28*G28/1000)</f>
        <v>329.44655999999998</v>
      </c>
      <c r="I28" s="16">
        <f>F28/12*G28</f>
        <v>27453.879999999997</v>
      </c>
      <c r="J28" s="32"/>
    </row>
    <row r="29" spans="1:13" ht="15.75" customHeight="1">
      <c r="A29" s="230" t="s">
        <v>122</v>
      </c>
      <c r="B29" s="230"/>
      <c r="C29" s="230"/>
      <c r="D29" s="230"/>
      <c r="E29" s="230"/>
      <c r="F29" s="230"/>
      <c r="G29" s="230"/>
      <c r="H29" s="230"/>
      <c r="I29" s="230"/>
      <c r="J29" s="31"/>
      <c r="K29" s="8"/>
      <c r="L29" s="8"/>
      <c r="M29" s="8"/>
    </row>
    <row r="30" spans="1:13" ht="15.75" hidden="1" customHeight="1">
      <c r="A30" s="46"/>
      <c r="B30" s="268" t="s">
        <v>34</v>
      </c>
      <c r="C30" s="248"/>
      <c r="D30" s="247"/>
      <c r="E30" s="249"/>
      <c r="F30" s="250"/>
      <c r="G30" s="250"/>
      <c r="H30" s="251"/>
      <c r="I30" s="16"/>
      <c r="J30" s="31"/>
      <c r="K30" s="8"/>
      <c r="L30" s="8"/>
      <c r="M30" s="8"/>
    </row>
    <row r="31" spans="1:13" ht="15.75" hidden="1" customHeight="1">
      <c r="A31" s="46">
        <v>7</v>
      </c>
      <c r="B31" s="247" t="s">
        <v>204</v>
      </c>
      <c r="C31" s="248" t="s">
        <v>205</v>
      </c>
      <c r="D31" s="247" t="s">
        <v>206</v>
      </c>
      <c r="E31" s="250">
        <v>357.22</v>
      </c>
      <c r="F31" s="250">
        <f>SUM(E31*52/1000)</f>
        <v>18.575440000000004</v>
      </c>
      <c r="G31" s="250">
        <v>166.65</v>
      </c>
      <c r="H31" s="251">
        <f t="shared" ref="H31:H38" si="1">SUM(F31*G31/1000)</f>
        <v>3.0955970760000011</v>
      </c>
      <c r="I31" s="16">
        <f>F31/6*G31</f>
        <v>515.93284600000015</v>
      </c>
      <c r="J31" s="31"/>
      <c r="K31" s="8"/>
      <c r="L31" s="8"/>
      <c r="M31" s="8"/>
    </row>
    <row r="32" spans="1:13" ht="31.5" hidden="1" customHeight="1">
      <c r="A32" s="46">
        <v>8</v>
      </c>
      <c r="B32" s="247" t="s">
        <v>281</v>
      </c>
      <c r="C32" s="248" t="s">
        <v>205</v>
      </c>
      <c r="D32" s="247" t="s">
        <v>208</v>
      </c>
      <c r="E32" s="250">
        <v>475.06</v>
      </c>
      <c r="F32" s="250">
        <f>SUM(E32*78/1000)</f>
        <v>37.054679999999998</v>
      </c>
      <c r="G32" s="250">
        <v>276.48</v>
      </c>
      <c r="H32" s="251">
        <f t="shared" si="1"/>
        <v>10.244877926400001</v>
      </c>
      <c r="I32" s="16">
        <f t="shared" ref="I32:I35" si="2">F32/6*G32</f>
        <v>1707.4796544000001</v>
      </c>
      <c r="J32" s="31"/>
      <c r="K32" s="8"/>
      <c r="L32" s="8"/>
      <c r="M32" s="8"/>
    </row>
    <row r="33" spans="1:14" ht="15.75" hidden="1" customHeight="1">
      <c r="A33" s="46">
        <v>16</v>
      </c>
      <c r="B33" s="247" t="s">
        <v>33</v>
      </c>
      <c r="C33" s="248" t="s">
        <v>205</v>
      </c>
      <c r="D33" s="247" t="s">
        <v>69</v>
      </c>
      <c r="E33" s="250">
        <v>357.22</v>
      </c>
      <c r="F33" s="250">
        <f>SUM(E33/1000)</f>
        <v>0.35722000000000004</v>
      </c>
      <c r="G33" s="250">
        <v>3228.73</v>
      </c>
      <c r="H33" s="251">
        <f t="shared" si="1"/>
        <v>1.1533669306000001</v>
      </c>
      <c r="I33" s="16">
        <f>F33*G33</f>
        <v>1153.3669306000002</v>
      </c>
      <c r="J33" s="31"/>
      <c r="K33" s="8"/>
      <c r="L33" s="8"/>
      <c r="M33" s="8"/>
    </row>
    <row r="34" spans="1:14" ht="15.75" hidden="1" customHeight="1">
      <c r="A34" s="46">
        <v>9</v>
      </c>
      <c r="B34" s="247" t="s">
        <v>245</v>
      </c>
      <c r="C34" s="248" t="s">
        <v>51</v>
      </c>
      <c r="D34" s="247" t="s">
        <v>246</v>
      </c>
      <c r="E34" s="250">
        <v>5</v>
      </c>
      <c r="F34" s="250">
        <f>E34*155/100</f>
        <v>7.75</v>
      </c>
      <c r="G34" s="250">
        <v>1391.86</v>
      </c>
      <c r="H34" s="251">
        <f>G34*F34/1000</f>
        <v>10.786914999999999</v>
      </c>
      <c r="I34" s="16">
        <f t="shared" si="2"/>
        <v>1797.8191666666667</v>
      </c>
      <c r="J34" s="31"/>
      <c r="K34" s="8"/>
      <c r="L34" s="8"/>
      <c r="M34" s="8"/>
    </row>
    <row r="35" spans="1:14" ht="15.75" hidden="1" customHeight="1">
      <c r="A35" s="46">
        <v>10</v>
      </c>
      <c r="B35" s="247" t="s">
        <v>210</v>
      </c>
      <c r="C35" s="248" t="s">
        <v>37</v>
      </c>
      <c r="D35" s="247" t="s">
        <v>86</v>
      </c>
      <c r="E35" s="254">
        <v>0.33333333333333331</v>
      </c>
      <c r="F35" s="250">
        <f>155/3</f>
        <v>51.666666666666664</v>
      </c>
      <c r="G35" s="250">
        <v>60.6</v>
      </c>
      <c r="H35" s="251">
        <f>SUM(G35*155/3/1000)</f>
        <v>3.1309999999999998</v>
      </c>
      <c r="I35" s="16">
        <f t="shared" si="2"/>
        <v>521.83333333333337</v>
      </c>
      <c r="J35" s="31"/>
      <c r="K35" s="8"/>
    </row>
    <row r="36" spans="1:14" ht="15.75" hidden="1" customHeight="1">
      <c r="A36" s="46"/>
      <c r="B36" s="247" t="s">
        <v>88</v>
      </c>
      <c r="C36" s="248" t="s">
        <v>40</v>
      </c>
      <c r="D36" s="247" t="s">
        <v>90</v>
      </c>
      <c r="E36" s="249"/>
      <c r="F36" s="250">
        <v>3</v>
      </c>
      <c r="G36" s="250">
        <v>204.52</v>
      </c>
      <c r="H36" s="251">
        <f t="shared" si="1"/>
        <v>0.61356000000000011</v>
      </c>
      <c r="I36" s="16">
        <v>0</v>
      </c>
      <c r="J36" s="32"/>
    </row>
    <row r="37" spans="1:14" ht="15.75" hidden="1" customHeight="1">
      <c r="A37" s="46"/>
      <c r="B37" s="247" t="s">
        <v>89</v>
      </c>
      <c r="C37" s="248" t="s">
        <v>39</v>
      </c>
      <c r="D37" s="247" t="s">
        <v>90</v>
      </c>
      <c r="E37" s="249"/>
      <c r="F37" s="250">
        <v>2</v>
      </c>
      <c r="G37" s="250">
        <v>1214.74</v>
      </c>
      <c r="H37" s="251">
        <f t="shared" si="1"/>
        <v>2.4294799999999999</v>
      </c>
      <c r="I37" s="16">
        <v>0</v>
      </c>
      <c r="J37" s="32"/>
    </row>
    <row r="38" spans="1:14" ht="15.75" hidden="1" customHeight="1">
      <c r="A38" s="46"/>
      <c r="B38" s="138" t="s">
        <v>248</v>
      </c>
      <c r="C38" s="243" t="s">
        <v>35</v>
      </c>
      <c r="D38" s="247"/>
      <c r="E38" s="249">
        <v>360.36</v>
      </c>
      <c r="F38" s="250">
        <f>E38*36/1000</f>
        <v>12.97296</v>
      </c>
      <c r="G38" s="250">
        <v>3228.73</v>
      </c>
      <c r="H38" s="251">
        <f t="shared" si="1"/>
        <v>41.886185140800002</v>
      </c>
      <c r="I38" s="16">
        <v>0</v>
      </c>
      <c r="J38" s="32"/>
    </row>
    <row r="39" spans="1:14" ht="15.75" customHeight="1">
      <c r="A39" s="46"/>
      <c r="B39" s="268" t="s">
        <v>5</v>
      </c>
      <c r="C39" s="248"/>
      <c r="D39" s="247"/>
      <c r="E39" s="249"/>
      <c r="F39" s="250"/>
      <c r="G39" s="250"/>
      <c r="H39" s="251" t="s">
        <v>225</v>
      </c>
      <c r="I39" s="16"/>
      <c r="J39" s="32"/>
    </row>
    <row r="40" spans="1:14" ht="15.75" customHeight="1">
      <c r="A40" s="46">
        <v>8</v>
      </c>
      <c r="B40" s="247" t="s">
        <v>31</v>
      </c>
      <c r="C40" s="248" t="s">
        <v>39</v>
      </c>
      <c r="D40" s="247"/>
      <c r="E40" s="249"/>
      <c r="F40" s="250">
        <v>10</v>
      </c>
      <c r="G40" s="250">
        <v>1632.6</v>
      </c>
      <c r="H40" s="251">
        <f t="shared" ref="H40:H46" si="3">SUM(F40*G40/1000)</f>
        <v>16.326000000000001</v>
      </c>
      <c r="I40" s="16">
        <f>F40/6*G40</f>
        <v>2721</v>
      </c>
      <c r="J40" s="32"/>
      <c r="L40" s="25"/>
      <c r="M40" s="26"/>
      <c r="N40" s="27"/>
    </row>
    <row r="41" spans="1:14" ht="15.75" customHeight="1">
      <c r="A41" s="46">
        <v>9</v>
      </c>
      <c r="B41" s="247" t="s">
        <v>91</v>
      </c>
      <c r="C41" s="248" t="s">
        <v>35</v>
      </c>
      <c r="D41" s="247" t="s">
        <v>211</v>
      </c>
      <c r="E41" s="250">
        <v>469.73</v>
      </c>
      <c r="F41" s="250">
        <f>SUM(E41*30/1000)</f>
        <v>14.091900000000001</v>
      </c>
      <c r="G41" s="250">
        <v>2247.8000000000002</v>
      </c>
      <c r="H41" s="251">
        <f t="shared" si="3"/>
        <v>31.675772820000006</v>
      </c>
      <c r="I41" s="16">
        <f>F41/6*G41</f>
        <v>5279.2954700000009</v>
      </c>
      <c r="J41" s="32"/>
      <c r="L41" s="25"/>
      <c r="M41" s="26"/>
      <c r="N41" s="27"/>
    </row>
    <row r="42" spans="1:14" ht="15.75" hidden="1" customHeight="1">
      <c r="A42" s="46"/>
      <c r="B42" s="247" t="s">
        <v>156</v>
      </c>
      <c r="C42" s="248" t="s">
        <v>229</v>
      </c>
      <c r="D42" s="247" t="s">
        <v>90</v>
      </c>
      <c r="E42" s="249"/>
      <c r="F42" s="250">
        <v>120</v>
      </c>
      <c r="G42" s="250">
        <v>213.2</v>
      </c>
      <c r="H42" s="251">
        <f t="shared" si="3"/>
        <v>25.584</v>
      </c>
      <c r="I42" s="16">
        <v>0</v>
      </c>
      <c r="J42" s="32"/>
      <c r="L42" s="25"/>
      <c r="M42" s="26"/>
      <c r="N42" s="27"/>
    </row>
    <row r="43" spans="1:14" ht="15.75" customHeight="1">
      <c r="A43" s="46">
        <v>10</v>
      </c>
      <c r="B43" s="247" t="s">
        <v>92</v>
      </c>
      <c r="C43" s="248" t="s">
        <v>35</v>
      </c>
      <c r="D43" s="247" t="s">
        <v>212</v>
      </c>
      <c r="E43" s="250">
        <v>475.06</v>
      </c>
      <c r="F43" s="250">
        <f>SUM(E43*155/1000)</f>
        <v>73.634299999999996</v>
      </c>
      <c r="G43" s="250">
        <v>374.95</v>
      </c>
      <c r="H43" s="251">
        <f t="shared" si="3"/>
        <v>27.609180784999996</v>
      </c>
      <c r="I43" s="16">
        <f>F43/6*G43</f>
        <v>4601.5301308333328</v>
      </c>
      <c r="J43" s="32"/>
      <c r="L43" s="25"/>
      <c r="M43" s="26"/>
      <c r="N43" s="27"/>
    </row>
    <row r="44" spans="1:14" ht="47.25" customHeight="1">
      <c r="A44" s="46">
        <v>11</v>
      </c>
      <c r="B44" s="247" t="s">
        <v>118</v>
      </c>
      <c r="C44" s="248" t="s">
        <v>205</v>
      </c>
      <c r="D44" s="247" t="s">
        <v>230</v>
      </c>
      <c r="E44" s="250">
        <v>40.6</v>
      </c>
      <c r="F44" s="250">
        <f>SUM(E44*35/1000)</f>
        <v>1.421</v>
      </c>
      <c r="G44" s="250">
        <v>6203.7</v>
      </c>
      <c r="H44" s="251">
        <f t="shared" si="3"/>
        <v>8.8154577000000014</v>
      </c>
      <c r="I44" s="16">
        <f>F44/6*G44</f>
        <v>1469.2429500000001</v>
      </c>
      <c r="J44" s="32"/>
      <c r="L44" s="25"/>
      <c r="M44" s="26"/>
      <c r="N44" s="27"/>
    </row>
    <row r="45" spans="1:14" ht="15.75" customHeight="1">
      <c r="A45" s="46">
        <v>12</v>
      </c>
      <c r="B45" s="247" t="s">
        <v>213</v>
      </c>
      <c r="C45" s="248" t="s">
        <v>205</v>
      </c>
      <c r="D45" s="247" t="s">
        <v>93</v>
      </c>
      <c r="E45" s="250">
        <v>167.03</v>
      </c>
      <c r="F45" s="250">
        <f>SUM(E45*45/1000)</f>
        <v>7.5163500000000001</v>
      </c>
      <c r="G45" s="250">
        <v>458.28</v>
      </c>
      <c r="H45" s="251">
        <f t="shared" si="3"/>
        <v>3.4445928779999999</v>
      </c>
      <c r="I45" s="16">
        <f>F45/6*G45</f>
        <v>574.09881299999995</v>
      </c>
      <c r="J45" s="32"/>
      <c r="L45" s="25"/>
      <c r="M45" s="26"/>
      <c r="N45" s="27"/>
    </row>
    <row r="46" spans="1:14" ht="15.75" customHeight="1">
      <c r="A46" s="46">
        <v>13</v>
      </c>
      <c r="B46" s="247" t="s">
        <v>94</v>
      </c>
      <c r="C46" s="248" t="s">
        <v>40</v>
      </c>
      <c r="D46" s="247"/>
      <c r="E46" s="249"/>
      <c r="F46" s="250">
        <v>1.2</v>
      </c>
      <c r="G46" s="250">
        <v>853.06</v>
      </c>
      <c r="H46" s="251">
        <f t="shared" si="3"/>
        <v>1.0236719999999999</v>
      </c>
      <c r="I46" s="16">
        <f>F46/6*G46</f>
        <v>170.61199999999997</v>
      </c>
      <c r="J46" s="32"/>
      <c r="L46" s="25"/>
      <c r="M46" s="26"/>
      <c r="N46" s="27"/>
    </row>
    <row r="47" spans="1:14" ht="15.75" customHeight="1">
      <c r="A47" s="231" t="s">
        <v>240</v>
      </c>
      <c r="B47" s="232"/>
      <c r="C47" s="232"/>
      <c r="D47" s="232"/>
      <c r="E47" s="232"/>
      <c r="F47" s="232"/>
      <c r="G47" s="232"/>
      <c r="H47" s="232"/>
      <c r="I47" s="233"/>
      <c r="J47" s="32"/>
      <c r="L47" s="25"/>
      <c r="M47" s="26"/>
      <c r="N47" s="27"/>
    </row>
    <row r="48" spans="1:14" ht="15.75" hidden="1" customHeight="1">
      <c r="A48" s="46"/>
      <c r="B48" s="247" t="s">
        <v>214</v>
      </c>
      <c r="C48" s="248" t="s">
        <v>205</v>
      </c>
      <c r="D48" s="247" t="s">
        <v>55</v>
      </c>
      <c r="E48" s="249">
        <v>1603.6</v>
      </c>
      <c r="F48" s="250">
        <f>SUM(E48*2/1000)</f>
        <v>3.2071999999999998</v>
      </c>
      <c r="G48" s="16">
        <v>908.11</v>
      </c>
      <c r="H48" s="251">
        <f t="shared" ref="H48:H56" si="4">SUM(F48*G48/1000)</f>
        <v>2.9124903919999996</v>
      </c>
      <c r="I48" s="16">
        <v>0</v>
      </c>
      <c r="J48" s="32"/>
      <c r="L48" s="25"/>
      <c r="M48" s="26"/>
      <c r="N48" s="27"/>
    </row>
    <row r="49" spans="1:22" ht="15.75" hidden="1" customHeight="1">
      <c r="A49" s="46"/>
      <c r="B49" s="247" t="s">
        <v>44</v>
      </c>
      <c r="C49" s="248" t="s">
        <v>205</v>
      </c>
      <c r="D49" s="247" t="s">
        <v>55</v>
      </c>
      <c r="E49" s="249">
        <v>65</v>
      </c>
      <c r="F49" s="250">
        <f>SUM(E49*2/1000)</f>
        <v>0.13</v>
      </c>
      <c r="G49" s="16">
        <v>619.46</v>
      </c>
      <c r="H49" s="251">
        <f t="shared" si="4"/>
        <v>8.0529800000000012E-2</v>
      </c>
      <c r="I49" s="16">
        <v>0</v>
      </c>
      <c r="J49" s="32"/>
      <c r="L49" s="25"/>
      <c r="M49" s="26"/>
      <c r="N49" s="27"/>
    </row>
    <row r="50" spans="1:22" ht="15.75" hidden="1" customHeight="1">
      <c r="A50" s="46"/>
      <c r="B50" s="247" t="s">
        <v>45</v>
      </c>
      <c r="C50" s="248" t="s">
        <v>205</v>
      </c>
      <c r="D50" s="247" t="s">
        <v>55</v>
      </c>
      <c r="E50" s="249">
        <v>1825.8</v>
      </c>
      <c r="F50" s="250">
        <f>SUM(E50*2/1000)</f>
        <v>3.6515999999999997</v>
      </c>
      <c r="G50" s="16">
        <v>619.46</v>
      </c>
      <c r="H50" s="251">
        <f t="shared" si="4"/>
        <v>2.2620201360000003</v>
      </c>
      <c r="I50" s="16">
        <v>0</v>
      </c>
      <c r="J50" s="32"/>
      <c r="L50" s="25"/>
      <c r="M50" s="26"/>
      <c r="N50" s="27"/>
    </row>
    <row r="51" spans="1:22" ht="15.75" hidden="1" customHeight="1">
      <c r="A51" s="46"/>
      <c r="B51" s="247" t="s">
        <v>46</v>
      </c>
      <c r="C51" s="248" t="s">
        <v>205</v>
      </c>
      <c r="D51" s="247" t="s">
        <v>55</v>
      </c>
      <c r="E51" s="249">
        <v>3163.96</v>
      </c>
      <c r="F51" s="250">
        <f>SUM(E51*2/1000)</f>
        <v>6.3279199999999998</v>
      </c>
      <c r="G51" s="16">
        <v>648.64</v>
      </c>
      <c r="H51" s="251">
        <f t="shared" si="4"/>
        <v>4.1045420287999992</v>
      </c>
      <c r="I51" s="16">
        <v>0</v>
      </c>
      <c r="J51" s="32"/>
      <c r="L51" s="25"/>
      <c r="M51" s="26"/>
      <c r="N51" s="27"/>
    </row>
    <row r="52" spans="1:22" ht="15.75" customHeight="1">
      <c r="A52" s="46">
        <v>14</v>
      </c>
      <c r="B52" s="247" t="s">
        <v>76</v>
      </c>
      <c r="C52" s="248" t="s">
        <v>205</v>
      </c>
      <c r="D52" s="247" t="s">
        <v>282</v>
      </c>
      <c r="E52" s="249">
        <v>1583</v>
      </c>
      <c r="F52" s="250">
        <f>SUM(E52*5/1000)</f>
        <v>7.915</v>
      </c>
      <c r="G52" s="16">
        <v>1297.28</v>
      </c>
      <c r="H52" s="251">
        <f t="shared" si="4"/>
        <v>10.2679712</v>
      </c>
      <c r="I52" s="16">
        <f>F52/5*G52</f>
        <v>2053.5942399999999</v>
      </c>
      <c r="J52" s="32"/>
      <c r="L52" s="25"/>
      <c r="M52" s="26"/>
      <c r="N52" s="27"/>
    </row>
    <row r="53" spans="1:22" ht="31.5" hidden="1" customHeight="1">
      <c r="A53" s="46"/>
      <c r="B53" s="247" t="s">
        <v>216</v>
      </c>
      <c r="C53" s="248" t="s">
        <v>205</v>
      </c>
      <c r="D53" s="247" t="s">
        <v>55</v>
      </c>
      <c r="E53" s="249">
        <v>1583</v>
      </c>
      <c r="F53" s="250">
        <f>SUM(E53*2/1000)</f>
        <v>3.1659999999999999</v>
      </c>
      <c r="G53" s="16">
        <v>1297.28</v>
      </c>
      <c r="H53" s="251">
        <f t="shared" si="4"/>
        <v>4.1071884799999996</v>
      </c>
      <c r="I53" s="16">
        <v>0</v>
      </c>
      <c r="J53" s="32"/>
      <c r="L53" s="25"/>
      <c r="M53" s="26"/>
      <c r="N53" s="27"/>
    </row>
    <row r="54" spans="1:22" ht="31.5" hidden="1" customHeight="1">
      <c r="A54" s="46"/>
      <c r="B54" s="247" t="s">
        <v>217</v>
      </c>
      <c r="C54" s="248" t="s">
        <v>49</v>
      </c>
      <c r="D54" s="247" t="s">
        <v>55</v>
      </c>
      <c r="E54" s="249">
        <v>25</v>
      </c>
      <c r="F54" s="250">
        <f>SUM(E54*2/100)</f>
        <v>0.5</v>
      </c>
      <c r="G54" s="16">
        <v>2918.89</v>
      </c>
      <c r="H54" s="251">
        <f t="shared" si="4"/>
        <v>1.4594449999999999</v>
      </c>
      <c r="I54" s="16">
        <v>0</v>
      </c>
      <c r="J54" s="32"/>
      <c r="L54" s="25"/>
      <c r="M54" s="26"/>
      <c r="N54" s="27"/>
    </row>
    <row r="55" spans="1:22" ht="15.75" hidden="1" customHeight="1">
      <c r="A55" s="46"/>
      <c r="B55" s="247" t="s">
        <v>50</v>
      </c>
      <c r="C55" s="248" t="s">
        <v>51</v>
      </c>
      <c r="D55" s="247" t="s">
        <v>55</v>
      </c>
      <c r="E55" s="249">
        <v>1</v>
      </c>
      <c r="F55" s="250">
        <v>0.02</v>
      </c>
      <c r="G55" s="16">
        <v>6042.12</v>
      </c>
      <c r="H55" s="251">
        <f t="shared" si="4"/>
        <v>0.1208424</v>
      </c>
      <c r="I55" s="16">
        <v>0</v>
      </c>
      <c r="J55" s="32"/>
      <c r="L55" s="25"/>
      <c r="M55" s="26"/>
      <c r="N55" s="27"/>
    </row>
    <row r="56" spans="1:22" ht="15.75" customHeight="1">
      <c r="A56" s="46">
        <v>15</v>
      </c>
      <c r="B56" s="247" t="s">
        <v>54</v>
      </c>
      <c r="C56" s="248" t="s">
        <v>37</v>
      </c>
      <c r="D56" s="247" t="s">
        <v>95</v>
      </c>
      <c r="E56" s="249">
        <v>36</v>
      </c>
      <c r="F56" s="250">
        <f>SUM(E56)*3</f>
        <v>108</v>
      </c>
      <c r="G56" s="16">
        <v>70.209999999999994</v>
      </c>
      <c r="H56" s="251">
        <f t="shared" si="4"/>
        <v>7.582679999999999</v>
      </c>
      <c r="I56" s="16">
        <f>E56*G56</f>
        <v>2527.56</v>
      </c>
      <c r="J56" s="32"/>
      <c r="L56" s="25"/>
      <c r="M56" s="26"/>
      <c r="N56" s="27"/>
    </row>
    <row r="57" spans="1:22" ht="15.75" customHeight="1">
      <c r="A57" s="231" t="s">
        <v>241</v>
      </c>
      <c r="B57" s="232"/>
      <c r="C57" s="232"/>
      <c r="D57" s="232"/>
      <c r="E57" s="232"/>
      <c r="F57" s="232"/>
      <c r="G57" s="232"/>
      <c r="H57" s="232"/>
      <c r="I57" s="233"/>
      <c r="J57" s="32"/>
      <c r="L57" s="25"/>
      <c r="M57" s="26"/>
      <c r="N57" s="27"/>
    </row>
    <row r="58" spans="1:22" ht="15.75" customHeight="1">
      <c r="A58" s="46"/>
      <c r="B58" s="268" t="s">
        <v>56</v>
      </c>
      <c r="C58" s="248"/>
      <c r="D58" s="247"/>
      <c r="E58" s="249"/>
      <c r="F58" s="250"/>
      <c r="G58" s="250"/>
      <c r="H58" s="251"/>
      <c r="I58" s="16"/>
      <c r="J58" s="32"/>
      <c r="L58" s="25"/>
      <c r="M58" s="26"/>
      <c r="N58" s="27"/>
    </row>
    <row r="59" spans="1:22" ht="31.5" customHeight="1">
      <c r="A59" s="46">
        <v>16</v>
      </c>
      <c r="B59" s="247" t="s">
        <v>231</v>
      </c>
      <c r="C59" s="248" t="s">
        <v>194</v>
      </c>
      <c r="D59" s="247" t="s">
        <v>96</v>
      </c>
      <c r="E59" s="256">
        <v>3.78</v>
      </c>
      <c r="F59" s="16">
        <f>E59*6/100</f>
        <v>0.2268</v>
      </c>
      <c r="G59" s="250">
        <v>1654.04</v>
      </c>
      <c r="H59" s="251">
        <f>SUM(F59*G59/1000)</f>
        <v>0.37513627199999999</v>
      </c>
      <c r="I59" s="16">
        <f>F59/6*G59</f>
        <v>62.522711999999999</v>
      </c>
      <c r="J59" s="32"/>
      <c r="L59" s="25"/>
      <c r="M59" s="26"/>
      <c r="N59" s="27"/>
    </row>
    <row r="60" spans="1:22" ht="31.5" customHeight="1">
      <c r="A60" s="46">
        <v>17</v>
      </c>
      <c r="B60" s="247" t="s">
        <v>219</v>
      </c>
      <c r="C60" s="248" t="s">
        <v>194</v>
      </c>
      <c r="D60" s="247" t="s">
        <v>96</v>
      </c>
      <c r="E60" s="249">
        <v>185.36</v>
      </c>
      <c r="F60" s="250">
        <f>E60*6/100</f>
        <v>11.121600000000001</v>
      </c>
      <c r="G60" s="257">
        <v>1654.04</v>
      </c>
      <c r="H60" s="251">
        <f>F60*G60/1000</f>
        <v>18.395571264000001</v>
      </c>
      <c r="I60" s="16">
        <f>F60/6*G60</f>
        <v>3065.9285440000003</v>
      </c>
      <c r="J60" s="32"/>
      <c r="L60" s="25"/>
    </row>
    <row r="61" spans="1:22" ht="15.75" hidden="1" customHeight="1">
      <c r="A61" s="46"/>
      <c r="B61" s="258" t="s">
        <v>168</v>
      </c>
      <c r="C61" s="248" t="s">
        <v>169</v>
      </c>
      <c r="D61" s="258" t="s">
        <v>55</v>
      </c>
      <c r="E61" s="259">
        <v>5</v>
      </c>
      <c r="F61" s="260">
        <v>10</v>
      </c>
      <c r="G61" s="257">
        <v>198.25</v>
      </c>
      <c r="H61" s="261">
        <v>0.99099999999999999</v>
      </c>
      <c r="I61" s="16">
        <v>0</v>
      </c>
      <c r="J61" s="32"/>
      <c r="L61" s="25"/>
    </row>
    <row r="62" spans="1:22" ht="15.75" customHeight="1">
      <c r="A62" s="46"/>
      <c r="B62" s="269" t="s">
        <v>57</v>
      </c>
      <c r="C62" s="262"/>
      <c r="D62" s="258"/>
      <c r="E62" s="259"/>
      <c r="F62" s="260"/>
      <c r="G62" s="263"/>
      <c r="H62" s="261"/>
      <c r="I62" s="16"/>
    </row>
    <row r="63" spans="1:22" ht="15.75" hidden="1" customHeight="1">
      <c r="A63" s="46"/>
      <c r="B63" s="258" t="s">
        <v>58</v>
      </c>
      <c r="C63" s="262" t="s">
        <v>68</v>
      </c>
      <c r="D63" s="258" t="s">
        <v>69</v>
      </c>
      <c r="E63" s="259">
        <v>1752</v>
      </c>
      <c r="F63" s="260">
        <f>E63/100</f>
        <v>17.52</v>
      </c>
      <c r="G63" s="250">
        <v>848.37</v>
      </c>
      <c r="H63" s="261">
        <f>G63*F63/1000</f>
        <v>14.8634424</v>
      </c>
      <c r="I63" s="16">
        <v>0</v>
      </c>
    </row>
    <row r="64" spans="1:22" ht="15.75" customHeight="1">
      <c r="A64" s="46">
        <v>18</v>
      </c>
      <c r="B64" s="258" t="s">
        <v>159</v>
      </c>
      <c r="C64" s="262" t="s">
        <v>29</v>
      </c>
      <c r="D64" s="258" t="s">
        <v>249</v>
      </c>
      <c r="E64" s="259">
        <v>352</v>
      </c>
      <c r="F64" s="260">
        <f>E64*12</f>
        <v>4224</v>
      </c>
      <c r="G64" s="250">
        <v>2.6</v>
      </c>
      <c r="H64" s="261">
        <f>G64*F64/1000</f>
        <v>10.9824</v>
      </c>
      <c r="I64" s="16">
        <f>F64/12*G64</f>
        <v>915.2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0"/>
    </row>
    <row r="65" spans="1:21" ht="15.75" customHeight="1">
      <c r="A65" s="46"/>
      <c r="B65" s="269" t="s">
        <v>59</v>
      </c>
      <c r="C65" s="262"/>
      <c r="D65" s="258"/>
      <c r="E65" s="259"/>
      <c r="F65" s="260"/>
      <c r="G65" s="270"/>
      <c r="H65" s="261" t="s">
        <v>225</v>
      </c>
      <c r="I65" s="16"/>
      <c r="J65" s="37"/>
      <c r="K65" s="37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46">
        <v>19</v>
      </c>
      <c r="B66" s="18" t="s">
        <v>60</v>
      </c>
      <c r="C66" s="20" t="s">
        <v>218</v>
      </c>
      <c r="D66" s="18" t="s">
        <v>90</v>
      </c>
      <c r="E66" s="23">
        <v>10</v>
      </c>
      <c r="F66" s="250">
        <v>10</v>
      </c>
      <c r="G66" s="16">
        <v>237.74</v>
      </c>
      <c r="H66" s="244">
        <f t="shared" ref="H66:H80" si="5">SUM(F66*G66/1000)</f>
        <v>2.3774000000000002</v>
      </c>
      <c r="I66" s="16">
        <f>G66*3</f>
        <v>713.22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46"/>
      <c r="B67" s="18" t="s">
        <v>61</v>
      </c>
      <c r="C67" s="20" t="s">
        <v>218</v>
      </c>
      <c r="D67" s="18" t="s">
        <v>90</v>
      </c>
      <c r="E67" s="23">
        <v>5</v>
      </c>
      <c r="F67" s="250">
        <v>5</v>
      </c>
      <c r="G67" s="16">
        <v>81.510000000000005</v>
      </c>
      <c r="H67" s="244">
        <f t="shared" si="5"/>
        <v>0.40755000000000002</v>
      </c>
      <c r="I67" s="16">
        <v>0</v>
      </c>
      <c r="J67" s="5"/>
      <c r="K67" s="5"/>
      <c r="L67" s="5"/>
      <c r="M67" s="5"/>
      <c r="N67" s="5"/>
      <c r="O67" s="5"/>
      <c r="P67" s="5"/>
      <c r="Q67" s="5"/>
      <c r="R67" s="207"/>
      <c r="S67" s="207"/>
      <c r="T67" s="207"/>
      <c r="U67" s="207"/>
    </row>
    <row r="68" spans="1:21" ht="15.75" hidden="1" customHeight="1">
      <c r="A68" s="46"/>
      <c r="B68" s="18" t="s">
        <v>62</v>
      </c>
      <c r="C68" s="20" t="s">
        <v>220</v>
      </c>
      <c r="D68" s="18" t="s">
        <v>69</v>
      </c>
      <c r="E68" s="249">
        <v>23808</v>
      </c>
      <c r="F68" s="16">
        <f>SUM(E68/100)</f>
        <v>238.08</v>
      </c>
      <c r="G68" s="16">
        <v>226.79</v>
      </c>
      <c r="H68" s="244">
        <f t="shared" si="5"/>
        <v>53.994163200000003</v>
      </c>
      <c r="I68" s="16">
        <f>F68*G68</f>
        <v>53994.163200000003</v>
      </c>
    </row>
    <row r="69" spans="1:21" ht="15.75" hidden="1" customHeight="1">
      <c r="A69" s="46"/>
      <c r="B69" s="18" t="s">
        <v>63</v>
      </c>
      <c r="C69" s="20" t="s">
        <v>221</v>
      </c>
      <c r="D69" s="18"/>
      <c r="E69" s="249">
        <v>23808</v>
      </c>
      <c r="F69" s="16">
        <f>SUM(E69/1000)</f>
        <v>23.808</v>
      </c>
      <c r="G69" s="16">
        <v>176.61</v>
      </c>
      <c r="H69" s="244">
        <f t="shared" si="5"/>
        <v>4.2047308800000005</v>
      </c>
      <c r="I69" s="16">
        <f t="shared" ref="I69:I73" si="6">F69*G69</f>
        <v>4204.7308800000001</v>
      </c>
    </row>
    <row r="70" spans="1:21" ht="15.75" hidden="1" customHeight="1">
      <c r="A70" s="46"/>
      <c r="B70" s="18" t="s">
        <v>64</v>
      </c>
      <c r="C70" s="20" t="s">
        <v>101</v>
      </c>
      <c r="D70" s="18" t="s">
        <v>69</v>
      </c>
      <c r="E70" s="249">
        <v>3810</v>
      </c>
      <c r="F70" s="16">
        <f>SUM(E70/100)</f>
        <v>38.1</v>
      </c>
      <c r="G70" s="16">
        <v>2217.7800000000002</v>
      </c>
      <c r="H70" s="244">
        <f t="shared" si="5"/>
        <v>84.49741800000001</v>
      </c>
      <c r="I70" s="16">
        <f t="shared" si="6"/>
        <v>84497.418000000005</v>
      </c>
    </row>
    <row r="71" spans="1:21" ht="15.75" hidden="1" customHeight="1">
      <c r="A71" s="46"/>
      <c r="B71" s="264" t="s">
        <v>222</v>
      </c>
      <c r="C71" s="20" t="s">
        <v>40</v>
      </c>
      <c r="D71" s="18"/>
      <c r="E71" s="249">
        <v>23.4</v>
      </c>
      <c r="F71" s="16">
        <f>SUM(E71)</f>
        <v>23.4</v>
      </c>
      <c r="G71" s="16">
        <v>42.67</v>
      </c>
      <c r="H71" s="244">
        <f t="shared" si="5"/>
        <v>0.99847799999999998</v>
      </c>
      <c r="I71" s="16">
        <f t="shared" si="6"/>
        <v>998.47799999999995</v>
      </c>
    </row>
    <row r="72" spans="1:21" ht="15.75" hidden="1" customHeight="1">
      <c r="A72" s="46"/>
      <c r="B72" s="264" t="s">
        <v>232</v>
      </c>
      <c r="C72" s="20" t="s">
        <v>40</v>
      </c>
      <c r="D72" s="18"/>
      <c r="E72" s="249">
        <v>23.4</v>
      </c>
      <c r="F72" s="16">
        <f>SUM(E72)</f>
        <v>23.4</v>
      </c>
      <c r="G72" s="16">
        <v>39.81</v>
      </c>
      <c r="H72" s="244">
        <f t="shared" si="5"/>
        <v>0.93155399999999999</v>
      </c>
      <c r="I72" s="16">
        <f t="shared" si="6"/>
        <v>931.55399999999997</v>
      </c>
    </row>
    <row r="73" spans="1:21" ht="15.75" hidden="1" customHeight="1">
      <c r="A73" s="46"/>
      <c r="B73" s="18" t="s">
        <v>77</v>
      </c>
      <c r="C73" s="20" t="s">
        <v>78</v>
      </c>
      <c r="D73" s="18" t="s">
        <v>69</v>
      </c>
      <c r="E73" s="23">
        <v>5</v>
      </c>
      <c r="F73" s="250">
        <f>SUM(E73)</f>
        <v>5</v>
      </c>
      <c r="G73" s="16">
        <v>53.32</v>
      </c>
      <c r="H73" s="244">
        <f t="shared" si="5"/>
        <v>0.2666</v>
      </c>
      <c r="I73" s="16">
        <f t="shared" si="6"/>
        <v>266.60000000000002</v>
      </c>
    </row>
    <row r="74" spans="1:21" ht="15.75" customHeight="1">
      <c r="A74" s="46">
        <v>20</v>
      </c>
      <c r="B74" s="18" t="s">
        <v>233</v>
      </c>
      <c r="C74" s="20" t="s">
        <v>78</v>
      </c>
      <c r="D74" s="18" t="s">
        <v>36</v>
      </c>
      <c r="E74" s="23">
        <v>1</v>
      </c>
      <c r="F74" s="237">
        <v>12</v>
      </c>
      <c r="G74" s="16">
        <v>711</v>
      </c>
      <c r="H74" s="244">
        <v>8.5310000000000006</v>
      </c>
      <c r="I74" s="16">
        <f>F74/12*G74</f>
        <v>711</v>
      </c>
    </row>
    <row r="75" spans="1:21" ht="15.75" hidden="1" customHeight="1">
      <c r="A75" s="46"/>
      <c r="B75" s="198" t="s">
        <v>97</v>
      </c>
      <c r="C75" s="20"/>
      <c r="D75" s="18"/>
      <c r="E75" s="23"/>
      <c r="F75" s="16"/>
      <c r="G75" s="16"/>
      <c r="H75" s="244" t="s">
        <v>225</v>
      </c>
      <c r="I75" s="16"/>
    </row>
    <row r="76" spans="1:21" ht="15.75" hidden="1" customHeight="1">
      <c r="A76" s="46"/>
      <c r="B76" s="18" t="s">
        <v>98</v>
      </c>
      <c r="C76" s="20" t="s">
        <v>38</v>
      </c>
      <c r="D76" s="18" t="s">
        <v>90</v>
      </c>
      <c r="E76" s="23">
        <v>2</v>
      </c>
      <c r="F76" s="237">
        <v>0.2</v>
      </c>
      <c r="G76" s="16">
        <v>536.23</v>
      </c>
      <c r="H76" s="244">
        <v>0.107</v>
      </c>
      <c r="I76" s="16">
        <v>0</v>
      </c>
    </row>
    <row r="77" spans="1:21" ht="15.75" hidden="1" customHeight="1">
      <c r="A77" s="46"/>
      <c r="B77" s="18" t="s">
        <v>136</v>
      </c>
      <c r="C77" s="20" t="s">
        <v>37</v>
      </c>
      <c r="D77" s="18"/>
      <c r="E77" s="23">
        <v>1</v>
      </c>
      <c r="F77" s="250">
        <f>SUM(E77)</f>
        <v>1</v>
      </c>
      <c r="G77" s="16">
        <v>383.25</v>
      </c>
      <c r="H77" s="244">
        <f t="shared" si="5"/>
        <v>0.38324999999999998</v>
      </c>
      <c r="I77" s="16">
        <v>0</v>
      </c>
    </row>
    <row r="78" spans="1:21" ht="15.75" hidden="1" customHeight="1">
      <c r="A78" s="46"/>
      <c r="B78" s="18" t="s">
        <v>99</v>
      </c>
      <c r="C78" s="20" t="s">
        <v>37</v>
      </c>
      <c r="D78" s="18"/>
      <c r="E78" s="23">
        <v>1</v>
      </c>
      <c r="F78" s="16">
        <v>1</v>
      </c>
      <c r="G78" s="16">
        <v>911.85</v>
      </c>
      <c r="H78" s="244">
        <f>F78*G78/1000</f>
        <v>0.91185000000000005</v>
      </c>
      <c r="I78" s="16">
        <v>0</v>
      </c>
    </row>
    <row r="79" spans="1:21" ht="15.75" hidden="1" customHeight="1">
      <c r="A79" s="46"/>
      <c r="B79" s="265" t="s">
        <v>100</v>
      </c>
      <c r="C79" s="20"/>
      <c r="D79" s="18"/>
      <c r="E79" s="23"/>
      <c r="F79" s="16"/>
      <c r="G79" s="16" t="s">
        <v>225</v>
      </c>
      <c r="H79" s="244" t="s">
        <v>225</v>
      </c>
      <c r="I79" s="16"/>
    </row>
    <row r="80" spans="1:21" ht="15.75" hidden="1" customHeight="1">
      <c r="A80" s="46"/>
      <c r="B80" s="81" t="s">
        <v>226</v>
      </c>
      <c r="C80" s="20" t="s">
        <v>101</v>
      </c>
      <c r="D80" s="18"/>
      <c r="E80" s="23"/>
      <c r="F80" s="16">
        <v>0.6</v>
      </c>
      <c r="G80" s="16">
        <v>2949.85</v>
      </c>
      <c r="H80" s="244">
        <f t="shared" si="5"/>
        <v>1.7699099999999999</v>
      </c>
      <c r="I80" s="16">
        <v>0</v>
      </c>
      <c r="J80" s="5"/>
      <c r="K80" s="5"/>
      <c r="L80" s="5"/>
      <c r="M80" s="5"/>
      <c r="N80" s="5"/>
      <c r="O80" s="5"/>
      <c r="P80" s="5"/>
      <c r="Q80" s="5"/>
      <c r="R80" s="197"/>
      <c r="S80" s="197"/>
      <c r="T80" s="197"/>
      <c r="U80" s="197"/>
    </row>
    <row r="81" spans="1:21" ht="15.75" hidden="1" customHeight="1">
      <c r="A81" s="122"/>
      <c r="B81" s="198" t="s">
        <v>223</v>
      </c>
      <c r="C81" s="198"/>
      <c r="D81" s="198"/>
      <c r="E81" s="198"/>
      <c r="F81" s="198"/>
      <c r="G81" s="198"/>
      <c r="H81" s="198"/>
      <c r="I81" s="23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1:21" ht="15.75" hidden="1" customHeight="1">
      <c r="A82" s="46"/>
      <c r="B82" s="247" t="s">
        <v>224</v>
      </c>
      <c r="C82" s="20"/>
      <c r="D82" s="18"/>
      <c r="E82" s="238"/>
      <c r="F82" s="16">
        <v>1</v>
      </c>
      <c r="G82" s="16">
        <v>21062.799999999999</v>
      </c>
      <c r="H82" s="244">
        <f>G82*F82/1000</f>
        <v>21.062799999999999</v>
      </c>
      <c r="I82" s="16">
        <v>0</v>
      </c>
      <c r="J82" s="5"/>
      <c r="K82" s="5"/>
      <c r="L82" s="5"/>
      <c r="M82" s="5"/>
      <c r="N82" s="5"/>
      <c r="O82" s="5"/>
      <c r="P82" s="5"/>
      <c r="Q82" s="5"/>
      <c r="R82" s="197"/>
      <c r="S82" s="197"/>
      <c r="T82" s="197"/>
      <c r="U82" s="197"/>
    </row>
    <row r="83" spans="1:21" ht="15.75" customHeight="1">
      <c r="A83" s="234" t="s">
        <v>242</v>
      </c>
      <c r="B83" s="235"/>
      <c r="C83" s="235"/>
      <c r="D83" s="235"/>
      <c r="E83" s="235"/>
      <c r="F83" s="235"/>
      <c r="G83" s="235"/>
      <c r="H83" s="235"/>
      <c r="I83" s="236"/>
    </row>
    <row r="84" spans="1:21" ht="15.75" customHeight="1">
      <c r="A84" s="46">
        <v>21</v>
      </c>
      <c r="B84" s="247" t="s">
        <v>227</v>
      </c>
      <c r="C84" s="20" t="s">
        <v>73</v>
      </c>
      <c r="D84" s="266" t="s">
        <v>74</v>
      </c>
      <c r="E84" s="16">
        <v>5816.5</v>
      </c>
      <c r="F84" s="16">
        <f>SUM(E84*12)</f>
        <v>69798</v>
      </c>
      <c r="G84" s="16">
        <v>2.54</v>
      </c>
      <c r="H84" s="244">
        <f>SUM(F84*G84/1000)</f>
        <v>177.28692000000001</v>
      </c>
      <c r="I84" s="16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197"/>
      <c r="S84" s="197"/>
      <c r="T84" s="197"/>
      <c r="U84" s="197"/>
    </row>
    <row r="85" spans="1:21" ht="31.5" customHeight="1">
      <c r="A85" s="46">
        <v>22</v>
      </c>
      <c r="B85" s="18" t="s">
        <v>102</v>
      </c>
      <c r="C85" s="20"/>
      <c r="D85" s="266" t="s">
        <v>74</v>
      </c>
      <c r="E85" s="249">
        <f>E84</f>
        <v>5816.5</v>
      </c>
      <c r="F85" s="16">
        <f>E85*12</f>
        <v>69798</v>
      </c>
      <c r="G85" s="16">
        <v>2.0499999999999998</v>
      </c>
      <c r="H85" s="244">
        <f>F85*G85/1000</f>
        <v>143.08589999999998</v>
      </c>
      <c r="I85" s="16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197"/>
      <c r="S85" s="197"/>
      <c r="T85" s="197"/>
      <c r="U85" s="197"/>
    </row>
    <row r="86" spans="1:21" ht="15.75" customHeight="1">
      <c r="A86" s="122"/>
      <c r="B86" s="68" t="s">
        <v>108</v>
      </c>
      <c r="C86" s="70"/>
      <c r="D86" s="19"/>
      <c r="E86" s="19"/>
      <c r="F86" s="19"/>
      <c r="G86" s="23"/>
      <c r="H86" s="23"/>
      <c r="I86" s="53">
        <f>I16+I17+I18+I20+I21+I27+I28+I40+I41+I43+I44+I45+I46+I52+I56+I59+I60+I64+I66+I74+I84+I85</f>
        <v>104803.56249383332</v>
      </c>
    </row>
    <row r="87" spans="1:21" ht="15.75" customHeight="1">
      <c r="A87" s="122"/>
      <c r="B87" s="189" t="s">
        <v>80</v>
      </c>
      <c r="C87" s="189"/>
      <c r="D87" s="189"/>
      <c r="E87" s="189"/>
      <c r="F87" s="189"/>
      <c r="G87" s="189"/>
      <c r="H87" s="189"/>
      <c r="I87" s="189"/>
    </row>
    <row r="88" spans="1:21" ht="31.5" customHeight="1">
      <c r="A88" s="46">
        <v>23</v>
      </c>
      <c r="B88" s="138" t="s">
        <v>107</v>
      </c>
      <c r="C88" s="243" t="s">
        <v>218</v>
      </c>
      <c r="D88" s="81"/>
      <c r="E88" s="16"/>
      <c r="F88" s="16">
        <v>2</v>
      </c>
      <c r="G88" s="16">
        <v>79.09</v>
      </c>
      <c r="H88" s="244">
        <f t="shared" ref="H88:H94" si="7">G88*F88/1000</f>
        <v>0.15818000000000002</v>
      </c>
      <c r="I88" s="16">
        <f>G88*1</f>
        <v>79.09</v>
      </c>
      <c r="J88" s="5"/>
      <c r="K88" s="5"/>
      <c r="L88" s="5"/>
      <c r="M88" s="5"/>
      <c r="N88" s="5"/>
      <c r="O88" s="5"/>
      <c r="P88" s="5"/>
      <c r="Q88" s="5"/>
      <c r="R88" s="197"/>
      <c r="S88" s="197"/>
      <c r="T88" s="197"/>
      <c r="U88" s="197"/>
    </row>
    <row r="89" spans="1:21" ht="15.75" customHeight="1">
      <c r="A89" s="46">
        <v>24</v>
      </c>
      <c r="B89" s="138" t="s">
        <v>251</v>
      </c>
      <c r="C89" s="243" t="s">
        <v>119</v>
      </c>
      <c r="D89" s="81"/>
      <c r="E89" s="16"/>
      <c r="F89" s="16">
        <v>7</v>
      </c>
      <c r="G89" s="16">
        <v>185.81</v>
      </c>
      <c r="H89" s="244">
        <f t="shared" si="7"/>
        <v>1.30067</v>
      </c>
      <c r="I89" s="16">
        <f>G89*1</f>
        <v>185.81</v>
      </c>
      <c r="J89" s="5"/>
      <c r="K89" s="5"/>
      <c r="L89" s="5"/>
      <c r="M89" s="5"/>
      <c r="N89" s="5"/>
      <c r="O89" s="5"/>
      <c r="P89" s="5"/>
      <c r="Q89" s="5"/>
      <c r="R89" s="197"/>
      <c r="S89" s="197"/>
      <c r="T89" s="197"/>
      <c r="U89" s="197"/>
    </row>
    <row r="90" spans="1:21" ht="31.5" customHeight="1">
      <c r="A90" s="46">
        <v>25</v>
      </c>
      <c r="B90" s="138" t="s">
        <v>140</v>
      </c>
      <c r="C90" s="243" t="s">
        <v>149</v>
      </c>
      <c r="D90" s="81"/>
      <c r="E90" s="16"/>
      <c r="F90" s="16">
        <v>3</v>
      </c>
      <c r="G90" s="16">
        <v>559.62</v>
      </c>
      <c r="H90" s="244">
        <f t="shared" si="7"/>
        <v>1.67886</v>
      </c>
      <c r="I90" s="16">
        <f>G90</f>
        <v>559.62</v>
      </c>
      <c r="J90" s="5"/>
      <c r="K90" s="5"/>
      <c r="L90" s="5"/>
      <c r="M90" s="5"/>
      <c r="N90" s="5"/>
      <c r="O90" s="5"/>
      <c r="P90" s="5"/>
      <c r="Q90" s="5"/>
      <c r="R90" s="197"/>
      <c r="S90" s="197"/>
      <c r="T90" s="197"/>
      <c r="U90" s="197"/>
    </row>
    <row r="91" spans="1:21" ht="31.5" customHeight="1">
      <c r="A91" s="46">
        <v>26</v>
      </c>
      <c r="B91" s="242" t="s">
        <v>252</v>
      </c>
      <c r="C91" s="46" t="s">
        <v>253</v>
      </c>
      <c r="D91" s="81"/>
      <c r="E91" s="16"/>
      <c r="F91" s="16">
        <v>4</v>
      </c>
      <c r="G91" s="16">
        <v>1835.8</v>
      </c>
      <c r="H91" s="244">
        <f t="shared" si="7"/>
        <v>7.3431999999999995</v>
      </c>
      <c r="I91" s="16">
        <f>G91</f>
        <v>1835.8</v>
      </c>
      <c r="J91" s="5"/>
      <c r="K91" s="5"/>
      <c r="L91" s="5"/>
      <c r="M91" s="5"/>
      <c r="N91" s="5"/>
      <c r="O91" s="5"/>
      <c r="P91" s="5"/>
      <c r="Q91" s="5"/>
      <c r="R91" s="197"/>
      <c r="S91" s="197"/>
      <c r="T91" s="197"/>
      <c r="U91" s="197"/>
    </row>
    <row r="92" spans="1:21" ht="15.75" customHeight="1">
      <c r="A92" s="46">
        <v>27</v>
      </c>
      <c r="B92" s="138" t="s">
        <v>254</v>
      </c>
      <c r="C92" s="243" t="s">
        <v>110</v>
      </c>
      <c r="D92" s="81"/>
      <c r="E92" s="16"/>
      <c r="F92" s="16">
        <v>3.5</v>
      </c>
      <c r="G92" s="16">
        <v>2057</v>
      </c>
      <c r="H92" s="244">
        <f>G92*F92/1000</f>
        <v>7.1994999999999996</v>
      </c>
      <c r="I92" s="16">
        <f>G92*1.5</f>
        <v>3085.5</v>
      </c>
      <c r="J92" s="5"/>
      <c r="K92" s="5"/>
      <c r="L92" s="5"/>
      <c r="M92" s="5"/>
      <c r="N92" s="5"/>
      <c r="O92" s="5"/>
      <c r="P92" s="5"/>
      <c r="Q92" s="5"/>
      <c r="R92" s="197"/>
      <c r="S92" s="197"/>
      <c r="T92" s="197"/>
      <c r="U92" s="197"/>
    </row>
    <row r="93" spans="1:21" ht="15.75" hidden="1" customHeight="1">
      <c r="A93" s="46"/>
      <c r="B93" s="138" t="s">
        <v>250</v>
      </c>
      <c r="C93" s="193" t="s">
        <v>110</v>
      </c>
      <c r="D93" s="81"/>
      <c r="E93" s="16"/>
      <c r="F93" s="16">
        <v>1</v>
      </c>
      <c r="G93" s="16">
        <v>18</v>
      </c>
      <c r="H93" s="244">
        <f t="shared" si="7"/>
        <v>1.7999999999999999E-2</v>
      </c>
      <c r="I93" s="16">
        <v>0</v>
      </c>
      <c r="J93" s="5"/>
      <c r="K93" s="5"/>
      <c r="L93" s="5"/>
      <c r="M93" s="5"/>
      <c r="N93" s="5"/>
      <c r="O93" s="5"/>
      <c r="P93" s="5"/>
      <c r="Q93" s="5"/>
      <c r="R93" s="197"/>
      <c r="S93" s="197"/>
      <c r="T93" s="197"/>
      <c r="U93" s="197"/>
    </row>
    <row r="94" spans="1:21" ht="15.75" hidden="1" customHeight="1">
      <c r="A94" s="46"/>
      <c r="B94" s="242" t="s">
        <v>162</v>
      </c>
      <c r="C94" s="46" t="s">
        <v>199</v>
      </c>
      <c r="D94" s="81"/>
      <c r="E94" s="16"/>
      <c r="F94" s="16">
        <f>0.297/10</f>
        <v>2.9699999999999997E-2</v>
      </c>
      <c r="G94" s="16">
        <v>3113.97</v>
      </c>
      <c r="H94" s="244">
        <f t="shared" si="7"/>
        <v>9.248490899999999E-2</v>
      </c>
      <c r="I94" s="16">
        <v>0</v>
      </c>
      <c r="J94" s="5"/>
      <c r="K94" s="5"/>
      <c r="L94" s="5"/>
      <c r="M94" s="5"/>
      <c r="N94" s="5"/>
      <c r="O94" s="5"/>
      <c r="P94" s="5"/>
      <c r="Q94" s="5"/>
      <c r="R94" s="197"/>
      <c r="S94" s="197"/>
      <c r="T94" s="197"/>
      <c r="U94" s="197"/>
    </row>
    <row r="95" spans="1:21" ht="15.75" hidden="1" customHeight="1">
      <c r="A95" s="46"/>
      <c r="B95" s="192" t="s">
        <v>255</v>
      </c>
      <c r="C95" s="193" t="s">
        <v>256</v>
      </c>
      <c r="D95" s="267"/>
      <c r="E95" s="16"/>
      <c r="F95" s="16">
        <f>40/10</f>
        <v>4</v>
      </c>
      <c r="G95" s="16">
        <v>3800</v>
      </c>
      <c r="H95" s="244">
        <f>G95*F95/1000</f>
        <v>15.2</v>
      </c>
      <c r="I95" s="16">
        <v>0</v>
      </c>
      <c r="J95" s="5"/>
      <c r="K95" s="5"/>
      <c r="L95" s="5"/>
      <c r="M95" s="5"/>
      <c r="N95" s="5"/>
      <c r="O95" s="5"/>
      <c r="P95" s="5"/>
      <c r="Q95" s="5"/>
      <c r="R95" s="197"/>
      <c r="S95" s="197"/>
      <c r="T95" s="197"/>
      <c r="U95" s="197"/>
    </row>
    <row r="96" spans="1:21" ht="31.5" hidden="1" customHeight="1">
      <c r="A96" s="46"/>
      <c r="B96" s="138" t="s">
        <v>257</v>
      </c>
      <c r="C96" s="243" t="s">
        <v>49</v>
      </c>
      <c r="D96" s="267"/>
      <c r="E96" s="16"/>
      <c r="F96" s="16">
        <f>4/100</f>
        <v>0.04</v>
      </c>
      <c r="G96" s="16">
        <v>3397.65</v>
      </c>
      <c r="H96" s="244">
        <f>G96*F96/1000</f>
        <v>0.135906</v>
      </c>
      <c r="I96" s="16">
        <v>0</v>
      </c>
      <c r="J96" s="5"/>
      <c r="K96" s="5"/>
      <c r="L96" s="5"/>
      <c r="M96" s="5"/>
      <c r="N96" s="5"/>
      <c r="O96" s="5"/>
      <c r="P96" s="5"/>
      <c r="Q96" s="5"/>
      <c r="R96" s="197"/>
      <c r="S96" s="197"/>
      <c r="T96" s="197"/>
      <c r="U96" s="197"/>
    </row>
    <row r="97" spans="1:21" ht="15.75" hidden="1" customHeight="1">
      <c r="A97" s="46"/>
      <c r="B97" s="138" t="s">
        <v>258</v>
      </c>
      <c r="C97" s="243" t="s">
        <v>149</v>
      </c>
      <c r="D97" s="267"/>
      <c r="E97" s="16"/>
      <c r="F97" s="16">
        <v>1</v>
      </c>
      <c r="G97" s="16">
        <f>735.26+(282.5/2)</f>
        <v>876.51</v>
      </c>
      <c r="H97" s="244">
        <f>G97*F97/1000</f>
        <v>0.87651000000000001</v>
      </c>
      <c r="I97" s="16">
        <v>0</v>
      </c>
      <c r="J97" s="5"/>
      <c r="K97" s="5"/>
      <c r="L97" s="5"/>
      <c r="M97" s="5"/>
      <c r="N97" s="5"/>
      <c r="O97" s="5"/>
      <c r="P97" s="5"/>
      <c r="Q97" s="5"/>
      <c r="R97" s="197"/>
      <c r="S97" s="197"/>
      <c r="T97" s="197"/>
      <c r="U97" s="197"/>
    </row>
    <row r="98" spans="1:21" ht="15.75" hidden="1" customHeight="1">
      <c r="A98" s="46"/>
      <c r="B98" s="192" t="s">
        <v>121</v>
      </c>
      <c r="C98" s="243" t="s">
        <v>218</v>
      </c>
      <c r="D98" s="267"/>
      <c r="E98" s="16"/>
      <c r="F98" s="16">
        <v>5</v>
      </c>
      <c r="G98" s="16">
        <v>179.96</v>
      </c>
      <c r="H98" s="244">
        <f>G98*F98/1000</f>
        <v>0.89980000000000004</v>
      </c>
      <c r="I98" s="16">
        <v>0</v>
      </c>
      <c r="J98" s="5"/>
      <c r="K98" s="5"/>
      <c r="L98" s="5"/>
      <c r="M98" s="5"/>
      <c r="N98" s="5"/>
      <c r="O98" s="5"/>
      <c r="P98" s="5"/>
      <c r="Q98" s="5"/>
      <c r="R98" s="197"/>
      <c r="S98" s="197"/>
      <c r="T98" s="197"/>
      <c r="U98" s="197"/>
    </row>
    <row r="99" spans="1:21" ht="47.25" hidden="1" customHeight="1">
      <c r="A99" s="46"/>
      <c r="B99" s="138" t="s">
        <v>259</v>
      </c>
      <c r="C99" s="193" t="s">
        <v>260</v>
      </c>
      <c r="D99" s="81"/>
      <c r="E99" s="16"/>
      <c r="F99" s="16">
        <v>2</v>
      </c>
      <c r="G99" s="16">
        <v>4408.12</v>
      </c>
      <c r="H99" s="244">
        <f t="shared" ref="H99:H116" si="8">G99*F99/1000</f>
        <v>8.8162400000000005</v>
      </c>
      <c r="I99" s="16">
        <v>0</v>
      </c>
      <c r="J99" s="5"/>
      <c r="K99" s="5"/>
      <c r="L99" s="5"/>
      <c r="M99" s="5"/>
      <c r="N99" s="5"/>
      <c r="O99" s="5"/>
      <c r="P99" s="5"/>
      <c r="Q99" s="5"/>
      <c r="R99" s="197"/>
      <c r="S99" s="197"/>
      <c r="T99" s="197"/>
      <c r="U99" s="197"/>
    </row>
    <row r="100" spans="1:21" ht="15.75" hidden="1" customHeight="1">
      <c r="A100" s="46"/>
      <c r="B100" s="138" t="s">
        <v>261</v>
      </c>
      <c r="C100" s="243" t="s">
        <v>262</v>
      </c>
      <c r="D100" s="81"/>
      <c r="E100" s="16"/>
      <c r="F100" s="16">
        <f>1/100</f>
        <v>0.01</v>
      </c>
      <c r="G100" s="16">
        <v>7033.13</v>
      </c>
      <c r="H100" s="244">
        <f t="shared" si="8"/>
        <v>7.0331299999999999E-2</v>
      </c>
      <c r="I100" s="16">
        <v>0</v>
      </c>
      <c r="J100" s="5"/>
      <c r="K100" s="5"/>
      <c r="L100" s="5"/>
      <c r="M100" s="5"/>
      <c r="N100" s="5"/>
      <c r="O100" s="5"/>
      <c r="P100" s="5"/>
      <c r="Q100" s="5"/>
      <c r="R100" s="197"/>
      <c r="S100" s="197"/>
      <c r="T100" s="197"/>
      <c r="U100" s="197"/>
    </row>
    <row r="101" spans="1:21" ht="15.75" hidden="1" customHeight="1">
      <c r="A101" s="46"/>
      <c r="B101" s="138" t="s">
        <v>263</v>
      </c>
      <c r="C101" s="243" t="s">
        <v>264</v>
      </c>
      <c r="D101" s="81"/>
      <c r="E101" s="16"/>
      <c r="F101" s="16">
        <v>1</v>
      </c>
      <c r="G101" s="16">
        <v>730</v>
      </c>
      <c r="H101" s="244">
        <f t="shared" si="8"/>
        <v>0.73</v>
      </c>
      <c r="I101" s="16">
        <v>0</v>
      </c>
      <c r="J101" s="5"/>
      <c r="K101" s="5"/>
      <c r="L101" s="5"/>
      <c r="M101" s="5"/>
      <c r="N101" s="5"/>
      <c r="O101" s="5"/>
      <c r="P101" s="5"/>
      <c r="Q101" s="5"/>
      <c r="R101" s="197"/>
      <c r="S101" s="197"/>
      <c r="T101" s="197"/>
      <c r="U101" s="197"/>
    </row>
    <row r="102" spans="1:21" ht="15.75" hidden="1" customHeight="1">
      <c r="A102" s="46"/>
      <c r="B102" s="245" t="s">
        <v>145</v>
      </c>
      <c r="C102" s="246" t="s">
        <v>146</v>
      </c>
      <c r="D102" s="81"/>
      <c r="E102" s="16"/>
      <c r="F102" s="16">
        <f>50/3</f>
        <v>16.666666666666668</v>
      </c>
      <c r="G102" s="16">
        <v>1063.47</v>
      </c>
      <c r="H102" s="244">
        <f t="shared" si="8"/>
        <v>17.724499999999999</v>
      </c>
      <c r="I102" s="16">
        <v>0</v>
      </c>
      <c r="J102" s="5"/>
      <c r="K102" s="5"/>
      <c r="L102" s="5"/>
      <c r="M102" s="5"/>
      <c r="N102" s="5"/>
      <c r="O102" s="5"/>
      <c r="P102" s="5"/>
      <c r="Q102" s="5"/>
      <c r="R102" s="197"/>
      <c r="S102" s="197"/>
      <c r="T102" s="197"/>
      <c r="U102" s="197"/>
    </row>
    <row r="103" spans="1:21" ht="15.75" hidden="1" customHeight="1">
      <c r="A103" s="46"/>
      <c r="B103" s="138" t="s">
        <v>113</v>
      </c>
      <c r="C103" s="243" t="s">
        <v>218</v>
      </c>
      <c r="D103" s="81"/>
      <c r="E103" s="16"/>
      <c r="F103" s="16">
        <v>1</v>
      </c>
      <c r="G103" s="16">
        <v>180.15</v>
      </c>
      <c r="H103" s="244">
        <f t="shared" si="8"/>
        <v>0.18015</v>
      </c>
      <c r="I103" s="16">
        <v>0</v>
      </c>
      <c r="J103" s="5"/>
      <c r="K103" s="5"/>
      <c r="L103" s="5"/>
      <c r="M103" s="5"/>
      <c r="N103" s="5"/>
      <c r="O103" s="5"/>
      <c r="P103" s="5"/>
      <c r="Q103" s="5"/>
      <c r="R103" s="197"/>
      <c r="S103" s="197"/>
      <c r="T103" s="197"/>
      <c r="U103" s="197"/>
    </row>
    <row r="104" spans="1:21" ht="15.75" hidden="1" customHeight="1">
      <c r="A104" s="46"/>
      <c r="B104" s="138" t="s">
        <v>265</v>
      </c>
      <c r="C104" s="243" t="s">
        <v>119</v>
      </c>
      <c r="D104" s="81"/>
      <c r="E104" s="16"/>
      <c r="F104" s="16">
        <v>2</v>
      </c>
      <c r="G104" s="16">
        <v>185.81</v>
      </c>
      <c r="H104" s="244">
        <f t="shared" si="8"/>
        <v>0.37162000000000001</v>
      </c>
      <c r="I104" s="16">
        <v>0</v>
      </c>
      <c r="J104" s="5"/>
      <c r="K104" s="5"/>
      <c r="L104" s="5"/>
      <c r="M104" s="5"/>
      <c r="N104" s="5"/>
      <c r="O104" s="5"/>
      <c r="P104" s="5"/>
      <c r="Q104" s="5"/>
      <c r="R104" s="197"/>
      <c r="S104" s="197"/>
      <c r="T104" s="197"/>
      <c r="U104" s="197"/>
    </row>
    <row r="105" spans="1:21" ht="15.75" hidden="1" customHeight="1">
      <c r="A105" s="46"/>
      <c r="B105" s="138" t="s">
        <v>266</v>
      </c>
      <c r="C105" s="193" t="s">
        <v>260</v>
      </c>
      <c r="D105" s="18"/>
      <c r="E105" s="23"/>
      <c r="F105" s="16">
        <v>1</v>
      </c>
      <c r="G105" s="16">
        <v>901.61</v>
      </c>
      <c r="H105" s="244">
        <f t="shared" si="8"/>
        <v>0.90161000000000002</v>
      </c>
      <c r="I105" s="16">
        <v>0</v>
      </c>
      <c r="J105" s="5"/>
      <c r="K105" s="5"/>
      <c r="L105" s="5"/>
      <c r="M105" s="5"/>
      <c r="N105" s="5"/>
      <c r="O105" s="5"/>
      <c r="P105" s="5"/>
      <c r="Q105" s="5"/>
      <c r="R105" s="197"/>
      <c r="S105" s="197"/>
      <c r="T105" s="197"/>
      <c r="U105" s="197"/>
    </row>
    <row r="106" spans="1:21" ht="31.5" hidden="1" customHeight="1">
      <c r="A106" s="46"/>
      <c r="B106" s="138" t="s">
        <v>267</v>
      </c>
      <c r="C106" s="243" t="s">
        <v>110</v>
      </c>
      <c r="D106" s="81"/>
      <c r="E106" s="16"/>
      <c r="F106" s="16">
        <v>2</v>
      </c>
      <c r="G106" s="16">
        <v>771.29</v>
      </c>
      <c r="H106" s="244">
        <f t="shared" si="8"/>
        <v>1.5425799999999998</v>
      </c>
      <c r="I106" s="16">
        <v>0</v>
      </c>
      <c r="J106" s="5"/>
      <c r="K106" s="5"/>
      <c r="L106" s="5"/>
      <c r="M106" s="5"/>
      <c r="N106" s="5"/>
      <c r="O106" s="5"/>
      <c r="P106" s="5"/>
      <c r="Q106" s="5"/>
      <c r="R106" s="197"/>
      <c r="S106" s="197"/>
      <c r="T106" s="197"/>
      <c r="U106" s="197"/>
    </row>
    <row r="107" spans="1:21" ht="15.75" hidden="1" customHeight="1">
      <c r="A107" s="46"/>
      <c r="B107" s="138" t="s">
        <v>268</v>
      </c>
      <c r="C107" s="243" t="s">
        <v>218</v>
      </c>
      <c r="D107" s="81"/>
      <c r="E107" s="16"/>
      <c r="F107" s="16">
        <v>1</v>
      </c>
      <c r="G107" s="16">
        <v>78.89</v>
      </c>
      <c r="H107" s="244">
        <f t="shared" si="8"/>
        <v>7.8890000000000002E-2</v>
      </c>
      <c r="I107" s="16">
        <v>0</v>
      </c>
      <c r="J107" s="5"/>
      <c r="K107" s="5"/>
      <c r="L107" s="5"/>
      <c r="M107" s="5"/>
      <c r="N107" s="5"/>
      <c r="O107" s="5"/>
      <c r="P107" s="5"/>
      <c r="Q107" s="5"/>
      <c r="R107" s="197"/>
      <c r="S107" s="197"/>
      <c r="T107" s="197"/>
      <c r="U107" s="197"/>
    </row>
    <row r="108" spans="1:21" ht="15.75" hidden="1" customHeight="1">
      <c r="A108" s="46"/>
      <c r="B108" s="138" t="s">
        <v>269</v>
      </c>
      <c r="C108" s="243" t="s">
        <v>218</v>
      </c>
      <c r="D108" s="81"/>
      <c r="E108" s="16"/>
      <c r="F108" s="16">
        <v>1</v>
      </c>
      <c r="G108" s="16">
        <v>89.15</v>
      </c>
      <c r="H108" s="244">
        <f t="shared" si="8"/>
        <v>8.9150000000000007E-2</v>
      </c>
      <c r="I108" s="16">
        <v>0</v>
      </c>
      <c r="J108" s="5"/>
      <c r="K108" s="5"/>
      <c r="L108" s="5"/>
      <c r="M108" s="5"/>
      <c r="N108" s="5"/>
      <c r="O108" s="5"/>
      <c r="P108" s="5"/>
      <c r="Q108" s="5"/>
      <c r="R108" s="197"/>
      <c r="S108" s="197"/>
      <c r="T108" s="197"/>
      <c r="U108" s="197"/>
    </row>
    <row r="109" spans="1:21" ht="15.75" hidden="1" customHeight="1">
      <c r="A109" s="46"/>
      <c r="B109" s="138" t="s">
        <v>277</v>
      </c>
      <c r="C109" s="243" t="s">
        <v>218</v>
      </c>
      <c r="D109" s="81"/>
      <c r="E109" s="16"/>
      <c r="F109" s="16">
        <v>2</v>
      </c>
      <c r="G109" s="16">
        <v>70</v>
      </c>
      <c r="H109" s="244">
        <f t="shared" si="8"/>
        <v>0.14000000000000001</v>
      </c>
      <c r="I109" s="16">
        <v>0</v>
      </c>
      <c r="J109" s="5"/>
      <c r="K109" s="5"/>
      <c r="L109" s="5"/>
      <c r="M109" s="5"/>
      <c r="N109" s="5"/>
      <c r="O109" s="5"/>
      <c r="P109" s="5"/>
      <c r="Q109" s="5"/>
      <c r="R109" s="197"/>
      <c r="S109" s="197"/>
      <c r="T109" s="197"/>
      <c r="U109" s="197"/>
    </row>
    <row r="110" spans="1:21" ht="15.75" hidden="1" customHeight="1">
      <c r="A110" s="46"/>
      <c r="B110" s="138" t="s">
        <v>278</v>
      </c>
      <c r="C110" s="243" t="s">
        <v>218</v>
      </c>
      <c r="D110" s="81"/>
      <c r="E110" s="16"/>
      <c r="F110" s="16">
        <v>1</v>
      </c>
      <c r="G110" s="16">
        <v>50</v>
      </c>
      <c r="H110" s="244">
        <f t="shared" si="8"/>
        <v>0.05</v>
      </c>
      <c r="I110" s="16">
        <v>0</v>
      </c>
      <c r="J110" s="5"/>
      <c r="K110" s="5"/>
      <c r="L110" s="5"/>
      <c r="M110" s="5"/>
      <c r="N110" s="5"/>
      <c r="O110" s="5"/>
      <c r="P110" s="5"/>
      <c r="Q110" s="5"/>
      <c r="R110" s="197"/>
      <c r="S110" s="197"/>
      <c r="T110" s="197"/>
      <c r="U110" s="197"/>
    </row>
    <row r="111" spans="1:21" ht="15.75" hidden="1" customHeight="1">
      <c r="A111" s="46"/>
      <c r="B111" s="138" t="s">
        <v>279</v>
      </c>
      <c r="C111" s="243" t="s">
        <v>218</v>
      </c>
      <c r="D111" s="81"/>
      <c r="E111" s="16"/>
      <c r="F111" s="16">
        <v>1</v>
      </c>
      <c r="G111" s="16">
        <v>238</v>
      </c>
      <c r="H111" s="244">
        <f t="shared" si="8"/>
        <v>0.23799999999999999</v>
      </c>
      <c r="I111" s="16">
        <v>0</v>
      </c>
      <c r="J111" s="5"/>
      <c r="K111" s="5"/>
      <c r="L111" s="5"/>
      <c r="M111" s="5"/>
      <c r="N111" s="5"/>
      <c r="O111" s="5"/>
      <c r="P111" s="5"/>
      <c r="Q111" s="5"/>
      <c r="R111" s="197"/>
      <c r="S111" s="197"/>
      <c r="T111" s="197"/>
      <c r="U111" s="197"/>
    </row>
    <row r="112" spans="1:21" ht="15.75" hidden="1" customHeight="1">
      <c r="A112" s="46"/>
      <c r="B112" s="138" t="s">
        <v>270</v>
      </c>
      <c r="C112" s="243" t="s">
        <v>218</v>
      </c>
      <c r="D112" s="81"/>
      <c r="E112" s="16"/>
      <c r="F112" s="16">
        <v>1</v>
      </c>
      <c r="G112" s="16">
        <v>86.15</v>
      </c>
      <c r="H112" s="244">
        <f t="shared" si="8"/>
        <v>8.6150000000000004E-2</v>
      </c>
      <c r="I112" s="16">
        <v>0</v>
      </c>
      <c r="J112" s="5"/>
      <c r="K112" s="5"/>
      <c r="L112" s="5"/>
      <c r="M112" s="5"/>
      <c r="N112" s="5"/>
      <c r="O112" s="5"/>
      <c r="P112" s="5"/>
      <c r="Q112" s="5"/>
      <c r="R112" s="197"/>
      <c r="S112" s="197"/>
      <c r="T112" s="197"/>
      <c r="U112" s="197"/>
    </row>
    <row r="113" spans="1:21" ht="15.75" hidden="1" customHeight="1">
      <c r="A113" s="46"/>
      <c r="B113" s="138" t="s">
        <v>280</v>
      </c>
      <c r="C113" s="243" t="s">
        <v>218</v>
      </c>
      <c r="D113" s="81"/>
      <c r="E113" s="16"/>
      <c r="F113" s="16">
        <v>2</v>
      </c>
      <c r="G113" s="16">
        <v>29282.880000000001</v>
      </c>
      <c r="H113" s="244">
        <f t="shared" si="8"/>
        <v>58.565760000000004</v>
      </c>
      <c r="I113" s="16">
        <v>0</v>
      </c>
      <c r="J113" s="5"/>
      <c r="K113" s="5"/>
      <c r="L113" s="5"/>
      <c r="M113" s="5"/>
      <c r="N113" s="5"/>
      <c r="O113" s="5"/>
      <c r="P113" s="5"/>
      <c r="Q113" s="5"/>
      <c r="R113" s="197"/>
      <c r="S113" s="197"/>
      <c r="T113" s="197"/>
      <c r="U113" s="197"/>
    </row>
    <row r="114" spans="1:21" ht="31.5" hidden="1" customHeight="1">
      <c r="A114" s="46"/>
      <c r="B114" s="138" t="s">
        <v>271</v>
      </c>
      <c r="C114" s="243" t="s">
        <v>110</v>
      </c>
      <c r="D114" s="81"/>
      <c r="E114" s="16"/>
      <c r="F114" s="16">
        <v>6</v>
      </c>
      <c r="G114" s="16">
        <v>1187</v>
      </c>
      <c r="H114" s="244">
        <f t="shared" si="8"/>
        <v>7.1219999999999999</v>
      </c>
      <c r="I114" s="16">
        <v>0</v>
      </c>
      <c r="J114" s="5"/>
      <c r="K114" s="5"/>
      <c r="L114" s="5"/>
      <c r="M114" s="5"/>
      <c r="N114" s="5"/>
      <c r="O114" s="5"/>
      <c r="P114" s="5"/>
      <c r="Q114" s="5"/>
      <c r="R114" s="197"/>
      <c r="S114" s="197"/>
      <c r="T114" s="197"/>
      <c r="U114" s="197"/>
    </row>
    <row r="115" spans="1:21" ht="31.5" hidden="1" customHeight="1">
      <c r="A115" s="46"/>
      <c r="B115" s="138" t="s">
        <v>272</v>
      </c>
      <c r="C115" s="243" t="s">
        <v>163</v>
      </c>
      <c r="D115" s="81"/>
      <c r="E115" s="16"/>
      <c r="F115" s="16">
        <f>70/10</f>
        <v>7</v>
      </c>
      <c r="G115" s="16">
        <v>2055.5300000000002</v>
      </c>
      <c r="H115" s="244">
        <f t="shared" si="8"/>
        <v>14.388710000000001</v>
      </c>
      <c r="I115" s="16">
        <v>0</v>
      </c>
      <c r="J115" s="5"/>
      <c r="K115" s="5"/>
      <c r="L115" s="5"/>
      <c r="M115" s="5"/>
      <c r="N115" s="5"/>
      <c r="O115" s="5"/>
      <c r="P115" s="5"/>
      <c r="Q115" s="5"/>
      <c r="R115" s="197"/>
      <c r="S115" s="197"/>
      <c r="T115" s="197"/>
      <c r="U115" s="197"/>
    </row>
    <row r="116" spans="1:21" ht="15.75" hidden="1" customHeight="1">
      <c r="A116" s="46"/>
      <c r="B116" s="138" t="s">
        <v>273</v>
      </c>
      <c r="C116" s="243" t="s">
        <v>274</v>
      </c>
      <c r="D116" s="81"/>
      <c r="E116" s="16"/>
      <c r="F116" s="16">
        <v>3</v>
      </c>
      <c r="G116" s="16">
        <v>1501</v>
      </c>
      <c r="H116" s="244">
        <f t="shared" si="8"/>
        <v>4.5030000000000001</v>
      </c>
      <c r="I116" s="16">
        <v>0</v>
      </c>
      <c r="J116" s="5"/>
      <c r="K116" s="5"/>
      <c r="L116" s="5"/>
      <c r="M116" s="5"/>
      <c r="N116" s="5"/>
      <c r="O116" s="5"/>
      <c r="P116" s="5"/>
      <c r="Q116" s="5"/>
      <c r="R116" s="197"/>
      <c r="S116" s="197"/>
      <c r="T116" s="197"/>
      <c r="U116" s="197"/>
    </row>
    <row r="117" spans="1:21" ht="32.25" hidden="1" customHeight="1">
      <c r="A117" s="46"/>
      <c r="B117" s="138" t="s">
        <v>275</v>
      </c>
      <c r="C117" s="243" t="s">
        <v>180</v>
      </c>
      <c r="D117" s="81"/>
      <c r="E117" s="16"/>
      <c r="F117" s="16">
        <v>2</v>
      </c>
      <c r="G117" s="16">
        <v>51.39</v>
      </c>
      <c r="H117" s="244">
        <v>0.05</v>
      </c>
      <c r="I117" s="16">
        <v>0</v>
      </c>
      <c r="J117" s="5"/>
      <c r="K117" s="5"/>
      <c r="L117" s="5"/>
      <c r="M117" s="5"/>
      <c r="N117" s="5"/>
      <c r="O117" s="5"/>
      <c r="P117" s="5"/>
      <c r="Q117" s="5"/>
      <c r="R117" s="197"/>
      <c r="S117" s="197"/>
      <c r="T117" s="197"/>
      <c r="U117" s="197"/>
    </row>
    <row r="118" spans="1:21" ht="32.25" hidden="1" customHeight="1">
      <c r="A118" s="46"/>
      <c r="B118" s="138" t="s">
        <v>276</v>
      </c>
      <c r="C118" s="193" t="s">
        <v>163</v>
      </c>
      <c r="D118" s="81"/>
      <c r="E118" s="16"/>
      <c r="F118" s="16">
        <f>0.33/10</f>
        <v>3.3000000000000002E-2</v>
      </c>
      <c r="G118" s="16">
        <v>8916.31</v>
      </c>
      <c r="H118" s="244">
        <f t="shared" ref="H118" si="9">G118*F118/1000</f>
        <v>0.29423822999999999</v>
      </c>
      <c r="I118" s="16">
        <v>0</v>
      </c>
      <c r="J118" s="5"/>
      <c r="K118" s="5"/>
      <c r="L118" s="5"/>
      <c r="M118" s="5"/>
      <c r="N118" s="5"/>
      <c r="O118" s="5"/>
      <c r="P118" s="5"/>
      <c r="Q118" s="5"/>
      <c r="R118" s="197"/>
      <c r="S118" s="197"/>
      <c r="T118" s="197"/>
      <c r="U118" s="197"/>
    </row>
    <row r="119" spans="1:21" ht="15.75" customHeight="1">
      <c r="A119" s="46"/>
      <c r="B119" s="75" t="s">
        <v>66</v>
      </c>
      <c r="C119" s="71"/>
      <c r="D119" s="124"/>
      <c r="E119" s="71">
        <v>1</v>
      </c>
      <c r="F119" s="71"/>
      <c r="G119" s="71"/>
      <c r="H119" s="71"/>
      <c r="I119" s="53">
        <f>SUM(I88:I118)</f>
        <v>5745.82</v>
      </c>
    </row>
    <row r="120" spans="1:21" ht="15.75" customHeight="1">
      <c r="A120" s="46"/>
      <c r="B120" s="81" t="s">
        <v>103</v>
      </c>
      <c r="C120" s="19"/>
      <c r="D120" s="19"/>
      <c r="E120" s="72"/>
      <c r="F120" s="72"/>
      <c r="G120" s="73"/>
      <c r="H120" s="73"/>
      <c r="I120" s="22">
        <v>0</v>
      </c>
    </row>
    <row r="121" spans="1:21" ht="15.75" customHeight="1">
      <c r="A121" s="125"/>
      <c r="B121" s="76" t="s">
        <v>67</v>
      </c>
      <c r="C121" s="59"/>
      <c r="D121" s="59"/>
      <c r="E121" s="59"/>
      <c r="F121" s="59"/>
      <c r="G121" s="59"/>
      <c r="H121" s="59"/>
      <c r="I121" s="74">
        <f>I86+I119</f>
        <v>110549.38249383331</v>
      </c>
    </row>
    <row r="122" spans="1:21" ht="15.75" customHeight="1">
      <c r="A122" s="223" t="s">
        <v>283</v>
      </c>
      <c r="B122" s="223"/>
      <c r="C122" s="223"/>
      <c r="D122" s="223"/>
      <c r="E122" s="223"/>
      <c r="F122" s="223"/>
      <c r="G122" s="223"/>
      <c r="H122" s="223"/>
      <c r="I122" s="223"/>
    </row>
    <row r="123" spans="1:21" ht="15.75" customHeight="1">
      <c r="A123" s="201"/>
      <c r="B123" s="224" t="s">
        <v>284</v>
      </c>
      <c r="C123" s="224"/>
      <c r="D123" s="224"/>
      <c r="E123" s="224"/>
      <c r="F123" s="224"/>
      <c r="G123" s="224"/>
      <c r="H123" s="241"/>
      <c r="I123" s="3"/>
    </row>
    <row r="124" spans="1:21" ht="15.75" customHeight="1">
      <c r="A124" s="197"/>
      <c r="B124" s="212" t="s">
        <v>7</v>
      </c>
      <c r="C124" s="212"/>
      <c r="D124" s="212"/>
      <c r="E124" s="212"/>
      <c r="F124" s="212"/>
      <c r="G124" s="212"/>
      <c r="H124" s="36"/>
      <c r="I124" s="5"/>
    </row>
    <row r="125" spans="1:21" ht="15.75" customHeight="1">
      <c r="A125" s="11"/>
      <c r="B125" s="11"/>
      <c r="C125" s="11"/>
      <c r="D125" s="11"/>
      <c r="E125" s="11"/>
      <c r="F125" s="11"/>
      <c r="G125" s="11"/>
      <c r="H125" s="11"/>
      <c r="I125" s="11"/>
    </row>
    <row r="126" spans="1:21" ht="15.75" customHeight="1">
      <c r="A126" s="225" t="s">
        <v>8</v>
      </c>
      <c r="B126" s="225"/>
      <c r="C126" s="225"/>
      <c r="D126" s="225"/>
      <c r="E126" s="225"/>
      <c r="F126" s="225"/>
      <c r="G126" s="225"/>
      <c r="H126" s="225"/>
      <c r="I126" s="225"/>
    </row>
    <row r="127" spans="1:21" ht="15.75" customHeight="1">
      <c r="A127" s="225" t="s">
        <v>9</v>
      </c>
      <c r="B127" s="225"/>
      <c r="C127" s="225"/>
      <c r="D127" s="225"/>
      <c r="E127" s="225"/>
      <c r="F127" s="225"/>
      <c r="G127" s="225"/>
      <c r="H127" s="225"/>
      <c r="I127" s="225"/>
    </row>
    <row r="128" spans="1:21" ht="15.75" customHeight="1">
      <c r="A128" s="221" t="s">
        <v>82</v>
      </c>
      <c r="B128" s="221"/>
      <c r="C128" s="221"/>
      <c r="D128" s="221"/>
      <c r="E128" s="221"/>
      <c r="F128" s="221"/>
      <c r="G128" s="221"/>
      <c r="H128" s="221"/>
      <c r="I128" s="221"/>
    </row>
    <row r="129" spans="1:9" ht="15.75" customHeight="1">
      <c r="A129" s="12"/>
    </row>
    <row r="130" spans="1:9" ht="15.75" customHeight="1">
      <c r="A130" s="222" t="s">
        <v>11</v>
      </c>
      <c r="B130" s="222"/>
      <c r="C130" s="222"/>
      <c r="D130" s="222"/>
      <c r="E130" s="222"/>
      <c r="F130" s="222"/>
      <c r="G130" s="222"/>
      <c r="H130" s="222"/>
      <c r="I130" s="222"/>
    </row>
    <row r="131" spans="1:9" ht="15.75" customHeight="1">
      <c r="A131" s="4"/>
    </row>
    <row r="132" spans="1:9" ht="15.75" customHeight="1">
      <c r="B132" s="200" t="s">
        <v>12</v>
      </c>
      <c r="C132" s="214" t="s">
        <v>142</v>
      </c>
      <c r="D132" s="214"/>
      <c r="E132" s="214"/>
      <c r="F132" s="239"/>
      <c r="I132" s="196"/>
    </row>
    <row r="133" spans="1:9" ht="15.75" customHeight="1">
      <c r="A133" s="197"/>
      <c r="C133" s="212" t="s">
        <v>13</v>
      </c>
      <c r="D133" s="212"/>
      <c r="E133" s="212"/>
      <c r="F133" s="36"/>
      <c r="I133" s="195" t="s">
        <v>14</v>
      </c>
    </row>
    <row r="134" spans="1:9" ht="15.75" customHeight="1">
      <c r="A134" s="37"/>
      <c r="C134" s="13"/>
      <c r="D134" s="13"/>
      <c r="G134" s="13"/>
      <c r="H134" s="13"/>
    </row>
    <row r="135" spans="1:9" ht="15.75" customHeight="1">
      <c r="B135" s="200" t="s">
        <v>15</v>
      </c>
      <c r="C135" s="213"/>
      <c r="D135" s="213"/>
      <c r="E135" s="213"/>
      <c r="F135" s="240"/>
      <c r="I135" s="196"/>
    </row>
    <row r="136" spans="1:9" ht="15.75" customHeight="1">
      <c r="A136" s="197"/>
      <c r="C136" s="207" t="s">
        <v>13</v>
      </c>
      <c r="D136" s="207"/>
      <c r="E136" s="207"/>
      <c r="F136" s="197"/>
      <c r="I136" s="195" t="s">
        <v>14</v>
      </c>
    </row>
    <row r="137" spans="1:9" ht="15.75" customHeight="1">
      <c r="A137" s="4" t="s">
        <v>16</v>
      </c>
    </row>
    <row r="138" spans="1:9" ht="15.75" customHeight="1">
      <c r="A138" s="220" t="s">
        <v>17</v>
      </c>
      <c r="B138" s="220"/>
      <c r="C138" s="220"/>
      <c r="D138" s="220"/>
      <c r="E138" s="220"/>
      <c r="F138" s="220"/>
      <c r="G138" s="220"/>
      <c r="H138" s="220"/>
      <c r="I138" s="220"/>
    </row>
    <row r="139" spans="1:9" ht="45" customHeight="1">
      <c r="A139" s="219" t="s">
        <v>18</v>
      </c>
      <c r="B139" s="219"/>
      <c r="C139" s="219"/>
      <c r="D139" s="219"/>
      <c r="E139" s="219"/>
      <c r="F139" s="219"/>
      <c r="G139" s="219"/>
      <c r="H139" s="219"/>
      <c r="I139" s="219"/>
    </row>
    <row r="140" spans="1:9" ht="30" customHeight="1">
      <c r="A140" s="219" t="s">
        <v>19</v>
      </c>
      <c r="B140" s="219"/>
      <c r="C140" s="219"/>
      <c r="D140" s="219"/>
      <c r="E140" s="219"/>
      <c r="F140" s="219"/>
      <c r="G140" s="219"/>
      <c r="H140" s="219"/>
      <c r="I140" s="219"/>
    </row>
    <row r="141" spans="1:9" ht="30" customHeight="1">
      <c r="A141" s="219" t="s">
        <v>24</v>
      </c>
      <c r="B141" s="219"/>
      <c r="C141" s="219"/>
      <c r="D141" s="219"/>
      <c r="E141" s="219"/>
      <c r="F141" s="219"/>
      <c r="G141" s="219"/>
      <c r="H141" s="219"/>
      <c r="I141" s="219"/>
    </row>
    <row r="142" spans="1:9" ht="15" customHeight="1">
      <c r="A142" s="219" t="s">
        <v>23</v>
      </c>
      <c r="B142" s="219"/>
      <c r="C142" s="219"/>
      <c r="D142" s="219"/>
      <c r="E142" s="219"/>
      <c r="F142" s="219"/>
      <c r="G142" s="219"/>
      <c r="H142" s="219"/>
      <c r="I142" s="219"/>
    </row>
  </sheetData>
  <autoFilter ref="I12:I62"/>
  <mergeCells count="28">
    <mergeCell ref="A139:I139"/>
    <mergeCell ref="A140:I140"/>
    <mergeCell ref="A141:I141"/>
    <mergeCell ref="A142:I142"/>
    <mergeCell ref="A130:I130"/>
    <mergeCell ref="C132:E132"/>
    <mergeCell ref="C133:E133"/>
    <mergeCell ref="C135:E135"/>
    <mergeCell ref="C136:E136"/>
    <mergeCell ref="A138:I138"/>
    <mergeCell ref="A122:I122"/>
    <mergeCell ref="B123:G123"/>
    <mergeCell ref="B124:G124"/>
    <mergeCell ref="A126:I126"/>
    <mergeCell ref="A127:I127"/>
    <mergeCell ref="A128:I128"/>
    <mergeCell ref="A15:I15"/>
    <mergeCell ref="A29:I29"/>
    <mergeCell ref="A47:I47"/>
    <mergeCell ref="A57:I57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1" t="s">
        <v>128</v>
      </c>
      <c r="I1" s="40"/>
      <c r="J1" s="1"/>
      <c r="K1" s="1"/>
      <c r="L1" s="1"/>
      <c r="M1" s="1"/>
    </row>
    <row r="2" spans="1:13" ht="15.75" customHeight="1">
      <c r="A2" s="42" t="s">
        <v>85</v>
      </c>
      <c r="J2" s="2"/>
      <c r="K2" s="2"/>
      <c r="L2" s="2"/>
      <c r="M2" s="2"/>
    </row>
    <row r="3" spans="1:13" ht="15.75" customHeight="1">
      <c r="A3" s="226" t="s">
        <v>311</v>
      </c>
      <c r="B3" s="226"/>
      <c r="C3" s="226"/>
      <c r="D3" s="226"/>
      <c r="E3" s="226"/>
      <c r="F3" s="226"/>
      <c r="G3" s="226"/>
      <c r="H3" s="226"/>
      <c r="I3" s="226"/>
      <c r="J3" s="3"/>
      <c r="K3" s="3"/>
      <c r="L3" s="3"/>
    </row>
    <row r="4" spans="1:13" ht="31.5" customHeight="1">
      <c r="A4" s="227" t="s">
        <v>228</v>
      </c>
      <c r="B4" s="227"/>
      <c r="C4" s="227"/>
      <c r="D4" s="227"/>
      <c r="E4" s="227"/>
      <c r="F4" s="227"/>
      <c r="G4" s="227"/>
      <c r="H4" s="227"/>
      <c r="I4" s="227"/>
    </row>
    <row r="5" spans="1:13" ht="15.75" customHeight="1">
      <c r="A5" s="226" t="s">
        <v>84</v>
      </c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5.75" customHeight="1">
      <c r="A6" s="2"/>
      <c r="B6" s="199"/>
      <c r="C6" s="199"/>
      <c r="D6" s="199"/>
      <c r="E6" s="199"/>
      <c r="F6" s="199"/>
      <c r="G6" s="199"/>
      <c r="H6" s="199"/>
      <c r="I6" s="51">
        <v>42674</v>
      </c>
      <c r="J6" s="2"/>
      <c r="K6" s="2"/>
      <c r="L6" s="2"/>
      <c r="M6" s="2"/>
    </row>
    <row r="7" spans="1:13" ht="15.75" customHeight="1">
      <c r="B7" s="200"/>
      <c r="C7" s="200"/>
      <c r="D7" s="20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5" t="s">
        <v>239</v>
      </c>
      <c r="B8" s="205"/>
      <c r="C8" s="205"/>
      <c r="D8" s="205"/>
      <c r="E8" s="205"/>
      <c r="F8" s="205"/>
      <c r="G8" s="205"/>
      <c r="H8" s="205"/>
      <c r="I8" s="20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06" t="s">
        <v>238</v>
      </c>
      <c r="B10" s="206"/>
      <c r="C10" s="206"/>
      <c r="D10" s="206"/>
      <c r="E10" s="206"/>
      <c r="F10" s="206"/>
      <c r="G10" s="206"/>
      <c r="H10" s="206"/>
      <c r="I10" s="20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29" t="s">
        <v>79</v>
      </c>
      <c r="B14" s="229"/>
      <c r="C14" s="229"/>
      <c r="D14" s="229"/>
      <c r="E14" s="229"/>
      <c r="F14" s="229"/>
      <c r="G14" s="229"/>
      <c r="H14" s="229"/>
      <c r="I14" s="229"/>
      <c r="J14" s="8"/>
      <c r="K14" s="8"/>
      <c r="L14" s="8"/>
      <c r="M14" s="8"/>
    </row>
    <row r="15" spans="1:13" ht="15.75" customHeight="1">
      <c r="A15" s="230" t="s">
        <v>4</v>
      </c>
      <c r="B15" s="230"/>
      <c r="C15" s="230"/>
      <c r="D15" s="230"/>
      <c r="E15" s="230"/>
      <c r="F15" s="230"/>
      <c r="G15" s="230"/>
      <c r="H15" s="230"/>
      <c r="I15" s="230"/>
      <c r="J15" s="8"/>
      <c r="K15" s="8"/>
      <c r="L15" s="8"/>
      <c r="M15" s="8"/>
    </row>
    <row r="16" spans="1:13" ht="15.75" customHeight="1">
      <c r="A16" s="46">
        <v>1</v>
      </c>
      <c r="B16" s="247" t="s">
        <v>130</v>
      </c>
      <c r="C16" s="248" t="s">
        <v>194</v>
      </c>
      <c r="D16" s="247" t="s">
        <v>195</v>
      </c>
      <c r="E16" s="249">
        <v>176.24</v>
      </c>
      <c r="F16" s="250">
        <f>SUM(E16*156/100)</f>
        <v>274.93440000000004</v>
      </c>
      <c r="G16" s="250">
        <v>187.48</v>
      </c>
      <c r="H16" s="251">
        <f t="shared" ref="H16:H26" si="0">SUM(F16*G16/1000)</f>
        <v>51.544701312000008</v>
      </c>
      <c r="I16" s="16">
        <f>F16/12*G16</f>
        <v>4295.3917760000004</v>
      </c>
      <c r="J16" s="8"/>
      <c r="K16" s="8"/>
      <c r="L16" s="8"/>
      <c r="M16" s="8"/>
    </row>
    <row r="17" spans="1:13" ht="15.75" customHeight="1">
      <c r="A17" s="46">
        <v>2</v>
      </c>
      <c r="B17" s="247" t="s">
        <v>151</v>
      </c>
      <c r="C17" s="248" t="s">
        <v>194</v>
      </c>
      <c r="D17" s="247" t="s">
        <v>196</v>
      </c>
      <c r="E17" s="249">
        <v>704.96</v>
      </c>
      <c r="F17" s="250">
        <f>SUM(E17*104/100)</f>
        <v>733.15839999999992</v>
      </c>
      <c r="G17" s="250">
        <v>187.48</v>
      </c>
      <c r="H17" s="251">
        <v>137.453</v>
      </c>
      <c r="I17" s="16">
        <f>F17/12*G17</f>
        <v>11454.378069333332</v>
      </c>
      <c r="J17" s="31"/>
      <c r="K17" s="8"/>
      <c r="L17" s="8"/>
      <c r="M17" s="8"/>
    </row>
    <row r="18" spans="1:13" ht="15.75" customHeight="1">
      <c r="A18" s="46">
        <v>3</v>
      </c>
      <c r="B18" s="247" t="s">
        <v>152</v>
      </c>
      <c r="C18" s="248" t="s">
        <v>194</v>
      </c>
      <c r="D18" s="247" t="s">
        <v>197</v>
      </c>
      <c r="E18" s="249">
        <f>SUM(E16+E17)</f>
        <v>881.2</v>
      </c>
      <c r="F18" s="250">
        <f>SUM(E18*24/100)</f>
        <v>211.48800000000003</v>
      </c>
      <c r="G18" s="250">
        <v>539.30999999999995</v>
      </c>
      <c r="H18" s="251">
        <f t="shared" si="0"/>
        <v>114.05759328000001</v>
      </c>
      <c r="I18" s="16">
        <f>F18/12*G18</f>
        <v>9504.7994400000007</v>
      </c>
      <c r="J18" s="31"/>
      <c r="K18" s="8"/>
      <c r="L18" s="8"/>
      <c r="M18" s="8"/>
    </row>
    <row r="19" spans="1:13" ht="15.75" hidden="1" customHeight="1">
      <c r="A19" s="46">
        <v>4</v>
      </c>
      <c r="B19" s="247" t="s">
        <v>198</v>
      </c>
      <c r="C19" s="248" t="s">
        <v>199</v>
      </c>
      <c r="D19" s="247" t="s">
        <v>200</v>
      </c>
      <c r="E19" s="249">
        <v>28.8</v>
      </c>
      <c r="F19" s="250">
        <f>SUM(E19/10)</f>
        <v>2.88</v>
      </c>
      <c r="G19" s="250">
        <v>181.91</v>
      </c>
      <c r="H19" s="251">
        <f t="shared" si="0"/>
        <v>0.52390080000000006</v>
      </c>
      <c r="I19" s="16">
        <v>0</v>
      </c>
      <c r="J19" s="31"/>
      <c r="K19" s="8"/>
      <c r="L19" s="8"/>
      <c r="M19" s="8"/>
    </row>
    <row r="20" spans="1:13" ht="15.75" customHeight="1">
      <c r="A20" s="46">
        <v>4</v>
      </c>
      <c r="B20" s="247" t="s">
        <v>164</v>
      </c>
      <c r="C20" s="248" t="s">
        <v>194</v>
      </c>
      <c r="D20" s="247" t="s">
        <v>36</v>
      </c>
      <c r="E20" s="249">
        <v>17.5</v>
      </c>
      <c r="F20" s="250">
        <f>SUM(E20*12/100)</f>
        <v>2.1</v>
      </c>
      <c r="G20" s="250">
        <v>232.92</v>
      </c>
      <c r="H20" s="251">
        <f t="shared" si="0"/>
        <v>0.48913200000000001</v>
      </c>
      <c r="I20" s="16">
        <f>F20/12*G20</f>
        <v>40.761000000000003</v>
      </c>
      <c r="J20" s="31"/>
      <c r="K20" s="8"/>
      <c r="L20" s="8"/>
      <c r="M20" s="8"/>
    </row>
    <row r="21" spans="1:13" ht="15.75" hidden="1" customHeight="1">
      <c r="A21" s="46">
        <v>5</v>
      </c>
      <c r="B21" s="247" t="s">
        <v>165</v>
      </c>
      <c r="C21" s="248" t="s">
        <v>194</v>
      </c>
      <c r="D21" s="247" t="s">
        <v>188</v>
      </c>
      <c r="E21" s="249">
        <v>5.94</v>
      </c>
      <c r="F21" s="250">
        <f>SUM(E21*6/100)</f>
        <v>0.35639999999999999</v>
      </c>
      <c r="G21" s="250">
        <v>231.03</v>
      </c>
      <c r="H21" s="251">
        <f t="shared" si="0"/>
        <v>8.2339091999999989E-2</v>
      </c>
      <c r="I21" s="16">
        <f>F21/6*G21</f>
        <v>13.723182</v>
      </c>
      <c r="J21" s="31"/>
      <c r="K21" s="8"/>
      <c r="L21" s="8"/>
      <c r="M21" s="8"/>
    </row>
    <row r="22" spans="1:13" ht="15.75" hidden="1" customHeight="1">
      <c r="A22" s="46">
        <v>7</v>
      </c>
      <c r="B22" s="247" t="s">
        <v>201</v>
      </c>
      <c r="C22" s="248" t="s">
        <v>68</v>
      </c>
      <c r="D22" s="247" t="s">
        <v>200</v>
      </c>
      <c r="E22" s="249">
        <v>376</v>
      </c>
      <c r="F22" s="250">
        <f>SUM(E22/100)</f>
        <v>3.76</v>
      </c>
      <c r="G22" s="250">
        <v>287.83999999999997</v>
      </c>
      <c r="H22" s="251">
        <f t="shared" si="0"/>
        <v>1.0822783999999999</v>
      </c>
      <c r="I22" s="16">
        <v>0</v>
      </c>
      <c r="J22" s="31"/>
      <c r="K22" s="8"/>
      <c r="L22" s="8"/>
      <c r="M22" s="8"/>
    </row>
    <row r="23" spans="1:13" ht="15.75" hidden="1" customHeight="1">
      <c r="A23" s="46">
        <v>8</v>
      </c>
      <c r="B23" s="247" t="s">
        <v>202</v>
      </c>
      <c r="C23" s="248" t="s">
        <v>68</v>
      </c>
      <c r="D23" s="247" t="s">
        <v>200</v>
      </c>
      <c r="E23" s="252">
        <v>60.4</v>
      </c>
      <c r="F23" s="250">
        <f>SUM(E23/100)</f>
        <v>0.60399999999999998</v>
      </c>
      <c r="G23" s="250">
        <v>47.34</v>
      </c>
      <c r="H23" s="251">
        <f t="shared" si="0"/>
        <v>2.8593360000000002E-2</v>
      </c>
      <c r="I23" s="16">
        <v>0</v>
      </c>
      <c r="J23" s="31"/>
      <c r="K23" s="8"/>
      <c r="L23" s="8"/>
      <c r="M23" s="8"/>
    </row>
    <row r="24" spans="1:13" ht="15.75" hidden="1" customHeight="1">
      <c r="A24" s="46">
        <v>9</v>
      </c>
      <c r="B24" s="247" t="s">
        <v>176</v>
      </c>
      <c r="C24" s="248" t="s">
        <v>68</v>
      </c>
      <c r="D24" s="247" t="s">
        <v>69</v>
      </c>
      <c r="E24" s="23">
        <v>25</v>
      </c>
      <c r="F24" s="253">
        <f>E24/100</f>
        <v>0.25</v>
      </c>
      <c r="G24" s="250">
        <v>416.62</v>
      </c>
      <c r="H24" s="251">
        <f>F24*G24/1000</f>
        <v>0.104155</v>
      </c>
      <c r="I24" s="16">
        <v>0</v>
      </c>
      <c r="J24" s="31"/>
      <c r="K24" s="8"/>
      <c r="L24" s="8"/>
      <c r="M24" s="8"/>
    </row>
    <row r="25" spans="1:13" ht="15.75" hidden="1" customHeight="1">
      <c r="A25" s="46">
        <v>10</v>
      </c>
      <c r="B25" s="247" t="s">
        <v>203</v>
      </c>
      <c r="C25" s="248" t="s">
        <v>68</v>
      </c>
      <c r="D25" s="247" t="s">
        <v>200</v>
      </c>
      <c r="E25" s="252">
        <v>23.75</v>
      </c>
      <c r="F25" s="250">
        <f>E25/100</f>
        <v>0.23749999999999999</v>
      </c>
      <c r="G25" s="250">
        <v>231.03</v>
      </c>
      <c r="H25" s="251">
        <f>F25*G25/1000</f>
        <v>5.4869624999999998E-2</v>
      </c>
      <c r="I25" s="16">
        <v>0</v>
      </c>
      <c r="J25" s="31"/>
      <c r="K25" s="8"/>
      <c r="L25" s="8"/>
      <c r="M25" s="8"/>
    </row>
    <row r="26" spans="1:13" ht="15.75" hidden="1" customHeight="1">
      <c r="A26" s="46">
        <v>11</v>
      </c>
      <c r="B26" s="247" t="s">
        <v>177</v>
      </c>
      <c r="C26" s="248" t="s">
        <v>68</v>
      </c>
      <c r="D26" s="247" t="s">
        <v>200</v>
      </c>
      <c r="E26" s="249">
        <v>10.63</v>
      </c>
      <c r="F26" s="250">
        <f>SUM(E26/100)</f>
        <v>0.10630000000000001</v>
      </c>
      <c r="G26" s="250">
        <v>556.74</v>
      </c>
      <c r="H26" s="251">
        <f t="shared" si="0"/>
        <v>5.9181462000000004E-2</v>
      </c>
      <c r="I26" s="16">
        <v>0</v>
      </c>
      <c r="J26" s="31"/>
      <c r="K26" s="8"/>
      <c r="L26" s="8"/>
      <c r="M26" s="8"/>
    </row>
    <row r="27" spans="1:13" ht="15.75" customHeight="1">
      <c r="A27" s="46">
        <v>5</v>
      </c>
      <c r="B27" s="247" t="s">
        <v>87</v>
      </c>
      <c r="C27" s="248" t="s">
        <v>40</v>
      </c>
      <c r="D27" s="247" t="s">
        <v>247</v>
      </c>
      <c r="E27" s="249">
        <v>0.1</v>
      </c>
      <c r="F27" s="250">
        <f>SUM(E27*365)</f>
        <v>36.5</v>
      </c>
      <c r="G27" s="250">
        <v>157.18</v>
      </c>
      <c r="H27" s="251">
        <f>SUM(F27*G27/1000)</f>
        <v>5.737070000000001</v>
      </c>
      <c r="I27" s="16">
        <f>F27/12*G27</f>
        <v>478.08916666666664</v>
      </c>
      <c r="J27" s="32"/>
    </row>
    <row r="28" spans="1:13" ht="15.75" customHeight="1">
      <c r="A28" s="46">
        <v>6</v>
      </c>
      <c r="B28" s="255" t="s">
        <v>26</v>
      </c>
      <c r="C28" s="248" t="s">
        <v>27</v>
      </c>
      <c r="D28" s="255" t="s">
        <v>247</v>
      </c>
      <c r="E28" s="249">
        <v>5816.5</v>
      </c>
      <c r="F28" s="250">
        <f>SUM(E28*12)</f>
        <v>69798</v>
      </c>
      <c r="G28" s="250">
        <v>4.72</v>
      </c>
      <c r="H28" s="251">
        <f>SUM(F28*G28/1000)</f>
        <v>329.44655999999998</v>
      </c>
      <c r="I28" s="16">
        <f>F28/12*G28</f>
        <v>27453.879999999997</v>
      </c>
      <c r="J28" s="32"/>
    </row>
    <row r="29" spans="1:13" ht="15.75" customHeight="1">
      <c r="A29" s="230" t="s">
        <v>122</v>
      </c>
      <c r="B29" s="230"/>
      <c r="C29" s="230"/>
      <c r="D29" s="230"/>
      <c r="E29" s="230"/>
      <c r="F29" s="230"/>
      <c r="G29" s="230"/>
      <c r="H29" s="230"/>
      <c r="I29" s="230"/>
      <c r="J29" s="31"/>
      <c r="K29" s="8"/>
      <c r="L29" s="8"/>
      <c r="M29" s="8"/>
    </row>
    <row r="30" spans="1:13" ht="15.75" customHeight="1">
      <c r="A30" s="46"/>
      <c r="B30" s="268" t="s">
        <v>34</v>
      </c>
      <c r="C30" s="248"/>
      <c r="D30" s="247"/>
      <c r="E30" s="249"/>
      <c r="F30" s="250"/>
      <c r="G30" s="250"/>
      <c r="H30" s="251"/>
      <c r="I30" s="16"/>
      <c r="J30" s="31"/>
      <c r="K30" s="8"/>
      <c r="L30" s="8"/>
      <c r="M30" s="8"/>
    </row>
    <row r="31" spans="1:13" ht="15.75" customHeight="1">
      <c r="A31" s="46">
        <v>7</v>
      </c>
      <c r="B31" s="247" t="s">
        <v>204</v>
      </c>
      <c r="C31" s="248" t="s">
        <v>205</v>
      </c>
      <c r="D31" s="247" t="s">
        <v>206</v>
      </c>
      <c r="E31" s="250">
        <v>357.22</v>
      </c>
      <c r="F31" s="250">
        <f>SUM(E31*52/1000)</f>
        <v>18.575440000000004</v>
      </c>
      <c r="G31" s="250">
        <v>166.65</v>
      </c>
      <c r="H31" s="251">
        <f t="shared" ref="H31:H38" si="1">SUM(F31*G31/1000)</f>
        <v>3.0955970760000011</v>
      </c>
      <c r="I31" s="16">
        <f>F31/6*G31</f>
        <v>515.93284600000015</v>
      </c>
      <c r="J31" s="31"/>
      <c r="K31" s="8"/>
      <c r="L31" s="8"/>
      <c r="M31" s="8"/>
    </row>
    <row r="32" spans="1:13" ht="31.5" customHeight="1">
      <c r="A32" s="46">
        <v>8</v>
      </c>
      <c r="B32" s="247" t="s">
        <v>281</v>
      </c>
      <c r="C32" s="248" t="s">
        <v>205</v>
      </c>
      <c r="D32" s="247" t="s">
        <v>208</v>
      </c>
      <c r="E32" s="250">
        <v>475.06</v>
      </c>
      <c r="F32" s="250">
        <f>SUM(E32*78/1000)</f>
        <v>37.054679999999998</v>
      </c>
      <c r="G32" s="250">
        <v>276.48</v>
      </c>
      <c r="H32" s="251">
        <f t="shared" si="1"/>
        <v>10.244877926400001</v>
      </c>
      <c r="I32" s="16">
        <f t="shared" ref="I32:I35" si="2">F32/6*G32</f>
        <v>1707.4796544000001</v>
      </c>
      <c r="J32" s="31"/>
      <c r="K32" s="8"/>
      <c r="L32" s="8"/>
      <c r="M32" s="8"/>
    </row>
    <row r="33" spans="1:14" ht="15.75" hidden="1" customHeight="1">
      <c r="A33" s="46">
        <v>16</v>
      </c>
      <c r="B33" s="247" t="s">
        <v>33</v>
      </c>
      <c r="C33" s="248" t="s">
        <v>205</v>
      </c>
      <c r="D33" s="247" t="s">
        <v>69</v>
      </c>
      <c r="E33" s="250">
        <v>357.22</v>
      </c>
      <c r="F33" s="250">
        <f>SUM(E33/1000)</f>
        <v>0.35722000000000004</v>
      </c>
      <c r="G33" s="250">
        <v>3228.73</v>
      </c>
      <c r="H33" s="251">
        <f t="shared" si="1"/>
        <v>1.1533669306000001</v>
      </c>
      <c r="I33" s="16">
        <f>F33*G33</f>
        <v>1153.3669306000002</v>
      </c>
      <c r="J33" s="31"/>
      <c r="K33" s="8"/>
      <c r="L33" s="8"/>
      <c r="M33" s="8"/>
    </row>
    <row r="34" spans="1:14" ht="15.75" customHeight="1">
      <c r="A34" s="46">
        <v>9</v>
      </c>
      <c r="B34" s="247" t="s">
        <v>245</v>
      </c>
      <c r="C34" s="248" t="s">
        <v>51</v>
      </c>
      <c r="D34" s="247" t="s">
        <v>246</v>
      </c>
      <c r="E34" s="250">
        <v>5</v>
      </c>
      <c r="F34" s="250">
        <f>E34*155/100</f>
        <v>7.75</v>
      </c>
      <c r="G34" s="250">
        <v>1391.86</v>
      </c>
      <c r="H34" s="251">
        <f>G34*F34/1000</f>
        <v>10.786914999999999</v>
      </c>
      <c r="I34" s="16">
        <f t="shared" si="2"/>
        <v>1797.8191666666667</v>
      </c>
      <c r="J34" s="31"/>
      <c r="K34" s="8"/>
      <c r="L34" s="8"/>
      <c r="M34" s="8"/>
    </row>
    <row r="35" spans="1:14" ht="15.75" customHeight="1">
      <c r="A35" s="46">
        <v>10</v>
      </c>
      <c r="B35" s="247" t="s">
        <v>210</v>
      </c>
      <c r="C35" s="248" t="s">
        <v>37</v>
      </c>
      <c r="D35" s="247" t="s">
        <v>86</v>
      </c>
      <c r="E35" s="254">
        <v>0.33333333333333331</v>
      </c>
      <c r="F35" s="250">
        <f>155/3</f>
        <v>51.666666666666664</v>
      </c>
      <c r="G35" s="250">
        <v>60.6</v>
      </c>
      <c r="H35" s="251">
        <f>SUM(G35*155/3/1000)</f>
        <v>3.1309999999999998</v>
      </c>
      <c r="I35" s="16">
        <f t="shared" si="2"/>
        <v>521.83333333333337</v>
      </c>
      <c r="J35" s="31"/>
      <c r="K35" s="8"/>
    </row>
    <row r="36" spans="1:14" ht="15.75" hidden="1" customHeight="1">
      <c r="A36" s="46"/>
      <c r="B36" s="247" t="s">
        <v>88</v>
      </c>
      <c r="C36" s="248" t="s">
        <v>40</v>
      </c>
      <c r="D36" s="247" t="s">
        <v>90</v>
      </c>
      <c r="E36" s="249"/>
      <c r="F36" s="250">
        <v>3</v>
      </c>
      <c r="G36" s="250">
        <v>204.52</v>
      </c>
      <c r="H36" s="251">
        <f t="shared" si="1"/>
        <v>0.61356000000000011</v>
      </c>
      <c r="I36" s="16">
        <v>0</v>
      </c>
      <c r="J36" s="32"/>
    </row>
    <row r="37" spans="1:14" ht="15.75" hidden="1" customHeight="1">
      <c r="A37" s="46"/>
      <c r="B37" s="247" t="s">
        <v>89</v>
      </c>
      <c r="C37" s="248" t="s">
        <v>39</v>
      </c>
      <c r="D37" s="247" t="s">
        <v>90</v>
      </c>
      <c r="E37" s="249"/>
      <c r="F37" s="250">
        <v>2</v>
      </c>
      <c r="G37" s="250">
        <v>1214.74</v>
      </c>
      <c r="H37" s="251">
        <f t="shared" si="1"/>
        <v>2.4294799999999999</v>
      </c>
      <c r="I37" s="16">
        <v>0</v>
      </c>
      <c r="J37" s="32"/>
    </row>
    <row r="38" spans="1:14" ht="15.75" hidden="1" customHeight="1">
      <c r="A38" s="46"/>
      <c r="B38" s="138" t="s">
        <v>248</v>
      </c>
      <c r="C38" s="243" t="s">
        <v>35</v>
      </c>
      <c r="D38" s="247"/>
      <c r="E38" s="249">
        <v>360.36</v>
      </c>
      <c r="F38" s="250">
        <f>E38*36/1000</f>
        <v>12.97296</v>
      </c>
      <c r="G38" s="250">
        <v>3228.73</v>
      </c>
      <c r="H38" s="251">
        <f t="shared" si="1"/>
        <v>41.886185140800002</v>
      </c>
      <c r="I38" s="16">
        <v>0</v>
      </c>
      <c r="J38" s="32"/>
    </row>
    <row r="39" spans="1:14" ht="15.75" hidden="1" customHeight="1">
      <c r="A39" s="46"/>
      <c r="B39" s="268" t="s">
        <v>5</v>
      </c>
      <c r="C39" s="248"/>
      <c r="D39" s="247"/>
      <c r="E39" s="249"/>
      <c r="F39" s="250"/>
      <c r="G39" s="250"/>
      <c r="H39" s="251" t="s">
        <v>225</v>
      </c>
      <c r="I39" s="16"/>
      <c r="J39" s="32"/>
    </row>
    <row r="40" spans="1:14" ht="15.75" hidden="1" customHeight="1">
      <c r="A40" s="46">
        <v>8</v>
      </c>
      <c r="B40" s="247" t="s">
        <v>31</v>
      </c>
      <c r="C40" s="248" t="s">
        <v>39</v>
      </c>
      <c r="D40" s="247"/>
      <c r="E40" s="249"/>
      <c r="F40" s="250">
        <v>10</v>
      </c>
      <c r="G40" s="250">
        <v>1632.6</v>
      </c>
      <c r="H40" s="251">
        <f t="shared" ref="H40:H46" si="3">SUM(F40*G40/1000)</f>
        <v>16.326000000000001</v>
      </c>
      <c r="I40" s="16">
        <f>F40/6*G40</f>
        <v>2721</v>
      </c>
      <c r="J40" s="32"/>
      <c r="L40" s="25"/>
      <c r="M40" s="26"/>
      <c r="N40" s="27"/>
    </row>
    <row r="41" spans="1:14" ht="15.75" hidden="1" customHeight="1">
      <c r="A41" s="46">
        <v>9</v>
      </c>
      <c r="B41" s="247" t="s">
        <v>91</v>
      </c>
      <c r="C41" s="248" t="s">
        <v>35</v>
      </c>
      <c r="D41" s="247" t="s">
        <v>211</v>
      </c>
      <c r="E41" s="250">
        <v>469.73</v>
      </c>
      <c r="F41" s="250">
        <f>SUM(E41*30/1000)</f>
        <v>14.091900000000001</v>
      </c>
      <c r="G41" s="250">
        <v>2247.8000000000002</v>
      </c>
      <c r="H41" s="251">
        <f t="shared" si="3"/>
        <v>31.675772820000006</v>
      </c>
      <c r="I41" s="16">
        <f>F41/6*G41</f>
        <v>5279.2954700000009</v>
      </c>
      <c r="J41" s="32"/>
      <c r="L41" s="25"/>
      <c r="M41" s="26"/>
      <c r="N41" s="27"/>
    </row>
    <row r="42" spans="1:14" ht="15.75" hidden="1" customHeight="1">
      <c r="A42" s="46"/>
      <c r="B42" s="247" t="s">
        <v>156</v>
      </c>
      <c r="C42" s="248" t="s">
        <v>229</v>
      </c>
      <c r="D42" s="247" t="s">
        <v>90</v>
      </c>
      <c r="E42" s="249"/>
      <c r="F42" s="250">
        <v>120</v>
      </c>
      <c r="G42" s="250">
        <v>213.2</v>
      </c>
      <c r="H42" s="251">
        <f t="shared" si="3"/>
        <v>25.584</v>
      </c>
      <c r="I42" s="16">
        <v>0</v>
      </c>
      <c r="J42" s="32"/>
      <c r="L42" s="25"/>
      <c r="M42" s="26"/>
      <c r="N42" s="27"/>
    </row>
    <row r="43" spans="1:14" ht="15.75" hidden="1" customHeight="1">
      <c r="A43" s="46">
        <v>10</v>
      </c>
      <c r="B43" s="247" t="s">
        <v>92</v>
      </c>
      <c r="C43" s="248" t="s">
        <v>35</v>
      </c>
      <c r="D43" s="247" t="s">
        <v>212</v>
      </c>
      <c r="E43" s="250">
        <v>475.06</v>
      </c>
      <c r="F43" s="250">
        <f>SUM(E43*155/1000)</f>
        <v>73.634299999999996</v>
      </c>
      <c r="G43" s="250">
        <v>374.95</v>
      </c>
      <c r="H43" s="251">
        <f t="shared" si="3"/>
        <v>27.609180784999996</v>
      </c>
      <c r="I43" s="16">
        <f>F43/6*G43</f>
        <v>4601.5301308333328</v>
      </c>
      <c r="J43" s="32"/>
      <c r="L43" s="25"/>
      <c r="M43" s="26"/>
      <c r="N43" s="27"/>
    </row>
    <row r="44" spans="1:14" ht="47.25" hidden="1" customHeight="1">
      <c r="A44" s="46">
        <v>11</v>
      </c>
      <c r="B44" s="247" t="s">
        <v>118</v>
      </c>
      <c r="C44" s="248" t="s">
        <v>205</v>
      </c>
      <c r="D44" s="247" t="s">
        <v>230</v>
      </c>
      <c r="E44" s="250">
        <v>40.6</v>
      </c>
      <c r="F44" s="250">
        <f>SUM(E44*35/1000)</f>
        <v>1.421</v>
      </c>
      <c r="G44" s="250">
        <v>6203.7</v>
      </c>
      <c r="H44" s="251">
        <f t="shared" si="3"/>
        <v>8.8154577000000014</v>
      </c>
      <c r="I44" s="16">
        <f>F44/6*G44</f>
        <v>1469.2429500000001</v>
      </c>
      <c r="J44" s="32"/>
      <c r="L44" s="25"/>
      <c r="M44" s="26"/>
      <c r="N44" s="27"/>
    </row>
    <row r="45" spans="1:14" ht="15.75" hidden="1" customHeight="1">
      <c r="A45" s="46">
        <v>12</v>
      </c>
      <c r="B45" s="247" t="s">
        <v>213</v>
      </c>
      <c r="C45" s="248" t="s">
        <v>205</v>
      </c>
      <c r="D45" s="247" t="s">
        <v>93</v>
      </c>
      <c r="E45" s="250">
        <v>167.03</v>
      </c>
      <c r="F45" s="250">
        <f>SUM(E45*45/1000)</f>
        <v>7.5163500000000001</v>
      </c>
      <c r="G45" s="250">
        <v>458.28</v>
      </c>
      <c r="H45" s="251">
        <f t="shared" si="3"/>
        <v>3.4445928779999999</v>
      </c>
      <c r="I45" s="16">
        <f>F45/6*G45</f>
        <v>574.09881299999995</v>
      </c>
      <c r="J45" s="32"/>
      <c r="L45" s="25"/>
      <c r="M45" s="26"/>
      <c r="N45" s="27"/>
    </row>
    <row r="46" spans="1:14" ht="15.75" hidden="1" customHeight="1">
      <c r="A46" s="46">
        <v>13</v>
      </c>
      <c r="B46" s="247" t="s">
        <v>94</v>
      </c>
      <c r="C46" s="248" t="s">
        <v>40</v>
      </c>
      <c r="D46" s="247"/>
      <c r="E46" s="249"/>
      <c r="F46" s="250">
        <v>1.2</v>
      </c>
      <c r="G46" s="250">
        <v>853.06</v>
      </c>
      <c r="H46" s="251">
        <f t="shared" si="3"/>
        <v>1.0236719999999999</v>
      </c>
      <c r="I46" s="16">
        <f>F46/6*G46</f>
        <v>170.61199999999997</v>
      </c>
      <c r="J46" s="32"/>
      <c r="L46" s="25"/>
      <c r="M46" s="26"/>
      <c r="N46" s="27"/>
    </row>
    <row r="47" spans="1:14" ht="15.75" customHeight="1">
      <c r="A47" s="231" t="s">
        <v>240</v>
      </c>
      <c r="B47" s="232"/>
      <c r="C47" s="232"/>
      <c r="D47" s="232"/>
      <c r="E47" s="232"/>
      <c r="F47" s="232"/>
      <c r="G47" s="232"/>
      <c r="H47" s="232"/>
      <c r="I47" s="233"/>
      <c r="J47" s="32"/>
      <c r="L47" s="25"/>
      <c r="M47" s="26"/>
      <c r="N47" s="27"/>
    </row>
    <row r="48" spans="1:14" ht="15.75" hidden="1" customHeight="1">
      <c r="A48" s="46"/>
      <c r="B48" s="247" t="s">
        <v>214</v>
      </c>
      <c r="C48" s="248" t="s">
        <v>205</v>
      </c>
      <c r="D48" s="247" t="s">
        <v>55</v>
      </c>
      <c r="E48" s="249">
        <v>1603.6</v>
      </c>
      <c r="F48" s="250">
        <f>SUM(E48*2/1000)</f>
        <v>3.2071999999999998</v>
      </c>
      <c r="G48" s="16">
        <v>908.11</v>
      </c>
      <c r="H48" s="251">
        <f t="shared" ref="H48:H56" si="4">SUM(F48*G48/1000)</f>
        <v>2.9124903919999996</v>
      </c>
      <c r="I48" s="16">
        <v>0</v>
      </c>
      <c r="J48" s="32"/>
      <c r="L48" s="25"/>
      <c r="M48" s="26"/>
      <c r="N48" s="27"/>
    </row>
    <row r="49" spans="1:22" ht="15.75" hidden="1" customHeight="1">
      <c r="A49" s="46"/>
      <c r="B49" s="247" t="s">
        <v>44</v>
      </c>
      <c r="C49" s="248" t="s">
        <v>205</v>
      </c>
      <c r="D49" s="247" t="s">
        <v>55</v>
      </c>
      <c r="E49" s="249">
        <v>65</v>
      </c>
      <c r="F49" s="250">
        <f>SUM(E49*2/1000)</f>
        <v>0.13</v>
      </c>
      <c r="G49" s="16">
        <v>619.46</v>
      </c>
      <c r="H49" s="251">
        <f t="shared" si="4"/>
        <v>8.0529800000000012E-2</v>
      </c>
      <c r="I49" s="16">
        <v>0</v>
      </c>
      <c r="J49" s="32"/>
      <c r="L49" s="25"/>
      <c r="M49" s="26"/>
      <c r="N49" s="27"/>
    </row>
    <row r="50" spans="1:22" ht="15.75" hidden="1" customHeight="1">
      <c r="A50" s="46"/>
      <c r="B50" s="247" t="s">
        <v>45</v>
      </c>
      <c r="C50" s="248" t="s">
        <v>205</v>
      </c>
      <c r="D50" s="247" t="s">
        <v>55</v>
      </c>
      <c r="E50" s="249">
        <v>1825.8</v>
      </c>
      <c r="F50" s="250">
        <f>SUM(E50*2/1000)</f>
        <v>3.6515999999999997</v>
      </c>
      <c r="G50" s="16">
        <v>619.46</v>
      </c>
      <c r="H50" s="251">
        <f t="shared" si="4"/>
        <v>2.2620201360000003</v>
      </c>
      <c r="I50" s="16">
        <v>0</v>
      </c>
      <c r="J50" s="32"/>
      <c r="L50" s="25"/>
      <c r="M50" s="26"/>
      <c r="N50" s="27"/>
    </row>
    <row r="51" spans="1:22" ht="15.75" hidden="1" customHeight="1">
      <c r="A51" s="46"/>
      <c r="B51" s="247" t="s">
        <v>46</v>
      </c>
      <c r="C51" s="248" t="s">
        <v>205</v>
      </c>
      <c r="D51" s="247" t="s">
        <v>55</v>
      </c>
      <c r="E51" s="249">
        <v>3163.96</v>
      </c>
      <c r="F51" s="250">
        <f>SUM(E51*2/1000)</f>
        <v>6.3279199999999998</v>
      </c>
      <c r="G51" s="16">
        <v>648.64</v>
      </c>
      <c r="H51" s="251">
        <f t="shared" si="4"/>
        <v>4.1045420287999992</v>
      </c>
      <c r="I51" s="16">
        <v>0</v>
      </c>
      <c r="J51" s="32"/>
      <c r="L51" s="25"/>
      <c r="M51" s="26"/>
      <c r="N51" s="27"/>
    </row>
    <row r="52" spans="1:22" ht="15.75" hidden="1" customHeight="1">
      <c r="A52" s="46">
        <v>14</v>
      </c>
      <c r="B52" s="247" t="s">
        <v>76</v>
      </c>
      <c r="C52" s="248" t="s">
        <v>205</v>
      </c>
      <c r="D52" s="247" t="s">
        <v>282</v>
      </c>
      <c r="E52" s="249">
        <v>1583</v>
      </c>
      <c r="F52" s="250">
        <f>SUM(E52*5/1000)</f>
        <v>7.915</v>
      </c>
      <c r="G52" s="16">
        <v>1297.28</v>
      </c>
      <c r="H52" s="251">
        <f t="shared" si="4"/>
        <v>10.2679712</v>
      </c>
      <c r="I52" s="16">
        <f>F52/5*G52</f>
        <v>2053.5942399999999</v>
      </c>
      <c r="J52" s="32"/>
      <c r="L52" s="25"/>
      <c r="M52" s="26"/>
      <c r="N52" s="27"/>
    </row>
    <row r="53" spans="1:22" ht="31.5" customHeight="1">
      <c r="A53" s="46">
        <v>11</v>
      </c>
      <c r="B53" s="247" t="s">
        <v>216</v>
      </c>
      <c r="C53" s="248" t="s">
        <v>205</v>
      </c>
      <c r="D53" s="247" t="s">
        <v>55</v>
      </c>
      <c r="E53" s="249">
        <v>1583</v>
      </c>
      <c r="F53" s="250">
        <f>SUM(E53*2/1000)</f>
        <v>3.1659999999999999</v>
      </c>
      <c r="G53" s="16">
        <v>1297.28</v>
      </c>
      <c r="H53" s="251">
        <f t="shared" si="4"/>
        <v>4.1071884799999996</v>
      </c>
      <c r="I53" s="16">
        <f>F53/2*G53</f>
        <v>2053.5942399999999</v>
      </c>
      <c r="J53" s="32"/>
      <c r="L53" s="25"/>
      <c r="M53" s="26"/>
      <c r="N53" s="27"/>
    </row>
    <row r="54" spans="1:22" ht="31.5" customHeight="1">
      <c r="A54" s="46">
        <v>12</v>
      </c>
      <c r="B54" s="247" t="s">
        <v>217</v>
      </c>
      <c r="C54" s="248" t="s">
        <v>49</v>
      </c>
      <c r="D54" s="247" t="s">
        <v>55</v>
      </c>
      <c r="E54" s="249">
        <v>25</v>
      </c>
      <c r="F54" s="250">
        <f>SUM(E54*2/100)</f>
        <v>0.5</v>
      </c>
      <c r="G54" s="16">
        <v>2918.89</v>
      </c>
      <c r="H54" s="251">
        <f t="shared" si="4"/>
        <v>1.4594449999999999</v>
      </c>
      <c r="I54" s="16">
        <f t="shared" ref="I54:I55" si="5">F54/2*G54</f>
        <v>729.72249999999997</v>
      </c>
      <c r="J54" s="32"/>
      <c r="L54" s="25"/>
      <c r="M54" s="26"/>
      <c r="N54" s="27"/>
    </row>
    <row r="55" spans="1:22" ht="15.75" customHeight="1">
      <c r="A55" s="46">
        <v>13</v>
      </c>
      <c r="B55" s="247" t="s">
        <v>50</v>
      </c>
      <c r="C55" s="248" t="s">
        <v>51</v>
      </c>
      <c r="D55" s="247" t="s">
        <v>55</v>
      </c>
      <c r="E55" s="249">
        <v>1</v>
      </c>
      <c r="F55" s="250">
        <v>0.02</v>
      </c>
      <c r="G55" s="16">
        <v>6042.12</v>
      </c>
      <c r="H55" s="251">
        <f t="shared" si="4"/>
        <v>0.1208424</v>
      </c>
      <c r="I55" s="16">
        <f t="shared" si="5"/>
        <v>60.421199999999999</v>
      </c>
      <c r="J55" s="32"/>
      <c r="L55" s="25"/>
      <c r="M55" s="26"/>
      <c r="N55" s="27"/>
    </row>
    <row r="56" spans="1:22" ht="15.75" hidden="1" customHeight="1">
      <c r="A56" s="46">
        <v>15</v>
      </c>
      <c r="B56" s="247" t="s">
        <v>54</v>
      </c>
      <c r="C56" s="248" t="s">
        <v>37</v>
      </c>
      <c r="D56" s="247" t="s">
        <v>95</v>
      </c>
      <c r="E56" s="249">
        <v>36</v>
      </c>
      <c r="F56" s="250">
        <f>SUM(E56)*3</f>
        <v>108</v>
      </c>
      <c r="G56" s="16">
        <v>70.209999999999994</v>
      </c>
      <c r="H56" s="251">
        <f t="shared" si="4"/>
        <v>7.582679999999999</v>
      </c>
      <c r="I56" s="16">
        <f>E56*G56</f>
        <v>2527.56</v>
      </c>
      <c r="J56" s="32"/>
      <c r="L56" s="25"/>
      <c r="M56" s="26"/>
      <c r="N56" s="27"/>
    </row>
    <row r="57" spans="1:22" ht="15.75" customHeight="1">
      <c r="A57" s="231" t="s">
        <v>241</v>
      </c>
      <c r="B57" s="232"/>
      <c r="C57" s="232"/>
      <c r="D57" s="232"/>
      <c r="E57" s="232"/>
      <c r="F57" s="232"/>
      <c r="G57" s="232"/>
      <c r="H57" s="232"/>
      <c r="I57" s="233"/>
      <c r="J57" s="32"/>
      <c r="L57" s="25"/>
      <c r="M57" s="26"/>
      <c r="N57" s="27"/>
    </row>
    <row r="58" spans="1:22" ht="15.75" hidden="1" customHeight="1">
      <c r="A58" s="46"/>
      <c r="B58" s="268" t="s">
        <v>56</v>
      </c>
      <c r="C58" s="248"/>
      <c r="D58" s="247"/>
      <c r="E58" s="249"/>
      <c r="F58" s="250"/>
      <c r="G58" s="250"/>
      <c r="H58" s="251"/>
      <c r="I58" s="16"/>
      <c r="J58" s="32"/>
      <c r="L58" s="25"/>
      <c r="M58" s="26"/>
      <c r="N58" s="27"/>
    </row>
    <row r="59" spans="1:22" ht="31.5" hidden="1" customHeight="1">
      <c r="A59" s="46">
        <v>16</v>
      </c>
      <c r="B59" s="247" t="s">
        <v>231</v>
      </c>
      <c r="C59" s="248" t="s">
        <v>194</v>
      </c>
      <c r="D59" s="247" t="s">
        <v>96</v>
      </c>
      <c r="E59" s="256">
        <v>3.78</v>
      </c>
      <c r="F59" s="16">
        <f>E59*6/100</f>
        <v>0.2268</v>
      </c>
      <c r="G59" s="250">
        <v>1654.04</v>
      </c>
      <c r="H59" s="251">
        <f>SUM(F59*G59/1000)</f>
        <v>0.37513627199999999</v>
      </c>
      <c r="I59" s="16">
        <f>F59/6*G59</f>
        <v>62.522711999999999</v>
      </c>
      <c r="J59" s="32"/>
      <c r="L59" s="25"/>
      <c r="M59" s="26"/>
      <c r="N59" s="27"/>
    </row>
    <row r="60" spans="1:22" ht="31.5" hidden="1" customHeight="1">
      <c r="A60" s="46">
        <v>17</v>
      </c>
      <c r="B60" s="247" t="s">
        <v>219</v>
      </c>
      <c r="C60" s="248" t="s">
        <v>194</v>
      </c>
      <c r="D60" s="247" t="s">
        <v>96</v>
      </c>
      <c r="E60" s="249">
        <v>185.36</v>
      </c>
      <c r="F60" s="250">
        <f>E60*6/100</f>
        <v>11.121600000000001</v>
      </c>
      <c r="G60" s="257">
        <v>1654.04</v>
      </c>
      <c r="H60" s="251">
        <f>F60*G60/1000</f>
        <v>18.395571264000001</v>
      </c>
      <c r="I60" s="16">
        <f>F60/6*G60</f>
        <v>3065.9285440000003</v>
      </c>
      <c r="J60" s="32"/>
      <c r="L60" s="25"/>
    </row>
    <row r="61" spans="1:22" ht="15.75" hidden="1" customHeight="1">
      <c r="A61" s="46"/>
      <c r="B61" s="258" t="s">
        <v>168</v>
      </c>
      <c r="C61" s="248" t="s">
        <v>169</v>
      </c>
      <c r="D61" s="258" t="s">
        <v>55</v>
      </c>
      <c r="E61" s="259">
        <v>5</v>
      </c>
      <c r="F61" s="260">
        <v>10</v>
      </c>
      <c r="G61" s="257">
        <v>198.25</v>
      </c>
      <c r="H61" s="261">
        <v>0.99099999999999999</v>
      </c>
      <c r="I61" s="16">
        <v>0</v>
      </c>
      <c r="J61" s="32"/>
      <c r="L61" s="25"/>
    </row>
    <row r="62" spans="1:22" ht="15.75" customHeight="1">
      <c r="A62" s="46"/>
      <c r="B62" s="269" t="s">
        <v>57</v>
      </c>
      <c r="C62" s="262"/>
      <c r="D62" s="258"/>
      <c r="E62" s="259"/>
      <c r="F62" s="260"/>
      <c r="G62" s="263"/>
      <c r="H62" s="261"/>
      <c r="I62" s="16"/>
    </row>
    <row r="63" spans="1:22" ht="15.75" hidden="1" customHeight="1">
      <c r="A63" s="46"/>
      <c r="B63" s="258" t="s">
        <v>58</v>
      </c>
      <c r="C63" s="262" t="s">
        <v>68</v>
      </c>
      <c r="D63" s="258" t="s">
        <v>69</v>
      </c>
      <c r="E63" s="259">
        <v>1752</v>
      </c>
      <c r="F63" s="260">
        <f>E63/100</f>
        <v>17.52</v>
      </c>
      <c r="G63" s="250">
        <v>848.37</v>
      </c>
      <c r="H63" s="261">
        <f>G63*F63/1000</f>
        <v>14.8634424</v>
      </c>
      <c r="I63" s="16">
        <v>0</v>
      </c>
    </row>
    <row r="64" spans="1:22" ht="15.75" customHeight="1">
      <c r="A64" s="46">
        <v>14</v>
      </c>
      <c r="B64" s="258" t="s">
        <v>159</v>
      </c>
      <c r="C64" s="262" t="s">
        <v>29</v>
      </c>
      <c r="D64" s="258" t="s">
        <v>249</v>
      </c>
      <c r="E64" s="259">
        <v>352</v>
      </c>
      <c r="F64" s="260">
        <f>E64*12</f>
        <v>4224</v>
      </c>
      <c r="G64" s="250">
        <v>2.6</v>
      </c>
      <c r="H64" s="261">
        <f>G64*F64/1000</f>
        <v>10.9824</v>
      </c>
      <c r="I64" s="16">
        <f>F64/12*G64</f>
        <v>915.2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0"/>
    </row>
    <row r="65" spans="1:21" ht="15.75" customHeight="1">
      <c r="A65" s="46"/>
      <c r="B65" s="269" t="s">
        <v>59</v>
      </c>
      <c r="C65" s="262"/>
      <c r="D65" s="258"/>
      <c r="E65" s="259"/>
      <c r="F65" s="260"/>
      <c r="G65" s="270"/>
      <c r="H65" s="261" t="s">
        <v>225</v>
      </c>
      <c r="I65" s="16"/>
      <c r="J65" s="37"/>
      <c r="K65" s="37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46">
        <v>15</v>
      </c>
      <c r="B66" s="18" t="s">
        <v>60</v>
      </c>
      <c r="C66" s="20" t="s">
        <v>218</v>
      </c>
      <c r="D66" s="18" t="s">
        <v>90</v>
      </c>
      <c r="E66" s="23">
        <v>10</v>
      </c>
      <c r="F66" s="250">
        <v>10</v>
      </c>
      <c r="G66" s="16">
        <v>237.74</v>
      </c>
      <c r="H66" s="244">
        <f t="shared" ref="H66:H80" si="6">SUM(F66*G66/1000)</f>
        <v>2.3774000000000002</v>
      </c>
      <c r="I66" s="16">
        <f>G66*14</f>
        <v>3328.36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46"/>
      <c r="B67" s="18" t="s">
        <v>61</v>
      </c>
      <c r="C67" s="20" t="s">
        <v>218</v>
      </c>
      <c r="D67" s="18" t="s">
        <v>90</v>
      </c>
      <c r="E67" s="23">
        <v>5</v>
      </c>
      <c r="F67" s="250">
        <v>5</v>
      </c>
      <c r="G67" s="16">
        <v>81.510000000000005</v>
      </c>
      <c r="H67" s="244">
        <f t="shared" si="6"/>
        <v>0.40755000000000002</v>
      </c>
      <c r="I67" s="16">
        <v>0</v>
      </c>
      <c r="J67" s="5"/>
      <c r="K67" s="5"/>
      <c r="L67" s="5"/>
      <c r="M67" s="5"/>
      <c r="N67" s="5"/>
      <c r="O67" s="5"/>
      <c r="P67" s="5"/>
      <c r="Q67" s="5"/>
      <c r="R67" s="207"/>
      <c r="S67" s="207"/>
      <c r="T67" s="207"/>
      <c r="U67" s="207"/>
    </row>
    <row r="68" spans="1:21" ht="15.75" hidden="1" customHeight="1">
      <c r="A68" s="46"/>
      <c r="B68" s="18" t="s">
        <v>62</v>
      </c>
      <c r="C68" s="20" t="s">
        <v>220</v>
      </c>
      <c r="D68" s="18" t="s">
        <v>69</v>
      </c>
      <c r="E68" s="249">
        <v>23808</v>
      </c>
      <c r="F68" s="16">
        <f>SUM(E68/100)</f>
        <v>238.08</v>
      </c>
      <c r="G68" s="16">
        <v>226.79</v>
      </c>
      <c r="H68" s="244">
        <f t="shared" si="6"/>
        <v>53.994163200000003</v>
      </c>
      <c r="I68" s="16">
        <f>F68*G68</f>
        <v>53994.163200000003</v>
      </c>
    </row>
    <row r="69" spans="1:21" ht="15.75" hidden="1" customHeight="1">
      <c r="A69" s="46"/>
      <c r="B69" s="18" t="s">
        <v>63</v>
      </c>
      <c r="C69" s="20" t="s">
        <v>221</v>
      </c>
      <c r="D69" s="18"/>
      <c r="E69" s="249">
        <v>23808</v>
      </c>
      <c r="F69" s="16">
        <f>SUM(E69/1000)</f>
        <v>23.808</v>
      </c>
      <c r="G69" s="16">
        <v>176.61</v>
      </c>
      <c r="H69" s="244">
        <f t="shared" si="6"/>
        <v>4.2047308800000005</v>
      </c>
      <c r="I69" s="16">
        <f t="shared" ref="I69:I73" si="7">F69*G69</f>
        <v>4204.7308800000001</v>
      </c>
    </row>
    <row r="70" spans="1:21" ht="15.75" hidden="1" customHeight="1">
      <c r="A70" s="46"/>
      <c r="B70" s="18" t="s">
        <v>64</v>
      </c>
      <c r="C70" s="20" t="s">
        <v>101</v>
      </c>
      <c r="D70" s="18" t="s">
        <v>69</v>
      </c>
      <c r="E70" s="249">
        <v>3810</v>
      </c>
      <c r="F70" s="16">
        <f>SUM(E70/100)</f>
        <v>38.1</v>
      </c>
      <c r="G70" s="16">
        <v>2217.7800000000002</v>
      </c>
      <c r="H70" s="244">
        <f t="shared" si="6"/>
        <v>84.49741800000001</v>
      </c>
      <c r="I70" s="16">
        <f t="shared" si="7"/>
        <v>84497.418000000005</v>
      </c>
    </row>
    <row r="71" spans="1:21" ht="15.75" hidden="1" customHeight="1">
      <c r="A71" s="46"/>
      <c r="B71" s="264" t="s">
        <v>222</v>
      </c>
      <c r="C71" s="20" t="s">
        <v>40</v>
      </c>
      <c r="D71" s="18"/>
      <c r="E71" s="249">
        <v>23.4</v>
      </c>
      <c r="F71" s="16">
        <f>SUM(E71)</f>
        <v>23.4</v>
      </c>
      <c r="G71" s="16">
        <v>42.67</v>
      </c>
      <c r="H71" s="244">
        <f t="shared" si="6"/>
        <v>0.99847799999999998</v>
      </c>
      <c r="I71" s="16">
        <f t="shared" si="7"/>
        <v>998.47799999999995</v>
      </c>
    </row>
    <row r="72" spans="1:21" ht="15.75" hidden="1" customHeight="1">
      <c r="A72" s="46"/>
      <c r="B72" s="264" t="s">
        <v>232</v>
      </c>
      <c r="C72" s="20" t="s">
        <v>40</v>
      </c>
      <c r="D72" s="18"/>
      <c r="E72" s="249">
        <v>23.4</v>
      </c>
      <c r="F72" s="16">
        <f>SUM(E72)</f>
        <v>23.4</v>
      </c>
      <c r="G72" s="16">
        <v>39.81</v>
      </c>
      <c r="H72" s="244">
        <f t="shared" si="6"/>
        <v>0.93155399999999999</v>
      </c>
      <c r="I72" s="16">
        <f t="shared" si="7"/>
        <v>931.55399999999997</v>
      </c>
    </row>
    <row r="73" spans="1:21" ht="15.75" hidden="1" customHeight="1">
      <c r="A73" s="46"/>
      <c r="B73" s="18" t="s">
        <v>77</v>
      </c>
      <c r="C73" s="20" t="s">
        <v>78</v>
      </c>
      <c r="D73" s="18" t="s">
        <v>69</v>
      </c>
      <c r="E73" s="23">
        <v>5</v>
      </c>
      <c r="F73" s="250">
        <f>SUM(E73)</f>
        <v>5</v>
      </c>
      <c r="G73" s="16">
        <v>53.32</v>
      </c>
      <c r="H73" s="244">
        <f t="shared" si="6"/>
        <v>0.2666</v>
      </c>
      <c r="I73" s="16">
        <f t="shared" si="7"/>
        <v>266.60000000000002</v>
      </c>
    </row>
    <row r="74" spans="1:21" ht="15.75" customHeight="1">
      <c r="A74" s="46">
        <v>16</v>
      </c>
      <c r="B74" s="18" t="s">
        <v>233</v>
      </c>
      <c r="C74" s="20" t="s">
        <v>78</v>
      </c>
      <c r="D74" s="18" t="s">
        <v>36</v>
      </c>
      <c r="E74" s="23">
        <v>1</v>
      </c>
      <c r="F74" s="237">
        <v>12</v>
      </c>
      <c r="G74" s="16">
        <v>711</v>
      </c>
      <c r="H74" s="244">
        <v>8.5310000000000006</v>
      </c>
      <c r="I74" s="16">
        <f>F74/12*G74</f>
        <v>711</v>
      </c>
    </row>
    <row r="75" spans="1:21" ht="15.75" hidden="1" customHeight="1">
      <c r="A75" s="46"/>
      <c r="B75" s="198" t="s">
        <v>97</v>
      </c>
      <c r="C75" s="20"/>
      <c r="D75" s="18"/>
      <c r="E75" s="23"/>
      <c r="F75" s="16"/>
      <c r="G75" s="16"/>
      <c r="H75" s="244" t="s">
        <v>225</v>
      </c>
      <c r="I75" s="16"/>
    </row>
    <row r="76" spans="1:21" ht="15.75" hidden="1" customHeight="1">
      <c r="A76" s="46"/>
      <c r="B76" s="18" t="s">
        <v>98</v>
      </c>
      <c r="C76" s="20" t="s">
        <v>38</v>
      </c>
      <c r="D76" s="18" t="s">
        <v>90</v>
      </c>
      <c r="E76" s="23">
        <v>2</v>
      </c>
      <c r="F76" s="237">
        <v>0.2</v>
      </c>
      <c r="G76" s="16">
        <v>536.23</v>
      </c>
      <c r="H76" s="244">
        <v>0.107</v>
      </c>
      <c r="I76" s="16">
        <v>0</v>
      </c>
    </row>
    <row r="77" spans="1:21" ht="15.75" hidden="1" customHeight="1">
      <c r="A77" s="46"/>
      <c r="B77" s="18" t="s">
        <v>136</v>
      </c>
      <c r="C77" s="20" t="s">
        <v>37</v>
      </c>
      <c r="D77" s="18"/>
      <c r="E77" s="23">
        <v>1</v>
      </c>
      <c r="F77" s="250">
        <f>SUM(E77)</f>
        <v>1</v>
      </c>
      <c r="G77" s="16">
        <v>383.25</v>
      </c>
      <c r="H77" s="244">
        <f t="shared" si="6"/>
        <v>0.38324999999999998</v>
      </c>
      <c r="I77" s="16">
        <v>0</v>
      </c>
    </row>
    <row r="78" spans="1:21" ht="15.75" hidden="1" customHeight="1">
      <c r="A78" s="46"/>
      <c r="B78" s="18" t="s">
        <v>99</v>
      </c>
      <c r="C78" s="20" t="s">
        <v>37</v>
      </c>
      <c r="D78" s="18"/>
      <c r="E78" s="23">
        <v>1</v>
      </c>
      <c r="F78" s="16">
        <v>1</v>
      </c>
      <c r="G78" s="16">
        <v>911.85</v>
      </c>
      <c r="H78" s="244">
        <f>F78*G78/1000</f>
        <v>0.91185000000000005</v>
      </c>
      <c r="I78" s="16">
        <v>0</v>
      </c>
    </row>
    <row r="79" spans="1:21" ht="15.75" hidden="1" customHeight="1">
      <c r="A79" s="46"/>
      <c r="B79" s="265" t="s">
        <v>100</v>
      </c>
      <c r="C79" s="20"/>
      <c r="D79" s="18"/>
      <c r="E79" s="23"/>
      <c r="F79" s="16"/>
      <c r="G79" s="16" t="s">
        <v>225</v>
      </c>
      <c r="H79" s="244" t="s">
        <v>225</v>
      </c>
      <c r="I79" s="16"/>
    </row>
    <row r="80" spans="1:21" ht="15.75" hidden="1" customHeight="1">
      <c r="A80" s="46"/>
      <c r="B80" s="81" t="s">
        <v>226</v>
      </c>
      <c r="C80" s="20" t="s">
        <v>101</v>
      </c>
      <c r="D80" s="18"/>
      <c r="E80" s="23"/>
      <c r="F80" s="16">
        <v>0.6</v>
      </c>
      <c r="G80" s="16">
        <v>2949.85</v>
      </c>
      <c r="H80" s="244">
        <f t="shared" si="6"/>
        <v>1.7699099999999999</v>
      </c>
      <c r="I80" s="16">
        <v>0</v>
      </c>
      <c r="J80" s="5"/>
      <c r="K80" s="5"/>
      <c r="L80" s="5"/>
      <c r="M80" s="5"/>
      <c r="N80" s="5"/>
      <c r="O80" s="5"/>
      <c r="P80" s="5"/>
      <c r="Q80" s="5"/>
      <c r="R80" s="197"/>
      <c r="S80" s="197"/>
      <c r="T80" s="197"/>
      <c r="U80" s="197"/>
    </row>
    <row r="81" spans="1:21" ht="15.75" hidden="1" customHeight="1">
      <c r="A81" s="122"/>
      <c r="B81" s="198" t="s">
        <v>223</v>
      </c>
      <c r="C81" s="198"/>
      <c r="D81" s="198"/>
      <c r="E81" s="198"/>
      <c r="F81" s="198"/>
      <c r="G81" s="198"/>
      <c r="H81" s="198"/>
      <c r="I81" s="23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1:21" ht="15.75" hidden="1" customHeight="1">
      <c r="A82" s="46"/>
      <c r="B82" s="247" t="s">
        <v>224</v>
      </c>
      <c r="C82" s="20"/>
      <c r="D82" s="18"/>
      <c r="E82" s="238"/>
      <c r="F82" s="16">
        <v>1</v>
      </c>
      <c r="G82" s="16">
        <v>21062.799999999999</v>
      </c>
      <c r="H82" s="244">
        <f>G82*F82/1000</f>
        <v>21.062799999999999</v>
      </c>
      <c r="I82" s="16">
        <v>0</v>
      </c>
      <c r="J82" s="5"/>
      <c r="K82" s="5"/>
      <c r="L82" s="5"/>
      <c r="M82" s="5"/>
      <c r="N82" s="5"/>
      <c r="O82" s="5"/>
      <c r="P82" s="5"/>
      <c r="Q82" s="5"/>
      <c r="R82" s="197"/>
      <c r="S82" s="197"/>
      <c r="T82" s="197"/>
      <c r="U82" s="197"/>
    </row>
    <row r="83" spans="1:21" ht="15.75" customHeight="1">
      <c r="A83" s="234" t="s">
        <v>242</v>
      </c>
      <c r="B83" s="235"/>
      <c r="C83" s="235"/>
      <c r="D83" s="235"/>
      <c r="E83" s="235"/>
      <c r="F83" s="235"/>
      <c r="G83" s="235"/>
      <c r="H83" s="235"/>
      <c r="I83" s="236"/>
    </row>
    <row r="84" spans="1:21" ht="15.75" customHeight="1">
      <c r="A84" s="46">
        <v>17</v>
      </c>
      <c r="B84" s="247" t="s">
        <v>227</v>
      </c>
      <c r="C84" s="20" t="s">
        <v>73</v>
      </c>
      <c r="D84" s="266" t="s">
        <v>74</v>
      </c>
      <c r="E84" s="16">
        <v>5816.5</v>
      </c>
      <c r="F84" s="16">
        <f>SUM(E84*12)</f>
        <v>69798</v>
      </c>
      <c r="G84" s="16">
        <v>2.54</v>
      </c>
      <c r="H84" s="244">
        <f>SUM(F84*G84/1000)</f>
        <v>177.28692000000001</v>
      </c>
      <c r="I84" s="16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197"/>
      <c r="S84" s="197"/>
      <c r="T84" s="197"/>
      <c r="U84" s="197"/>
    </row>
    <row r="85" spans="1:21" ht="31.5" customHeight="1">
      <c r="A85" s="46">
        <v>18</v>
      </c>
      <c r="B85" s="18" t="s">
        <v>102</v>
      </c>
      <c r="C85" s="20"/>
      <c r="D85" s="266" t="s">
        <v>74</v>
      </c>
      <c r="E85" s="249">
        <f>E84</f>
        <v>5816.5</v>
      </c>
      <c r="F85" s="16">
        <f>E85*12</f>
        <v>69798</v>
      </c>
      <c r="G85" s="16">
        <v>2.0499999999999998</v>
      </c>
      <c r="H85" s="244">
        <f>F85*G85/1000</f>
        <v>143.08589999999998</v>
      </c>
      <c r="I85" s="16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197"/>
      <c r="S85" s="197"/>
      <c r="T85" s="197"/>
      <c r="U85" s="197"/>
    </row>
    <row r="86" spans="1:21" ht="15.75" customHeight="1">
      <c r="A86" s="122"/>
      <c r="B86" s="68" t="s">
        <v>108</v>
      </c>
      <c r="C86" s="70"/>
      <c r="D86" s="19"/>
      <c r="E86" s="19"/>
      <c r="F86" s="19"/>
      <c r="G86" s="23"/>
      <c r="H86" s="23"/>
      <c r="I86" s="53">
        <f>I16+I17+I18+I20+I27+I28+I31+I32+I34+I35+I53+I54+I55+I64+I66+I74+I84+I85</f>
        <v>92266.397392400002</v>
      </c>
    </row>
    <row r="87" spans="1:21" ht="15.75" customHeight="1">
      <c r="A87" s="122"/>
      <c r="B87" s="189" t="s">
        <v>80</v>
      </c>
      <c r="C87" s="189"/>
      <c r="D87" s="189"/>
      <c r="E87" s="189"/>
      <c r="F87" s="189"/>
      <c r="G87" s="189"/>
      <c r="H87" s="189"/>
      <c r="I87" s="189"/>
    </row>
    <row r="88" spans="1:21" ht="31.5" customHeight="1">
      <c r="A88" s="46">
        <v>19</v>
      </c>
      <c r="B88" s="138" t="s">
        <v>140</v>
      </c>
      <c r="C88" s="243" t="s">
        <v>149</v>
      </c>
      <c r="D88" s="81"/>
      <c r="E88" s="16"/>
      <c r="F88" s="16">
        <v>3</v>
      </c>
      <c r="G88" s="16">
        <v>559.62</v>
      </c>
      <c r="H88" s="244">
        <f t="shared" ref="H88" si="8">G88*F88/1000</f>
        <v>1.67886</v>
      </c>
      <c r="I88" s="16">
        <f>G88</f>
        <v>559.62</v>
      </c>
      <c r="J88" s="5"/>
      <c r="K88" s="5"/>
      <c r="L88" s="5"/>
      <c r="M88" s="5"/>
      <c r="N88" s="5"/>
      <c r="O88" s="5"/>
      <c r="P88" s="5"/>
      <c r="Q88" s="5"/>
      <c r="R88" s="197"/>
      <c r="S88" s="197"/>
      <c r="T88" s="197"/>
      <c r="U88" s="197"/>
    </row>
    <row r="89" spans="1:21" ht="15.75" customHeight="1">
      <c r="A89" s="46">
        <v>20</v>
      </c>
      <c r="B89" s="245" t="s">
        <v>145</v>
      </c>
      <c r="C89" s="246" t="s">
        <v>146</v>
      </c>
      <c r="D89" s="81"/>
      <c r="E89" s="16"/>
      <c r="F89" s="16">
        <f>50/3</f>
        <v>16.666666666666668</v>
      </c>
      <c r="G89" s="16">
        <v>1063.47</v>
      </c>
      <c r="H89" s="244">
        <f t="shared" ref="H89" si="9">G89*F89/1000</f>
        <v>17.724499999999999</v>
      </c>
      <c r="I89" s="16">
        <f>G89*3</f>
        <v>3190.41</v>
      </c>
      <c r="J89" s="5"/>
      <c r="K89" s="5"/>
      <c r="L89" s="5"/>
      <c r="M89" s="5"/>
      <c r="N89" s="5"/>
      <c r="O89" s="5"/>
      <c r="P89" s="5"/>
      <c r="Q89" s="5"/>
      <c r="R89" s="197"/>
      <c r="S89" s="197"/>
      <c r="T89" s="197"/>
      <c r="U89" s="197"/>
    </row>
    <row r="90" spans="1:21" ht="32.25" customHeight="1">
      <c r="A90" s="46">
        <v>21</v>
      </c>
      <c r="B90" s="138" t="s">
        <v>275</v>
      </c>
      <c r="C90" s="243" t="s">
        <v>180</v>
      </c>
      <c r="D90" s="81"/>
      <c r="E90" s="16"/>
      <c r="F90" s="16">
        <v>2</v>
      </c>
      <c r="G90" s="16">
        <v>51.39</v>
      </c>
      <c r="H90" s="244">
        <v>0.05</v>
      </c>
      <c r="I90" s="16">
        <f>G90*2</f>
        <v>102.78</v>
      </c>
      <c r="J90" s="5"/>
      <c r="K90" s="5"/>
      <c r="L90" s="5"/>
      <c r="M90" s="5"/>
      <c r="N90" s="5"/>
      <c r="O90" s="5"/>
      <c r="P90" s="5"/>
      <c r="Q90" s="5"/>
      <c r="R90" s="197"/>
      <c r="S90" s="197"/>
      <c r="T90" s="197"/>
      <c r="U90" s="197"/>
    </row>
    <row r="91" spans="1:21" ht="32.25" customHeight="1">
      <c r="A91" s="46">
        <v>22</v>
      </c>
      <c r="B91" s="138" t="s">
        <v>276</v>
      </c>
      <c r="C91" s="193" t="s">
        <v>163</v>
      </c>
      <c r="D91" s="81"/>
      <c r="E91" s="16"/>
      <c r="F91" s="16">
        <f>0.33/10</f>
        <v>3.3000000000000002E-2</v>
      </c>
      <c r="G91" s="16">
        <v>8916.31</v>
      </c>
      <c r="H91" s="244">
        <f t="shared" ref="H91" si="10">G91*F91/1000</f>
        <v>0.29423822999999999</v>
      </c>
      <c r="I91" s="16">
        <f>G91*0.033</f>
        <v>294.23822999999999</v>
      </c>
      <c r="J91" s="5"/>
      <c r="K91" s="5"/>
      <c r="L91" s="5"/>
      <c r="M91" s="5"/>
      <c r="N91" s="5"/>
      <c r="O91" s="5"/>
      <c r="P91" s="5"/>
      <c r="Q91" s="5"/>
      <c r="R91" s="197"/>
      <c r="S91" s="197"/>
      <c r="T91" s="197"/>
      <c r="U91" s="197"/>
    </row>
    <row r="92" spans="1:21" ht="15.75" customHeight="1">
      <c r="A92" s="46"/>
      <c r="B92" s="75" t="s">
        <v>66</v>
      </c>
      <c r="C92" s="71"/>
      <c r="D92" s="124"/>
      <c r="E92" s="71">
        <v>1</v>
      </c>
      <c r="F92" s="71"/>
      <c r="G92" s="71"/>
      <c r="H92" s="71"/>
      <c r="I92" s="53">
        <f>SUM(I88:I91)</f>
        <v>4147.0482300000003</v>
      </c>
    </row>
    <row r="93" spans="1:21" ht="15.75" customHeight="1">
      <c r="A93" s="46"/>
      <c r="B93" s="81" t="s">
        <v>103</v>
      </c>
      <c r="C93" s="19"/>
      <c r="D93" s="19"/>
      <c r="E93" s="72"/>
      <c r="F93" s="72"/>
      <c r="G93" s="73"/>
      <c r="H93" s="73"/>
      <c r="I93" s="22">
        <v>0</v>
      </c>
    </row>
    <row r="94" spans="1:21" ht="15.75" customHeight="1">
      <c r="A94" s="125"/>
      <c r="B94" s="76" t="s">
        <v>67</v>
      </c>
      <c r="C94" s="59"/>
      <c r="D94" s="59"/>
      <c r="E94" s="59"/>
      <c r="F94" s="59"/>
      <c r="G94" s="59"/>
      <c r="H94" s="59"/>
      <c r="I94" s="74">
        <f>I86+I92</f>
        <v>96413.445622400002</v>
      </c>
    </row>
    <row r="95" spans="1:21" ht="15.75" customHeight="1">
      <c r="A95" s="223" t="s">
        <v>312</v>
      </c>
      <c r="B95" s="223"/>
      <c r="C95" s="223"/>
      <c r="D95" s="223"/>
      <c r="E95" s="223"/>
      <c r="F95" s="223"/>
      <c r="G95" s="223"/>
      <c r="H95" s="223"/>
      <c r="I95" s="223"/>
    </row>
    <row r="96" spans="1:21" ht="15.75" customHeight="1">
      <c r="A96" s="201"/>
      <c r="B96" s="224" t="s">
        <v>313</v>
      </c>
      <c r="C96" s="224"/>
      <c r="D96" s="224"/>
      <c r="E96" s="224"/>
      <c r="F96" s="224"/>
      <c r="G96" s="224"/>
      <c r="H96" s="241"/>
      <c r="I96" s="3"/>
    </row>
    <row r="97" spans="1:9" ht="15.75" customHeight="1">
      <c r="A97" s="197"/>
      <c r="B97" s="212" t="s">
        <v>7</v>
      </c>
      <c r="C97" s="212"/>
      <c r="D97" s="212"/>
      <c r="E97" s="212"/>
      <c r="F97" s="212"/>
      <c r="G97" s="212"/>
      <c r="H97" s="36"/>
      <c r="I97" s="5"/>
    </row>
    <row r="98" spans="1:9" ht="15.75" customHeight="1">
      <c r="A98" s="11"/>
      <c r="B98" s="11"/>
      <c r="C98" s="11"/>
      <c r="D98" s="11"/>
      <c r="E98" s="11"/>
      <c r="F98" s="11"/>
      <c r="G98" s="11"/>
      <c r="H98" s="11"/>
      <c r="I98" s="11"/>
    </row>
    <row r="99" spans="1:9" ht="15.75" customHeight="1">
      <c r="A99" s="225" t="s">
        <v>8</v>
      </c>
      <c r="B99" s="225"/>
      <c r="C99" s="225"/>
      <c r="D99" s="225"/>
      <c r="E99" s="225"/>
      <c r="F99" s="225"/>
      <c r="G99" s="225"/>
      <c r="H99" s="225"/>
      <c r="I99" s="225"/>
    </row>
    <row r="100" spans="1:9" ht="15.75" customHeight="1">
      <c r="A100" s="225" t="s">
        <v>9</v>
      </c>
      <c r="B100" s="225"/>
      <c r="C100" s="225"/>
      <c r="D100" s="225"/>
      <c r="E100" s="225"/>
      <c r="F100" s="225"/>
      <c r="G100" s="225"/>
      <c r="H100" s="225"/>
      <c r="I100" s="225"/>
    </row>
    <row r="101" spans="1:9" ht="15.75" customHeight="1">
      <c r="A101" s="221" t="s">
        <v>82</v>
      </c>
      <c r="B101" s="221"/>
      <c r="C101" s="221"/>
      <c r="D101" s="221"/>
      <c r="E101" s="221"/>
      <c r="F101" s="221"/>
      <c r="G101" s="221"/>
      <c r="H101" s="221"/>
      <c r="I101" s="221"/>
    </row>
    <row r="102" spans="1:9" ht="15.75" customHeight="1">
      <c r="A102" s="12"/>
    </row>
    <row r="103" spans="1:9" ht="15.75" customHeight="1">
      <c r="A103" s="222" t="s">
        <v>11</v>
      </c>
      <c r="B103" s="222"/>
      <c r="C103" s="222"/>
      <c r="D103" s="222"/>
      <c r="E103" s="222"/>
      <c r="F103" s="222"/>
      <c r="G103" s="222"/>
      <c r="H103" s="222"/>
      <c r="I103" s="222"/>
    </row>
    <row r="104" spans="1:9" ht="15.75" customHeight="1">
      <c r="A104" s="4"/>
    </row>
    <row r="105" spans="1:9" ht="15.75" customHeight="1">
      <c r="B105" s="200" t="s">
        <v>12</v>
      </c>
      <c r="C105" s="214" t="s">
        <v>142</v>
      </c>
      <c r="D105" s="214"/>
      <c r="E105" s="214"/>
      <c r="F105" s="239"/>
      <c r="I105" s="196"/>
    </row>
    <row r="106" spans="1:9" ht="15.75" customHeight="1">
      <c r="A106" s="197"/>
      <c r="C106" s="212" t="s">
        <v>13</v>
      </c>
      <c r="D106" s="212"/>
      <c r="E106" s="212"/>
      <c r="F106" s="36"/>
      <c r="I106" s="195" t="s">
        <v>14</v>
      </c>
    </row>
    <row r="107" spans="1:9" ht="15.75" customHeight="1">
      <c r="A107" s="37"/>
      <c r="C107" s="13"/>
      <c r="D107" s="13"/>
      <c r="G107" s="13"/>
      <c r="H107" s="13"/>
    </row>
    <row r="108" spans="1:9" ht="15.75" customHeight="1">
      <c r="B108" s="200" t="s">
        <v>15</v>
      </c>
      <c r="C108" s="213"/>
      <c r="D108" s="213"/>
      <c r="E108" s="213"/>
      <c r="F108" s="240"/>
      <c r="I108" s="196"/>
    </row>
    <row r="109" spans="1:9" ht="15.75" customHeight="1">
      <c r="A109" s="197"/>
      <c r="C109" s="207" t="s">
        <v>13</v>
      </c>
      <c r="D109" s="207"/>
      <c r="E109" s="207"/>
      <c r="F109" s="197"/>
      <c r="I109" s="195" t="s">
        <v>14</v>
      </c>
    </row>
    <row r="110" spans="1:9" ht="15.75" customHeight="1">
      <c r="A110" s="4" t="s">
        <v>16</v>
      </c>
    </row>
    <row r="111" spans="1:9" ht="15.75" customHeight="1">
      <c r="A111" s="220" t="s">
        <v>17</v>
      </c>
      <c r="B111" s="220"/>
      <c r="C111" s="220"/>
      <c r="D111" s="220"/>
      <c r="E111" s="220"/>
      <c r="F111" s="220"/>
      <c r="G111" s="220"/>
      <c r="H111" s="220"/>
      <c r="I111" s="220"/>
    </row>
    <row r="112" spans="1:9" ht="45" customHeight="1">
      <c r="A112" s="219" t="s">
        <v>18</v>
      </c>
      <c r="B112" s="219"/>
      <c r="C112" s="219"/>
      <c r="D112" s="219"/>
      <c r="E112" s="219"/>
      <c r="F112" s="219"/>
      <c r="G112" s="219"/>
      <c r="H112" s="219"/>
      <c r="I112" s="219"/>
    </row>
    <row r="113" spans="1:9" ht="30" customHeight="1">
      <c r="A113" s="219" t="s">
        <v>19</v>
      </c>
      <c r="B113" s="219"/>
      <c r="C113" s="219"/>
      <c r="D113" s="219"/>
      <c r="E113" s="219"/>
      <c r="F113" s="219"/>
      <c r="G113" s="219"/>
      <c r="H113" s="219"/>
      <c r="I113" s="219"/>
    </row>
    <row r="114" spans="1:9" ht="30" customHeight="1">
      <c r="A114" s="219" t="s">
        <v>24</v>
      </c>
      <c r="B114" s="219"/>
      <c r="C114" s="219"/>
      <c r="D114" s="219"/>
      <c r="E114" s="219"/>
      <c r="F114" s="219"/>
      <c r="G114" s="219"/>
      <c r="H114" s="219"/>
      <c r="I114" s="219"/>
    </row>
    <row r="115" spans="1:9" ht="15" customHeight="1">
      <c r="A115" s="219" t="s">
        <v>23</v>
      </c>
      <c r="B115" s="219"/>
      <c r="C115" s="219"/>
      <c r="D115" s="219"/>
      <c r="E115" s="219"/>
      <c r="F115" s="219"/>
      <c r="G115" s="219"/>
      <c r="H115" s="219"/>
      <c r="I115" s="219"/>
    </row>
  </sheetData>
  <autoFilter ref="I12:I62"/>
  <mergeCells count="28"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  <mergeCell ref="A95:I95"/>
    <mergeCell ref="B96:G96"/>
    <mergeCell ref="B97:G97"/>
    <mergeCell ref="A99:I99"/>
    <mergeCell ref="A100:I100"/>
    <mergeCell ref="A101:I101"/>
    <mergeCell ref="A15:I15"/>
    <mergeCell ref="A29:I29"/>
    <mergeCell ref="A47:I47"/>
    <mergeCell ref="A57:I57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T118"/>
  <sheetViews>
    <sheetView view="pageLayout" zoomScale="77" zoomScaleNormal="77" zoomScalePageLayoutView="77" workbookViewId="0">
      <selection activeCell="A3" sqref="A3:G3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  <col min="9" max="9" width="14.5703125" customWidth="1"/>
    <col min="10" max="10" width="12.5703125" customWidth="1"/>
  </cols>
  <sheetData>
    <row r="1" spans="1:11" ht="21.75" customHeight="1">
      <c r="B1" s="158" t="s">
        <v>128</v>
      </c>
      <c r="G1" s="52"/>
      <c r="H1" s="1"/>
      <c r="I1" s="1"/>
      <c r="J1" s="1"/>
      <c r="K1" s="1"/>
    </row>
    <row r="2" spans="1:11" ht="18.75">
      <c r="B2" s="159" t="s">
        <v>85</v>
      </c>
      <c r="H2" s="2"/>
      <c r="I2" s="2"/>
      <c r="J2" s="2"/>
      <c r="K2" s="2"/>
    </row>
    <row r="3" spans="1:11" ht="15.75" customHeight="1">
      <c r="A3" s="202" t="s">
        <v>243</v>
      </c>
      <c r="B3" s="202"/>
      <c r="C3" s="202"/>
      <c r="D3" s="202"/>
      <c r="E3" s="202"/>
      <c r="F3" s="202"/>
      <c r="G3" s="202"/>
      <c r="H3" s="3"/>
      <c r="I3" s="3"/>
      <c r="J3" s="3"/>
    </row>
    <row r="4" spans="1:11" ht="42.75" customHeight="1">
      <c r="A4" s="203" t="s">
        <v>187</v>
      </c>
      <c r="B4" s="203"/>
      <c r="C4" s="203"/>
      <c r="D4" s="203"/>
      <c r="E4" s="203"/>
      <c r="F4" s="203"/>
      <c r="G4" s="203"/>
    </row>
    <row r="5" spans="1:11" ht="18.75">
      <c r="A5" s="2"/>
      <c r="B5" s="204" t="s">
        <v>129</v>
      </c>
      <c r="C5" s="204"/>
      <c r="D5" s="204"/>
      <c r="E5" s="204"/>
      <c r="F5" s="204"/>
      <c r="H5" s="2"/>
      <c r="I5" s="2"/>
      <c r="J5" s="2"/>
      <c r="K5" s="2"/>
    </row>
    <row r="6" spans="1:11" ht="18.75">
      <c r="A6" s="2"/>
      <c r="B6" s="33"/>
      <c r="C6" s="33"/>
      <c r="D6" s="33"/>
      <c r="E6" s="33"/>
      <c r="F6" s="33"/>
      <c r="G6" s="157">
        <v>42704</v>
      </c>
      <c r="H6" s="2"/>
      <c r="I6" s="2"/>
      <c r="J6" s="2"/>
      <c r="K6" s="2"/>
    </row>
    <row r="7" spans="1:11" ht="16.5" customHeight="1">
      <c r="B7" s="38"/>
      <c r="C7" s="38"/>
      <c r="D7" s="38"/>
      <c r="E7" s="3"/>
      <c r="F7" s="3"/>
      <c r="H7" s="3"/>
      <c r="I7" s="3"/>
      <c r="J7" s="3"/>
      <c r="K7" s="3"/>
    </row>
    <row r="8" spans="1:11" ht="84.75" customHeight="1">
      <c r="A8" s="205" t="s">
        <v>239</v>
      </c>
      <c r="B8" s="205"/>
      <c r="C8" s="205"/>
      <c r="D8" s="205"/>
      <c r="E8" s="205"/>
      <c r="F8" s="205"/>
      <c r="G8" s="205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7.25" customHeight="1">
      <c r="A10" s="206" t="s">
        <v>238</v>
      </c>
      <c r="B10" s="206"/>
      <c r="C10" s="206"/>
      <c r="D10" s="206"/>
      <c r="E10" s="206"/>
      <c r="F10" s="206"/>
      <c r="G10" s="206"/>
      <c r="H10" s="2"/>
      <c r="I10" s="2"/>
      <c r="J10" s="2"/>
      <c r="K10" s="2"/>
    </row>
    <row r="11" spans="1:11" ht="15" customHeight="1">
      <c r="A11" s="3"/>
      <c r="B11" s="3"/>
      <c r="C11" s="36"/>
      <c r="D11" s="36"/>
      <c r="E11" s="36"/>
      <c r="F11" s="36"/>
      <c r="G11" s="36"/>
      <c r="H11" s="3"/>
    </row>
    <row r="12" spans="1:11" ht="0.75" customHeight="1">
      <c r="A12" s="4"/>
    </row>
    <row r="13" spans="1:11" ht="67.5" customHeight="1">
      <c r="A13" s="89" t="s">
        <v>0</v>
      </c>
      <c r="B13" s="89" t="s">
        <v>127</v>
      </c>
      <c r="C13" s="89" t="s">
        <v>2</v>
      </c>
      <c r="D13" s="89" t="s">
        <v>20</v>
      </c>
      <c r="E13" s="89" t="s">
        <v>21</v>
      </c>
      <c r="F13" s="89" t="s">
        <v>25</v>
      </c>
      <c r="G13" s="89" t="s">
        <v>3</v>
      </c>
    </row>
    <row r="14" spans="1:11" ht="15.75">
      <c r="A14" s="126">
        <v>1</v>
      </c>
      <c r="B14" s="126">
        <v>2</v>
      </c>
      <c r="C14" s="126">
        <v>3</v>
      </c>
      <c r="D14" s="148">
        <v>4</v>
      </c>
      <c r="E14" s="126">
        <v>5</v>
      </c>
      <c r="F14" s="126">
        <v>6</v>
      </c>
      <c r="G14" s="126">
        <v>7</v>
      </c>
      <c r="H14" s="8"/>
      <c r="I14" s="8"/>
      <c r="J14" s="8"/>
      <c r="K14" s="8"/>
    </row>
    <row r="15" spans="1:11" ht="18.75" customHeight="1">
      <c r="A15" s="215" t="s">
        <v>4</v>
      </c>
      <c r="B15" s="216"/>
      <c r="C15" s="216"/>
      <c r="D15" s="216"/>
      <c r="E15" s="216"/>
      <c r="F15" s="216"/>
      <c r="G15" s="217"/>
      <c r="H15" s="8"/>
      <c r="I15" s="8"/>
      <c r="J15" s="8"/>
      <c r="K15" s="8"/>
    </row>
    <row r="16" spans="1:11" ht="30.75" customHeight="1">
      <c r="A16" s="85">
        <v>1</v>
      </c>
      <c r="B16" s="94" t="s">
        <v>130</v>
      </c>
      <c r="C16" s="85" t="s">
        <v>68</v>
      </c>
      <c r="D16" s="85" t="s">
        <v>131</v>
      </c>
      <c r="E16" s="85"/>
      <c r="F16" s="85">
        <v>187.48</v>
      </c>
      <c r="G16" s="109">
        <v>4295.3900000000003</v>
      </c>
      <c r="H16" s="8"/>
      <c r="I16" s="8"/>
      <c r="J16" s="8"/>
      <c r="K16" s="8"/>
    </row>
    <row r="17" spans="1:11" ht="31.5" customHeight="1">
      <c r="A17" s="85">
        <v>2</v>
      </c>
      <c r="B17" s="94" t="s">
        <v>151</v>
      </c>
      <c r="C17" s="85" t="s">
        <v>68</v>
      </c>
      <c r="D17" s="85" t="s">
        <v>166</v>
      </c>
      <c r="E17" s="85"/>
      <c r="F17" s="85">
        <v>187.48</v>
      </c>
      <c r="G17" s="109">
        <v>11454.38</v>
      </c>
      <c r="H17" s="8"/>
      <c r="I17" s="8"/>
      <c r="J17" s="8"/>
      <c r="K17" s="8"/>
    </row>
    <row r="18" spans="1:11" ht="30" customHeight="1">
      <c r="A18" s="85">
        <v>3</v>
      </c>
      <c r="B18" s="152" t="s">
        <v>152</v>
      </c>
      <c r="C18" s="85" t="s">
        <v>68</v>
      </c>
      <c r="D18" s="85" t="s">
        <v>106</v>
      </c>
      <c r="E18" s="85"/>
      <c r="F18" s="109">
        <v>539.30999999999995</v>
      </c>
      <c r="G18" s="109">
        <v>9504.7990000000009</v>
      </c>
      <c r="H18" s="8"/>
      <c r="I18" s="8"/>
      <c r="J18" s="8"/>
      <c r="K18" s="8"/>
    </row>
    <row r="19" spans="1:11" ht="20.25" customHeight="1">
      <c r="A19" s="85">
        <v>4</v>
      </c>
      <c r="B19" s="105" t="s">
        <v>164</v>
      </c>
      <c r="C19" s="85" t="s">
        <v>68</v>
      </c>
      <c r="D19" s="85" t="s">
        <v>36</v>
      </c>
      <c r="E19" s="85"/>
      <c r="F19" s="109">
        <v>232.92</v>
      </c>
      <c r="G19" s="85">
        <v>40.76</v>
      </c>
      <c r="H19" s="8"/>
      <c r="I19" s="8"/>
      <c r="J19" s="8"/>
      <c r="K19" s="8"/>
    </row>
    <row r="20" spans="1:11" ht="19.5" customHeight="1">
      <c r="A20" s="85">
        <v>5</v>
      </c>
      <c r="B20" s="105" t="s">
        <v>165</v>
      </c>
      <c r="C20" s="85" t="s">
        <v>68</v>
      </c>
      <c r="D20" s="85" t="s">
        <v>188</v>
      </c>
      <c r="E20" s="85"/>
      <c r="F20" s="109">
        <v>231.03</v>
      </c>
      <c r="G20" s="85">
        <v>13.72</v>
      </c>
      <c r="H20" s="8"/>
      <c r="I20" s="8"/>
      <c r="J20" s="8"/>
      <c r="K20" s="8"/>
    </row>
    <row r="21" spans="1:11" ht="19.5" hidden="1" customHeight="1">
      <c r="A21" s="85">
        <v>6</v>
      </c>
      <c r="B21" s="105" t="s">
        <v>176</v>
      </c>
      <c r="C21" s="85" t="s">
        <v>68</v>
      </c>
      <c r="D21" s="85" t="s">
        <v>36</v>
      </c>
      <c r="E21" s="85"/>
      <c r="F21" s="109">
        <v>389.42</v>
      </c>
      <c r="G21" s="109">
        <v>12.33</v>
      </c>
      <c r="H21" s="8"/>
      <c r="I21" s="8"/>
      <c r="J21" s="8"/>
      <c r="K21" s="8"/>
    </row>
    <row r="22" spans="1:11" ht="18.75" hidden="1" customHeight="1">
      <c r="A22" s="85">
        <v>7</v>
      </c>
      <c r="B22" s="105" t="s">
        <v>177</v>
      </c>
      <c r="C22" s="85" t="s">
        <v>68</v>
      </c>
      <c r="D22" s="85" t="s">
        <v>36</v>
      </c>
      <c r="E22" s="85"/>
      <c r="F22" s="109">
        <v>520.79999999999995</v>
      </c>
      <c r="G22" s="85">
        <v>88.54</v>
      </c>
      <c r="H22" s="8"/>
      <c r="I22" s="8"/>
      <c r="J22" s="8"/>
      <c r="K22" s="8"/>
    </row>
    <row r="23" spans="1:11" ht="18" customHeight="1">
      <c r="A23" s="85">
        <v>6</v>
      </c>
      <c r="B23" s="83" t="s">
        <v>26</v>
      </c>
      <c r="C23" s="84" t="s">
        <v>27</v>
      </c>
      <c r="D23" s="85" t="s">
        <v>28</v>
      </c>
      <c r="E23" s="104" t="e">
        <f>#REF!+#REF!+#REF!+#REF!+#REF!+#REF!+'12.16'!E11+#REF!+#REF!+#REF!+#REF!+#REF!</f>
        <v>#REF!</v>
      </c>
      <c r="F23" s="92">
        <v>4.72</v>
      </c>
      <c r="G23" s="87">
        <v>27453.88</v>
      </c>
      <c r="H23" s="8"/>
      <c r="I23" s="8"/>
      <c r="J23" s="8"/>
      <c r="K23" s="8"/>
    </row>
    <row r="24" spans="1:11" ht="17.25" customHeight="1">
      <c r="A24" s="85">
        <v>7</v>
      </c>
      <c r="B24" s="94" t="s">
        <v>87</v>
      </c>
      <c r="C24" s="95" t="s">
        <v>40</v>
      </c>
      <c r="D24" s="96" t="s">
        <v>124</v>
      </c>
      <c r="E24" s="93">
        <v>0</v>
      </c>
      <c r="F24" s="86">
        <v>157.18</v>
      </c>
      <c r="G24" s="93">
        <v>478.09</v>
      </c>
      <c r="H24" s="8"/>
      <c r="I24" s="8"/>
      <c r="J24" s="8"/>
      <c r="K24" s="8"/>
    </row>
    <row r="25" spans="1:11" ht="18.75" customHeight="1">
      <c r="A25" s="215" t="s">
        <v>125</v>
      </c>
      <c r="B25" s="216"/>
      <c r="C25" s="216"/>
      <c r="D25" s="216"/>
      <c r="E25" s="216"/>
      <c r="F25" s="216"/>
      <c r="G25" s="217"/>
      <c r="H25" s="47"/>
      <c r="I25" s="8"/>
      <c r="J25" s="8"/>
      <c r="K25" s="8"/>
    </row>
    <row r="26" spans="1:11" ht="18.75" customHeight="1">
      <c r="A26" s="82"/>
      <c r="B26" s="97" t="s">
        <v>5</v>
      </c>
      <c r="C26" s="82"/>
      <c r="D26" s="82"/>
      <c r="E26" s="104"/>
      <c r="F26" s="92"/>
      <c r="G26" s="129"/>
      <c r="H26" s="31"/>
      <c r="I26" s="8"/>
      <c r="J26" s="8"/>
      <c r="K26" s="8"/>
    </row>
    <row r="27" spans="1:11" ht="34.5" customHeight="1">
      <c r="A27" s="98">
        <v>8</v>
      </c>
      <c r="B27" s="128" t="s">
        <v>31</v>
      </c>
      <c r="C27" s="91" t="s">
        <v>39</v>
      </c>
      <c r="D27" s="85" t="s">
        <v>30</v>
      </c>
      <c r="E27" s="104" t="e">
        <f>#REF!+#REF!+#REF!+#REF!+#REF!+#REF!+'12.16'!E26+#REF!+#REF!+#REF!+#REF!+#REF!</f>
        <v>#REF!</v>
      </c>
      <c r="F27" s="100">
        <v>1632.6</v>
      </c>
      <c r="G27" s="87">
        <v>2721</v>
      </c>
      <c r="H27" s="31"/>
      <c r="I27" s="8"/>
      <c r="J27" s="8"/>
      <c r="K27" s="8"/>
    </row>
    <row r="28" spans="1:11" ht="17.25" hidden="1" customHeight="1">
      <c r="A28" s="98">
        <v>7</v>
      </c>
      <c r="B28" s="162" t="s">
        <v>183</v>
      </c>
      <c r="C28" s="91" t="s">
        <v>35</v>
      </c>
      <c r="D28" s="85" t="s">
        <v>106</v>
      </c>
      <c r="E28" s="104" t="e">
        <f>#REF!+#REF!+#REF!+#REF!+#REF!+#REF!+'12.16'!E27+#REF!+#REF!+#REF!+#REF!+#REF!</f>
        <v>#REF!</v>
      </c>
      <c r="F28" s="100">
        <v>2102.71</v>
      </c>
      <c r="G28" s="87">
        <v>2666.94</v>
      </c>
      <c r="H28" s="31"/>
      <c r="I28" s="44"/>
      <c r="J28" s="8"/>
      <c r="K28" s="8"/>
    </row>
    <row r="29" spans="1:11" ht="35.25" customHeight="1">
      <c r="A29" s="98">
        <v>9</v>
      </c>
      <c r="B29" s="143" t="s">
        <v>154</v>
      </c>
      <c r="C29" s="91" t="s">
        <v>35</v>
      </c>
      <c r="D29" s="85" t="s">
        <v>155</v>
      </c>
      <c r="E29" s="104"/>
      <c r="F29" s="100">
        <v>2247.8000000000002</v>
      </c>
      <c r="G29" s="87">
        <v>5279.3</v>
      </c>
      <c r="H29" s="31"/>
      <c r="I29" s="44"/>
      <c r="J29" s="8"/>
      <c r="K29" s="8"/>
    </row>
    <row r="30" spans="1:11" ht="21.75" hidden="1" customHeight="1">
      <c r="A30" s="98"/>
      <c r="B30" s="144" t="s">
        <v>156</v>
      </c>
      <c r="C30" s="91" t="s">
        <v>157</v>
      </c>
      <c r="D30" s="85" t="s">
        <v>30</v>
      </c>
      <c r="E30" s="104"/>
      <c r="F30" s="100">
        <v>199.44</v>
      </c>
      <c r="G30" s="87">
        <v>0</v>
      </c>
      <c r="H30" s="31"/>
      <c r="I30" s="44"/>
      <c r="J30" s="8"/>
      <c r="K30" s="8"/>
    </row>
    <row r="31" spans="1:11" ht="20.25" hidden="1" customHeight="1">
      <c r="A31" s="98">
        <v>10</v>
      </c>
      <c r="B31" s="144" t="s">
        <v>167</v>
      </c>
      <c r="C31" s="91" t="s">
        <v>35</v>
      </c>
      <c r="D31" s="85" t="s">
        <v>143</v>
      </c>
      <c r="E31" s="104"/>
      <c r="F31" s="100">
        <v>44.29</v>
      </c>
      <c r="G31" s="87">
        <v>25.097999999999999</v>
      </c>
      <c r="H31" s="31"/>
      <c r="I31" s="44"/>
      <c r="J31" s="8"/>
      <c r="K31" s="8"/>
    </row>
    <row r="32" spans="1:11" ht="36" customHeight="1">
      <c r="A32" s="98">
        <v>10</v>
      </c>
      <c r="B32" s="149" t="s">
        <v>138</v>
      </c>
      <c r="C32" s="91" t="s">
        <v>35</v>
      </c>
      <c r="D32" s="85" t="s">
        <v>126</v>
      </c>
      <c r="E32" s="104" t="e">
        <f>#REF!+#REF!+#REF!+#REF!+#REF!+#REF!+'12.16'!E27+#REF!+#REF!+#REF!+#REF!+#REF!</f>
        <v>#REF!</v>
      </c>
      <c r="F32" s="100">
        <v>374.95</v>
      </c>
      <c r="G32" s="87">
        <v>4601.53</v>
      </c>
      <c r="H32" s="31"/>
      <c r="I32" s="44"/>
      <c r="J32" s="8"/>
      <c r="K32" s="8"/>
    </row>
    <row r="33" spans="1:12" ht="64.5" customHeight="1">
      <c r="A33" s="98">
        <v>11</v>
      </c>
      <c r="B33" s="94" t="s">
        <v>118</v>
      </c>
      <c r="C33" s="91" t="s">
        <v>35</v>
      </c>
      <c r="D33" s="85" t="s">
        <v>189</v>
      </c>
      <c r="E33" s="104" t="e">
        <f>#REF!+#REF!+#REF!+#REF!+#REF!+#REF!+'12.16'!E28+#REF!+#REF!+#REF!+#REF!+#REF!</f>
        <v>#REF!</v>
      </c>
      <c r="F33" s="100">
        <v>6203.7</v>
      </c>
      <c r="G33" s="87">
        <v>1469.24</v>
      </c>
      <c r="H33" s="31"/>
      <c r="I33" s="8"/>
      <c r="J33" s="8"/>
      <c r="K33" s="8"/>
    </row>
    <row r="34" spans="1:12" ht="18" customHeight="1">
      <c r="A34" s="98">
        <v>12</v>
      </c>
      <c r="B34" s="128" t="s">
        <v>139</v>
      </c>
      <c r="C34" s="91" t="s">
        <v>35</v>
      </c>
      <c r="D34" s="85" t="s">
        <v>123</v>
      </c>
      <c r="E34" s="87" t="e">
        <f>#REF!+#REF!+#REF!+#REF!+#REF!+#REF!+'12.16'!E30+#REF!+#REF!+#REF!+#REF!+#REF!</f>
        <v>#REF!</v>
      </c>
      <c r="F34" s="100">
        <v>458.28</v>
      </c>
      <c r="G34" s="87">
        <v>574.09879999999998</v>
      </c>
      <c r="H34" s="31"/>
      <c r="I34" s="8"/>
      <c r="J34" s="8"/>
      <c r="K34" s="8"/>
    </row>
    <row r="35" spans="1:12" ht="15.75" customHeight="1">
      <c r="A35" s="98">
        <v>13</v>
      </c>
      <c r="B35" s="90" t="s">
        <v>32</v>
      </c>
      <c r="C35" s="84" t="s">
        <v>40</v>
      </c>
      <c r="D35" s="90"/>
      <c r="E35" s="104" t="e">
        <f>#REF!+#REF!+#REF!+#REF!+#REF!+#REF!+'12.16'!E31+#REF!+#REF!+#REF!+#REF!+#REF!</f>
        <v>#REF!</v>
      </c>
      <c r="F35" s="100">
        <v>853.06</v>
      </c>
      <c r="G35" s="87">
        <v>170.61</v>
      </c>
      <c r="H35" s="31"/>
      <c r="I35" s="8"/>
      <c r="J35" s="8"/>
      <c r="K35" s="8"/>
    </row>
    <row r="36" spans="1:12" ht="15" hidden="1" customHeight="1">
      <c r="A36" s="127"/>
      <c r="B36" s="215" t="s">
        <v>132</v>
      </c>
      <c r="C36" s="216"/>
      <c r="D36" s="216"/>
      <c r="E36" s="216"/>
      <c r="F36" s="216"/>
      <c r="G36" s="217"/>
      <c r="H36" s="48"/>
      <c r="I36" s="8"/>
    </row>
    <row r="37" spans="1:12" ht="22.5" hidden="1" customHeight="1">
      <c r="A37" s="82">
        <v>16</v>
      </c>
      <c r="B37" s="128" t="s">
        <v>41</v>
      </c>
      <c r="C37" s="91" t="s">
        <v>35</v>
      </c>
      <c r="D37" s="85" t="s">
        <v>81</v>
      </c>
      <c r="E37" s="87" t="e">
        <f>#REF!+#REF!+#REF!+#REF!+#REF!+#REF!+'12.16'!E35+#REF!+#REF!+#REF!+#REF!+#REF!</f>
        <v>#REF!</v>
      </c>
      <c r="F37" s="100">
        <v>1098.72</v>
      </c>
      <c r="G37" s="129" t="e">
        <f>#REF!+#REF!+#REF!+#REF!+#REF!+#REF!+'12.16'!G35+#REF!+#REF!+#REF!+#REF!+#REF!</f>
        <v>#REF!</v>
      </c>
      <c r="H37" s="32"/>
    </row>
    <row r="38" spans="1:12" ht="24" hidden="1" customHeight="1">
      <c r="A38" s="82">
        <v>17</v>
      </c>
      <c r="B38" s="128" t="s">
        <v>42</v>
      </c>
      <c r="C38" s="91" t="s">
        <v>43</v>
      </c>
      <c r="D38" s="85" t="s">
        <v>81</v>
      </c>
      <c r="E38" s="87" t="e">
        <f>#REF!+#REF!+#REF!+#REF!+#REF!+#REF!+'12.16'!E36+#REF!+#REF!+#REF!+#REF!+#REF!</f>
        <v>#REF!</v>
      </c>
      <c r="F38" s="100">
        <v>94.18</v>
      </c>
      <c r="G38" s="129" t="e">
        <f>#REF!+#REF!+#REF!+#REF!+#REF!+#REF!+'12.16'!G35+#REF!+#REF!+#REF!+#REF!+#REF!</f>
        <v>#REF!</v>
      </c>
      <c r="H38" s="32"/>
    </row>
    <row r="39" spans="1:12" ht="24" hidden="1" customHeight="1">
      <c r="A39" s="82">
        <v>18</v>
      </c>
      <c r="B39" s="128" t="s">
        <v>44</v>
      </c>
      <c r="C39" s="91" t="s">
        <v>35</v>
      </c>
      <c r="D39" s="85" t="s">
        <v>81</v>
      </c>
      <c r="E39" s="87" t="e">
        <f>#REF!+#REF!+#REF!+#REF!+#REF!+#REF!+'12.16'!E37+#REF!+#REF!+#REF!+#REF!+#REF!</f>
        <v>#REF!</v>
      </c>
      <c r="F39" s="100">
        <v>749.49</v>
      </c>
      <c r="G39" s="129" t="e">
        <f>#REF!+#REF!+#REF!+#REF!+#REF!+#REF!+'12.16'!G36+#REF!+#REF!+#REF!+#REF!+#REF!</f>
        <v>#REF!</v>
      </c>
      <c r="H39" s="32"/>
    </row>
    <row r="40" spans="1:12" ht="24" hidden="1" customHeight="1">
      <c r="A40" s="82">
        <v>19</v>
      </c>
      <c r="B40" s="128" t="s">
        <v>45</v>
      </c>
      <c r="C40" s="91" t="s">
        <v>35</v>
      </c>
      <c r="D40" s="85" t="s">
        <v>81</v>
      </c>
      <c r="E40" s="87" t="e">
        <f>#REF!+#REF!+#REF!+#REF!+#REF!+#REF!+'12.16'!E38+#REF!+#REF!+#REF!+#REF!+#REF!</f>
        <v>#REF!</v>
      </c>
      <c r="F40" s="100">
        <v>749.49</v>
      </c>
      <c r="G40" s="129" t="e">
        <f>#REF!+#REF!+#REF!+#REF!+#REF!+#REF!+'12.16'!G38+#REF!+#REF!+#REF!+#REF!+#REF!</f>
        <v>#REF!</v>
      </c>
      <c r="H40" s="32"/>
    </row>
    <row r="41" spans="1:12" ht="23.25" hidden="1" customHeight="1">
      <c r="A41" s="82">
        <v>20</v>
      </c>
      <c r="B41" s="128" t="s">
        <v>46</v>
      </c>
      <c r="C41" s="91" t="s">
        <v>35</v>
      </c>
      <c r="D41" s="85" t="s">
        <v>81</v>
      </c>
      <c r="E41" s="87" t="e">
        <f>#REF!+#REF!+#REF!+#REF!+#REF!+#REF!+'12.16'!E39+#REF!+#REF!+#REF!+#REF!+#REF!</f>
        <v>#REF!</v>
      </c>
      <c r="F41" s="100">
        <v>784.8</v>
      </c>
      <c r="G41" s="129" t="e">
        <f>#REF!+#REF!+#REF!+#REF!+#REF!+#REF!+'12.16'!G39+#REF!+#REF!+#REF!+#REF!+#REF!</f>
        <v>#REF!</v>
      </c>
      <c r="H41" s="32"/>
    </row>
    <row r="42" spans="1:12" ht="23.25" hidden="1" customHeight="1">
      <c r="A42" s="82">
        <v>21</v>
      </c>
      <c r="B42" s="128" t="s">
        <v>76</v>
      </c>
      <c r="C42" s="91" t="s">
        <v>35</v>
      </c>
      <c r="D42" s="85" t="s">
        <v>81</v>
      </c>
      <c r="E42" s="87" t="e">
        <f>#REF!+#REF!+#REF!+#REF!+#REF!+#REF!+'12.16'!E40+#REF!+#REF!+#REF!+#REF!+#REF!</f>
        <v>#REF!</v>
      </c>
      <c r="F42" s="100">
        <v>1599.61</v>
      </c>
      <c r="G42" s="129" t="e">
        <f>#REF!+#REF!+#REF!+#REF!+#REF!+#REF!+'12.16'!G40+#REF!+#REF!+#REF!+#REF!+#REF!</f>
        <v>#REF!</v>
      </c>
      <c r="H42" s="32"/>
    </row>
    <row r="43" spans="1:12" ht="30.75" hidden="1" customHeight="1">
      <c r="A43" s="82">
        <v>22</v>
      </c>
      <c r="B43" s="128" t="s">
        <v>47</v>
      </c>
      <c r="C43" s="91" t="s">
        <v>35</v>
      </c>
      <c r="D43" s="85" t="s">
        <v>81</v>
      </c>
      <c r="E43" s="87" t="e">
        <f>#REF!+#REF!+#REF!+#REF!+#REF!+#REF!+'12.16'!E41+#REF!+#REF!+#REF!+#REF!+#REF!</f>
        <v>#REF!</v>
      </c>
      <c r="F43" s="100">
        <v>1599.61</v>
      </c>
      <c r="G43" s="129" t="e">
        <f>#REF!+#REF!+#REF!+#REF!+#REF!+#REF!+'12.16'!G41+#REF!+#REF!+#REF!+#REF!+#REF!</f>
        <v>#REF!</v>
      </c>
      <c r="H43" s="32"/>
    </row>
    <row r="44" spans="1:12" ht="30.75" hidden="1" customHeight="1">
      <c r="A44" s="82">
        <v>23</v>
      </c>
      <c r="B44" s="128" t="s">
        <v>48</v>
      </c>
      <c r="C44" s="91" t="s">
        <v>49</v>
      </c>
      <c r="D44" s="85" t="s">
        <v>81</v>
      </c>
      <c r="E44" s="87" t="e">
        <f>#REF!+#REF!+#REF!+#REF!+#REF!+#REF!+'12.16'!E42+#REF!+#REF!+#REF!+#REF!+#REF!</f>
        <v>#REF!</v>
      </c>
      <c r="F44" s="100">
        <v>3599.1</v>
      </c>
      <c r="G44" s="129" t="e">
        <f>#REF!+#REF!+#REF!+#REF!+#REF!+#REF!+'12.16'!G42+#REF!+#REF!+#REF!+#REF!+#REF!</f>
        <v>#REF!</v>
      </c>
      <c r="H44" s="32"/>
      <c r="J44" s="25"/>
      <c r="K44" s="26"/>
      <c r="L44" s="27"/>
    </row>
    <row r="45" spans="1:12" ht="25.5" hidden="1" customHeight="1">
      <c r="A45" s="82">
        <v>24</v>
      </c>
      <c r="B45" s="128" t="s">
        <v>50</v>
      </c>
      <c r="C45" s="91" t="s">
        <v>51</v>
      </c>
      <c r="D45" s="85" t="s">
        <v>81</v>
      </c>
      <c r="E45" s="87" t="e">
        <f>#REF!+#REF!+#REF!+#REF!+#REF!+#REF!+'12.16'!E43+#REF!+#REF!+#REF!+#REF!+#REF!</f>
        <v>#REF!</v>
      </c>
      <c r="F45" s="100">
        <v>7450.14</v>
      </c>
      <c r="G45" s="129" t="e">
        <f>#REF!+#REF!+#REF!+#REF!+#REF!+#REF!+'12.16'!G43+#REF!+#REF!+#REF!+#REF!+#REF!</f>
        <v>#REF!</v>
      </c>
      <c r="H45" s="32"/>
      <c r="J45" s="25"/>
      <c r="K45" s="26"/>
      <c r="L45" s="27"/>
    </row>
    <row r="46" spans="1:12" ht="25.5" hidden="1" customHeight="1">
      <c r="A46" s="82">
        <v>25</v>
      </c>
      <c r="B46" s="130" t="s">
        <v>52</v>
      </c>
      <c r="C46" s="119" t="s">
        <v>37</v>
      </c>
      <c r="D46" s="120" t="s">
        <v>53</v>
      </c>
      <c r="E46" s="87">
        <v>32</v>
      </c>
      <c r="F46" s="100">
        <v>158.66</v>
      </c>
      <c r="G46" s="129">
        <f>E46*F46</f>
        <v>5077.12</v>
      </c>
      <c r="H46" s="32"/>
      <c r="J46" s="25"/>
      <c r="K46" s="26"/>
      <c r="L46" s="27"/>
    </row>
    <row r="47" spans="1:12" ht="16.5" hidden="1" customHeight="1">
      <c r="A47" s="82">
        <v>26</v>
      </c>
      <c r="B47" s="128" t="s">
        <v>54</v>
      </c>
      <c r="C47" s="119" t="s">
        <v>37</v>
      </c>
      <c r="D47" s="85" t="s">
        <v>55</v>
      </c>
      <c r="E47" s="87">
        <v>32</v>
      </c>
      <c r="F47" s="100">
        <v>73.84</v>
      </c>
      <c r="G47" s="129">
        <f>E47*F47</f>
        <v>2362.88</v>
      </c>
      <c r="H47" s="32"/>
      <c r="J47" s="25"/>
      <c r="K47" s="26"/>
      <c r="L47" s="27"/>
    </row>
    <row r="48" spans="1:12" ht="19.5" customHeight="1">
      <c r="A48" s="88"/>
      <c r="B48" s="215" t="s">
        <v>133</v>
      </c>
      <c r="C48" s="216"/>
      <c r="D48" s="216"/>
      <c r="E48" s="216"/>
      <c r="F48" s="216"/>
      <c r="G48" s="217"/>
      <c r="H48" s="49"/>
      <c r="J48" s="25"/>
      <c r="K48" s="26"/>
      <c r="L48" s="27"/>
    </row>
    <row r="49" spans="1:12" ht="20.25" customHeight="1">
      <c r="A49" s="127"/>
      <c r="B49" s="101" t="s">
        <v>56</v>
      </c>
      <c r="C49" s="91"/>
      <c r="D49" s="131"/>
      <c r="E49" s="104"/>
      <c r="F49" s="102"/>
      <c r="G49" s="129"/>
      <c r="H49" s="32"/>
      <c r="J49" s="25"/>
      <c r="K49" s="26"/>
      <c r="L49" s="27"/>
    </row>
    <row r="50" spans="1:12" ht="36" customHeight="1">
      <c r="A50" s="82">
        <v>14</v>
      </c>
      <c r="B50" s="151" t="s">
        <v>178</v>
      </c>
      <c r="C50" s="91" t="s">
        <v>68</v>
      </c>
      <c r="D50" s="89" t="s">
        <v>36</v>
      </c>
      <c r="E50" s="87" t="e">
        <f>#REF!+#REF!+#REF!+#REF!+#REF!+#REF!+'12.16'!E49+#REF!+#REF!+#REF!+#REF!+#REF!</f>
        <v>#REF!</v>
      </c>
      <c r="F50" s="100">
        <v>1654.04</v>
      </c>
      <c r="G50" s="87">
        <v>3065.93</v>
      </c>
      <c r="H50" s="32"/>
      <c r="J50" s="25"/>
      <c r="K50" s="26"/>
      <c r="L50" s="27"/>
    </row>
    <row r="51" spans="1:12" ht="18.75" hidden="1" customHeight="1">
      <c r="A51" s="82">
        <v>14</v>
      </c>
      <c r="B51" s="143" t="s">
        <v>158</v>
      </c>
      <c r="C51" s="91" t="s">
        <v>68</v>
      </c>
      <c r="D51" s="89" t="s">
        <v>36</v>
      </c>
      <c r="E51" s="87"/>
      <c r="F51" s="100">
        <v>1547.28</v>
      </c>
      <c r="G51" s="87">
        <v>866.48</v>
      </c>
      <c r="H51" s="32"/>
      <c r="J51" s="25"/>
      <c r="K51" s="26"/>
      <c r="L51" s="27"/>
    </row>
    <row r="52" spans="1:12" ht="51" customHeight="1">
      <c r="A52" s="82">
        <v>15</v>
      </c>
      <c r="B52" s="149" t="s">
        <v>105</v>
      </c>
      <c r="C52" s="91" t="s">
        <v>68</v>
      </c>
      <c r="D52" s="89" t="s">
        <v>36</v>
      </c>
      <c r="E52" s="87"/>
      <c r="F52" s="100">
        <v>1654.04</v>
      </c>
      <c r="G52" s="87">
        <v>62.52</v>
      </c>
      <c r="H52" s="32"/>
      <c r="J52" s="25"/>
      <c r="K52" s="26"/>
      <c r="L52" s="27"/>
    </row>
    <row r="53" spans="1:12" ht="19.5" hidden="1" customHeight="1">
      <c r="A53" s="82">
        <v>14</v>
      </c>
      <c r="B53" s="149" t="s">
        <v>168</v>
      </c>
      <c r="C53" s="91" t="s">
        <v>169</v>
      </c>
      <c r="D53" s="89" t="s">
        <v>55</v>
      </c>
      <c r="E53" s="87"/>
      <c r="F53" s="100">
        <v>180.78</v>
      </c>
      <c r="G53" s="87">
        <v>482.08</v>
      </c>
      <c r="H53" s="32"/>
      <c r="J53" s="25"/>
      <c r="K53" s="26"/>
      <c r="L53" s="27"/>
    </row>
    <row r="54" spans="1:12" ht="17.25" hidden="1" customHeight="1">
      <c r="A54" s="82">
        <v>13</v>
      </c>
      <c r="B54" s="128" t="s">
        <v>134</v>
      </c>
      <c r="C54" s="91" t="s">
        <v>39</v>
      </c>
      <c r="D54" s="89" t="s">
        <v>30</v>
      </c>
      <c r="E54" s="87"/>
      <c r="F54" s="100">
        <v>1501</v>
      </c>
      <c r="G54" s="87">
        <v>750.5</v>
      </c>
      <c r="H54" s="32"/>
      <c r="J54" s="25"/>
      <c r="K54" s="26"/>
      <c r="L54" s="27"/>
    </row>
    <row r="55" spans="1:12" ht="18" customHeight="1">
      <c r="A55" s="82"/>
      <c r="B55" s="101" t="s">
        <v>57</v>
      </c>
      <c r="C55" s="118"/>
      <c r="D55" s="118"/>
      <c r="E55" s="104"/>
      <c r="F55" s="132"/>
      <c r="G55" s="129"/>
      <c r="H55" s="32"/>
      <c r="J55" s="25"/>
      <c r="K55" s="26"/>
      <c r="L55" s="27"/>
    </row>
    <row r="56" spans="1:12" ht="15.75" hidden="1" customHeight="1">
      <c r="A56" s="82">
        <v>29</v>
      </c>
      <c r="B56" s="128" t="s">
        <v>58</v>
      </c>
      <c r="C56" s="91" t="s">
        <v>68</v>
      </c>
      <c r="D56" s="85" t="s">
        <v>69</v>
      </c>
      <c r="E56" s="104" t="e">
        <f>#REF!+#REF!+#REF!+#REF!+#REF!+#REF!+'12.16'!E51+#REF!+#REF!+#REF!+#REF!+#REF!</f>
        <v>#REF!</v>
      </c>
      <c r="F56" s="85">
        <v>793.61</v>
      </c>
      <c r="G56" s="129"/>
      <c r="H56" s="32"/>
      <c r="J56" s="25"/>
      <c r="K56" s="26"/>
      <c r="L56" s="27"/>
    </row>
    <row r="57" spans="1:12" ht="18" customHeight="1">
      <c r="A57" s="82">
        <v>16</v>
      </c>
      <c r="B57" s="143" t="s">
        <v>159</v>
      </c>
      <c r="C57" s="91" t="s">
        <v>29</v>
      </c>
      <c r="D57" s="85" t="s">
        <v>36</v>
      </c>
      <c r="E57" s="104"/>
      <c r="F57" s="109">
        <v>2.6</v>
      </c>
      <c r="G57" s="87">
        <v>915.2</v>
      </c>
      <c r="H57" s="32"/>
      <c r="J57" s="25"/>
      <c r="K57" s="26"/>
      <c r="L57" s="27"/>
    </row>
    <row r="58" spans="1:12" ht="19.5" customHeight="1">
      <c r="A58" s="82"/>
      <c r="B58" s="101" t="s">
        <v>59</v>
      </c>
      <c r="C58" s="91"/>
      <c r="D58" s="89"/>
      <c r="E58" s="104"/>
      <c r="F58" s="85"/>
      <c r="G58" s="129"/>
      <c r="H58" s="32"/>
      <c r="J58" s="25"/>
      <c r="K58" s="26"/>
      <c r="L58" s="27"/>
    </row>
    <row r="59" spans="1:12" ht="18.75" customHeight="1">
      <c r="A59" s="82">
        <v>17</v>
      </c>
      <c r="B59" s="128" t="s">
        <v>60</v>
      </c>
      <c r="C59" s="119" t="s">
        <v>37</v>
      </c>
      <c r="D59" s="89" t="s">
        <v>30</v>
      </c>
      <c r="E59" s="104" t="e">
        <f>#REF!+#REF!+#REF!+#REF!+#REF!+#REF!+'12.16'!E53+#REF!+#REF!+#REF!+#REF!+#REF!</f>
        <v>#REF!</v>
      </c>
      <c r="F59" s="109">
        <v>237.74</v>
      </c>
      <c r="G59" s="87">
        <v>2139.66</v>
      </c>
      <c r="H59" s="32"/>
      <c r="J59" s="25"/>
      <c r="K59" s="26"/>
      <c r="L59" s="27"/>
    </row>
    <row r="60" spans="1:12" ht="18" customHeight="1">
      <c r="A60" s="173">
        <v>18</v>
      </c>
      <c r="B60" s="163" t="s">
        <v>190</v>
      </c>
      <c r="C60" s="119" t="s">
        <v>78</v>
      </c>
      <c r="D60" s="89" t="s">
        <v>36</v>
      </c>
      <c r="E60" s="104"/>
      <c r="F60" s="109">
        <v>711</v>
      </c>
      <c r="G60" s="87">
        <v>711</v>
      </c>
      <c r="H60" s="32"/>
      <c r="J60" s="25"/>
      <c r="K60" s="26"/>
      <c r="L60" s="27"/>
    </row>
    <row r="61" spans="1:12" ht="1.5" hidden="1" customHeight="1">
      <c r="A61" s="133">
        <v>15</v>
      </c>
      <c r="B61" s="105" t="s">
        <v>135</v>
      </c>
      <c r="C61" s="119" t="s">
        <v>150</v>
      </c>
      <c r="D61" s="89" t="s">
        <v>74</v>
      </c>
      <c r="E61" s="104" t="e">
        <f>#REF!+#REF!+#REF!+#REF!+#REF!+#REF!+'12.16'!E54+#REF!+#REF!+#REF!+#REF!+#REF!</f>
        <v>#REF!</v>
      </c>
      <c r="F61" s="85">
        <v>2.16</v>
      </c>
      <c r="G61" s="87">
        <v>5506.92</v>
      </c>
      <c r="H61" s="32"/>
      <c r="J61" s="25"/>
      <c r="K61" s="26"/>
      <c r="L61" s="27"/>
    </row>
    <row r="62" spans="1:12" ht="1.5" hidden="1" customHeight="1">
      <c r="A62" s="133"/>
      <c r="B62" s="101" t="s">
        <v>97</v>
      </c>
      <c r="C62" s="91"/>
      <c r="D62" s="85"/>
      <c r="E62" s="104" t="e">
        <f>#REF!+#REF!+#REF!+#REF!+#REF!+#REF!+'12.16'!E55+#REF!+#REF!+#REF!+#REF!+#REF!</f>
        <v>#REF!</v>
      </c>
      <c r="F62" s="85"/>
      <c r="G62" s="129"/>
      <c r="H62" s="32"/>
      <c r="J62" s="25"/>
      <c r="K62" s="26"/>
      <c r="L62" s="27"/>
    </row>
    <row r="63" spans="1:12" ht="22.5" hidden="1" customHeight="1">
      <c r="A63" s="133">
        <v>16</v>
      </c>
      <c r="B63" s="105" t="s">
        <v>136</v>
      </c>
      <c r="C63" s="91" t="s">
        <v>70</v>
      </c>
      <c r="D63" s="89" t="s">
        <v>30</v>
      </c>
      <c r="E63" s="104" t="e">
        <f>#REF!+#REF!+#REF!+#REF!+#REF!+#REF!+'12.16'!E56+#REF!+#REF!+#REF!+#REF!+#REF!</f>
        <v>#REF!</v>
      </c>
      <c r="F63" s="85">
        <v>446.12</v>
      </c>
      <c r="G63" s="87">
        <v>446.12</v>
      </c>
      <c r="H63" s="32"/>
      <c r="J63" s="25"/>
      <c r="K63" s="26"/>
      <c r="L63" s="27"/>
    </row>
    <row r="64" spans="1:12" ht="20.25" hidden="1" customHeight="1">
      <c r="A64" s="127"/>
      <c r="B64" s="134" t="s">
        <v>71</v>
      </c>
      <c r="C64" s="135"/>
      <c r="D64" s="136"/>
      <c r="E64" s="104"/>
      <c r="F64" s="85"/>
      <c r="G64" s="129" t="e">
        <f>#REF!+#REF!+#REF!+#REF!+#REF!+#REF!+'12.16'!G59+#REF!+#REF!+#REF!+#REF!+#REF!</f>
        <v>#REF!</v>
      </c>
      <c r="H64" s="32"/>
      <c r="J64" s="25"/>
      <c r="K64" s="26"/>
      <c r="L64" s="27"/>
    </row>
    <row r="65" spans="1:12" ht="18.75" hidden="1" customHeight="1">
      <c r="A65" s="133">
        <v>36</v>
      </c>
      <c r="B65" s="90" t="s">
        <v>65</v>
      </c>
      <c r="C65" s="91" t="s">
        <v>72</v>
      </c>
      <c r="D65" s="85" t="s">
        <v>69</v>
      </c>
      <c r="E65" s="87" t="e">
        <f>#REF!+#REF!+#REF!+#REF!+#REF!+#REF!+'12.16'!E60+#REF!+#REF!+#REF!+#REF!+#REF!</f>
        <v>#REF!</v>
      </c>
      <c r="F65" s="85">
        <v>9.32</v>
      </c>
      <c r="G65" s="129" t="e">
        <f>#REF!+#REF!+#REF!+#REF!+#REF!+#REF!+'12.16'!G60+#REF!+#REF!+#REF!+#REF!+#REF!</f>
        <v>#REF!</v>
      </c>
      <c r="H65" s="32"/>
      <c r="J65" s="25"/>
      <c r="K65" s="26"/>
      <c r="L65" s="27"/>
    </row>
    <row r="66" spans="1:12" ht="17.25" customHeight="1">
      <c r="A66" s="133"/>
      <c r="B66" s="215" t="s">
        <v>137</v>
      </c>
      <c r="C66" s="216"/>
      <c r="D66" s="216"/>
      <c r="E66" s="216"/>
      <c r="F66" s="216"/>
      <c r="G66" s="217"/>
      <c r="H66" s="32"/>
      <c r="J66" s="25"/>
      <c r="K66" s="26"/>
      <c r="L66" s="27"/>
    </row>
    <row r="67" spans="1:12" ht="19.5" customHeight="1">
      <c r="A67" s="133">
        <v>19</v>
      </c>
      <c r="B67" s="150" t="s">
        <v>144</v>
      </c>
      <c r="C67" s="91" t="s">
        <v>73</v>
      </c>
      <c r="D67" s="89" t="s">
        <v>74</v>
      </c>
      <c r="E67" s="104" t="e">
        <f>#REF!+#REF!+#REF!+#REF!+#REF!+#REF!+'12.16'!E64+#REF!+#REF!+#REF!+#REF!+#REF!</f>
        <v>#REF!</v>
      </c>
      <c r="F67" s="145">
        <v>2.54</v>
      </c>
      <c r="G67" s="87">
        <v>14773.91</v>
      </c>
      <c r="H67" s="29" t="e">
        <f>G65+#REF!+#REF!+#REF!+G67</f>
        <v>#REF!</v>
      </c>
      <c r="J67" s="25">
        <f>6846.6/3934.8/12</f>
        <v>0.14500101657009251</v>
      </c>
      <c r="K67" s="26"/>
      <c r="L67" s="27"/>
    </row>
    <row r="68" spans="1:12" ht="47.25">
      <c r="A68" s="85">
        <v>20</v>
      </c>
      <c r="B68" s="105" t="s">
        <v>102</v>
      </c>
      <c r="C68" s="91" t="s">
        <v>73</v>
      </c>
      <c r="D68" s="85" t="s">
        <v>74</v>
      </c>
      <c r="E68" s="89"/>
      <c r="F68" s="99">
        <v>2.0499999999999998</v>
      </c>
      <c r="G68" s="93">
        <v>11923.83</v>
      </c>
      <c r="H68" s="30" t="e">
        <f>H25+H36+H48+#REF!+H67</f>
        <v>#REF!</v>
      </c>
      <c r="J68" s="43"/>
    </row>
    <row r="69" spans="1:12" ht="15.75">
      <c r="A69" s="88"/>
      <c r="B69" s="106" t="s">
        <v>108</v>
      </c>
      <c r="C69" s="82"/>
      <c r="D69" s="89"/>
      <c r="E69" s="89"/>
      <c r="F69" s="87"/>
      <c r="G69" s="107">
        <f>SUM(G16+G17+G18+G19+G20+G23+G24+G27+G29+G32+G33+G34+G35+G50+G52+G57+G59+G60+G67+G68)</f>
        <v>101648.84780000002</v>
      </c>
    </row>
    <row r="70" spans="1:12" ht="30" customHeight="1">
      <c r="A70" s="45"/>
      <c r="B70" s="137" t="s">
        <v>80</v>
      </c>
      <c r="C70" s="137"/>
      <c r="D70" s="137"/>
      <c r="E70" s="89"/>
      <c r="F70" s="87"/>
      <c r="G70" s="87"/>
    </row>
    <row r="71" spans="1:12" ht="34.5" hidden="1" customHeight="1">
      <c r="A71" s="133">
        <v>18</v>
      </c>
      <c r="B71" s="138" t="s">
        <v>113</v>
      </c>
      <c r="C71" s="85" t="s">
        <v>37</v>
      </c>
      <c r="D71" s="137"/>
      <c r="E71" s="85"/>
      <c r="F71" s="87">
        <v>180.15</v>
      </c>
      <c r="G71" s="87">
        <v>0</v>
      </c>
    </row>
    <row r="72" spans="1:12" ht="26.25" hidden="1" customHeight="1">
      <c r="A72" s="133">
        <v>20</v>
      </c>
      <c r="B72" s="138" t="s">
        <v>140</v>
      </c>
      <c r="C72" s="85" t="s">
        <v>37</v>
      </c>
      <c r="D72" s="137"/>
      <c r="E72" s="85"/>
      <c r="F72" s="87">
        <v>559.62</v>
      </c>
      <c r="G72" s="87">
        <v>0</v>
      </c>
    </row>
    <row r="73" spans="1:12" ht="23.25" hidden="1" customHeight="1">
      <c r="A73" s="133">
        <v>21</v>
      </c>
      <c r="B73" s="138" t="s">
        <v>141</v>
      </c>
      <c r="C73" s="85" t="s">
        <v>110</v>
      </c>
      <c r="D73" s="137"/>
      <c r="E73" s="85"/>
      <c r="F73" s="87">
        <v>1146</v>
      </c>
      <c r="G73" s="87">
        <v>0</v>
      </c>
    </row>
    <row r="74" spans="1:12" ht="30.75" hidden="1" customHeight="1">
      <c r="A74" s="133">
        <v>19</v>
      </c>
      <c r="B74" s="108" t="s">
        <v>107</v>
      </c>
      <c r="C74" s="85" t="s">
        <v>37</v>
      </c>
      <c r="D74" s="137"/>
      <c r="E74" s="85"/>
      <c r="F74" s="87">
        <v>79.09</v>
      </c>
      <c r="G74" s="87">
        <v>0</v>
      </c>
    </row>
    <row r="75" spans="1:12" ht="30" hidden="1" customHeight="1">
      <c r="A75" s="133">
        <v>20</v>
      </c>
      <c r="B75" s="146" t="s">
        <v>145</v>
      </c>
      <c r="C75" s="147" t="s">
        <v>146</v>
      </c>
      <c r="D75" s="137"/>
      <c r="E75" s="85"/>
      <c r="F75" s="87">
        <v>1063.47</v>
      </c>
      <c r="G75" s="87">
        <v>0</v>
      </c>
    </row>
    <row r="76" spans="1:12" ht="30" customHeight="1">
      <c r="A76" s="133">
        <v>21</v>
      </c>
      <c r="B76" s="108" t="s">
        <v>147</v>
      </c>
      <c r="C76" s="142" t="s">
        <v>110</v>
      </c>
      <c r="D76" s="137"/>
      <c r="E76" s="85"/>
      <c r="F76" s="87">
        <v>1206</v>
      </c>
      <c r="G76" s="87">
        <v>4824</v>
      </c>
    </row>
    <row r="77" spans="1:12" ht="27" hidden="1" customHeight="1">
      <c r="A77" s="133">
        <v>20</v>
      </c>
      <c r="B77" s="108" t="s">
        <v>148</v>
      </c>
      <c r="C77" s="142" t="s">
        <v>149</v>
      </c>
      <c r="D77" s="137"/>
      <c r="E77" s="85"/>
      <c r="F77" s="87">
        <v>195.95</v>
      </c>
      <c r="G77" s="87">
        <v>0</v>
      </c>
    </row>
    <row r="78" spans="1:12" ht="27" hidden="1" customHeight="1">
      <c r="A78" s="133">
        <v>20</v>
      </c>
      <c r="B78" s="108" t="s">
        <v>117</v>
      </c>
      <c r="C78" s="142" t="s">
        <v>49</v>
      </c>
      <c r="D78" s="137"/>
      <c r="E78" s="85"/>
      <c r="F78" s="87">
        <v>3397.65</v>
      </c>
      <c r="G78" s="87">
        <v>0</v>
      </c>
    </row>
    <row r="79" spans="1:12" ht="24" hidden="1" customHeight="1">
      <c r="A79" s="133">
        <v>22</v>
      </c>
      <c r="B79" s="108" t="s">
        <v>160</v>
      </c>
      <c r="C79" s="142" t="s">
        <v>161</v>
      </c>
      <c r="D79" s="137"/>
      <c r="E79" s="85"/>
      <c r="F79" s="87">
        <v>23221.7</v>
      </c>
      <c r="G79" s="87">
        <v>0</v>
      </c>
    </row>
    <row r="80" spans="1:12" ht="22.5" hidden="1" customHeight="1">
      <c r="A80" s="133">
        <v>23</v>
      </c>
      <c r="B80" s="108" t="s">
        <v>162</v>
      </c>
      <c r="C80" s="142" t="s">
        <v>163</v>
      </c>
      <c r="D80" s="137"/>
      <c r="E80" s="85"/>
      <c r="F80" s="87">
        <v>3113.97</v>
      </c>
      <c r="G80" s="87">
        <v>0</v>
      </c>
    </row>
    <row r="81" spans="1:20" ht="20.25" hidden="1" customHeight="1">
      <c r="A81" s="133">
        <v>24</v>
      </c>
      <c r="B81" s="108" t="s">
        <v>170</v>
      </c>
      <c r="C81" s="142" t="s">
        <v>37</v>
      </c>
      <c r="D81" s="137"/>
      <c r="E81" s="85"/>
      <c r="F81" s="87">
        <v>50.68</v>
      </c>
      <c r="G81" s="87">
        <v>0</v>
      </c>
    </row>
    <row r="82" spans="1:20" ht="19.5" hidden="1" customHeight="1">
      <c r="A82" s="133">
        <v>21</v>
      </c>
      <c r="B82" s="108" t="s">
        <v>171</v>
      </c>
      <c r="C82" s="142" t="s">
        <v>172</v>
      </c>
      <c r="D82" s="137"/>
      <c r="E82" s="85"/>
      <c r="F82" s="87">
        <v>1835.8</v>
      </c>
      <c r="G82" s="87">
        <v>0</v>
      </c>
    </row>
    <row r="83" spans="1:20" ht="24" hidden="1" customHeight="1">
      <c r="A83" s="133">
        <v>23</v>
      </c>
      <c r="B83" s="108" t="s">
        <v>134</v>
      </c>
      <c r="C83" s="142" t="s">
        <v>173</v>
      </c>
      <c r="D83" s="137"/>
      <c r="E83" s="85"/>
      <c r="F83" s="87">
        <v>1501</v>
      </c>
      <c r="G83" s="87">
        <v>0</v>
      </c>
    </row>
    <row r="84" spans="1:20" ht="25.5" hidden="1" customHeight="1">
      <c r="A84" s="133">
        <v>23</v>
      </c>
      <c r="B84" s="108" t="s">
        <v>174</v>
      </c>
      <c r="C84" s="142" t="s">
        <v>175</v>
      </c>
      <c r="D84" s="137"/>
      <c r="E84" s="85"/>
      <c r="F84" s="87">
        <v>115.76</v>
      </c>
      <c r="G84" s="87">
        <v>0</v>
      </c>
    </row>
    <row r="85" spans="1:20" ht="25.5" hidden="1" customHeight="1">
      <c r="A85" s="133">
        <v>25</v>
      </c>
      <c r="B85" s="108" t="s">
        <v>179</v>
      </c>
      <c r="C85" s="142" t="s">
        <v>180</v>
      </c>
      <c r="D85" s="137"/>
      <c r="E85" s="85"/>
      <c r="F85" s="87">
        <v>51.39</v>
      </c>
      <c r="G85" s="87">
        <v>0</v>
      </c>
    </row>
    <row r="86" spans="1:20" ht="24" hidden="1" customHeight="1">
      <c r="A86" s="133">
        <v>26</v>
      </c>
      <c r="B86" s="108" t="s">
        <v>181</v>
      </c>
      <c r="C86" s="142" t="s">
        <v>37</v>
      </c>
      <c r="D86" s="137"/>
      <c r="E86" s="85"/>
      <c r="F86" s="87">
        <v>634.4</v>
      </c>
      <c r="G86" s="87">
        <v>0</v>
      </c>
    </row>
    <row r="87" spans="1:20" ht="17.25" hidden="1" customHeight="1">
      <c r="A87" s="133">
        <v>27</v>
      </c>
      <c r="B87" s="108" t="s">
        <v>182</v>
      </c>
      <c r="C87" s="142" t="s">
        <v>37</v>
      </c>
      <c r="D87" s="137"/>
      <c r="E87" s="85"/>
      <c r="F87" s="87">
        <v>81.73</v>
      </c>
      <c r="G87" s="87">
        <v>0</v>
      </c>
    </row>
    <row r="88" spans="1:20" ht="16.5" hidden="1" customHeight="1">
      <c r="A88" s="133">
        <v>21</v>
      </c>
      <c r="B88" s="108" t="s">
        <v>184</v>
      </c>
      <c r="C88" s="142" t="s">
        <v>37</v>
      </c>
      <c r="D88" s="137"/>
      <c r="E88" s="85"/>
      <c r="F88" s="87">
        <v>1072.21</v>
      </c>
      <c r="G88" s="87">
        <v>0</v>
      </c>
    </row>
    <row r="89" spans="1:20" ht="31.5" hidden="1">
      <c r="A89" s="85">
        <v>22</v>
      </c>
      <c r="B89" s="164" t="s">
        <v>185</v>
      </c>
      <c r="C89" s="85" t="s">
        <v>73</v>
      </c>
      <c r="D89" s="111"/>
      <c r="E89" s="110">
        <v>1</v>
      </c>
      <c r="F89" s="85">
        <v>612.87</v>
      </c>
      <c r="G89" s="87">
        <v>0</v>
      </c>
    </row>
    <row r="90" spans="1:20" ht="15.75">
      <c r="A90" s="85">
        <v>22</v>
      </c>
      <c r="B90" s="174" t="s">
        <v>191</v>
      </c>
      <c r="C90" s="85" t="s">
        <v>119</v>
      </c>
      <c r="D90" s="111"/>
      <c r="E90" s="110"/>
      <c r="F90" s="85">
        <v>185.81</v>
      </c>
      <c r="G90" s="87">
        <v>185.81</v>
      </c>
    </row>
    <row r="91" spans="1:20" ht="15.75">
      <c r="A91" s="85">
        <v>23</v>
      </c>
      <c r="B91" s="174" t="s">
        <v>120</v>
      </c>
      <c r="C91" s="85" t="s">
        <v>38</v>
      </c>
      <c r="D91" s="111"/>
      <c r="E91" s="110"/>
      <c r="F91" s="109">
        <v>3800</v>
      </c>
      <c r="G91" s="87">
        <v>1520</v>
      </c>
    </row>
    <row r="92" spans="1:20" ht="15.75">
      <c r="A92" s="85"/>
      <c r="B92" s="165" t="s">
        <v>66</v>
      </c>
      <c r="C92" s="85"/>
      <c r="D92" s="111"/>
      <c r="E92" s="110"/>
      <c r="F92" s="85"/>
      <c r="G92" s="107">
        <f>SUM(G76+G90+G91)</f>
        <v>6529.81</v>
      </c>
    </row>
    <row r="93" spans="1:20" ht="15.75">
      <c r="A93" s="50"/>
      <c r="B93" s="90" t="s">
        <v>153</v>
      </c>
      <c r="C93" s="110" t="s">
        <v>186</v>
      </c>
      <c r="D93" s="111"/>
      <c r="E93" s="110"/>
      <c r="F93" s="110"/>
      <c r="G93" s="107"/>
    </row>
    <row r="94" spans="1:20" ht="15.75">
      <c r="A94" s="9"/>
      <c r="B94" s="117" t="s">
        <v>103</v>
      </c>
      <c r="C94" s="89"/>
      <c r="D94" s="89"/>
      <c r="E94" s="112"/>
      <c r="F94" s="113"/>
      <c r="G94" s="114">
        <v>0</v>
      </c>
    </row>
    <row r="95" spans="1:20" ht="15.75">
      <c r="A95" s="28"/>
      <c r="B95" s="115" t="s">
        <v>67</v>
      </c>
      <c r="C95" s="103"/>
      <c r="D95" s="103"/>
      <c r="E95" s="103"/>
      <c r="F95" s="103"/>
      <c r="G95" s="116">
        <f>G69+G92</f>
        <v>108178.65780000002</v>
      </c>
    </row>
    <row r="96" spans="1:20" ht="18" customHeight="1">
      <c r="A96" s="209" t="s">
        <v>314</v>
      </c>
      <c r="B96" s="209"/>
      <c r="C96" s="209"/>
      <c r="D96" s="209"/>
      <c r="E96" s="209"/>
      <c r="F96" s="209"/>
      <c r="G96" s="209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10"/>
    </row>
    <row r="97" spans="1:19" ht="19.5" customHeight="1">
      <c r="A97" s="139" t="s">
        <v>6</v>
      </c>
      <c r="B97" s="211" t="s">
        <v>315</v>
      </c>
      <c r="C97" s="211"/>
      <c r="D97" s="211"/>
      <c r="E97" s="211"/>
      <c r="F97" s="211"/>
      <c r="G97" s="140"/>
      <c r="H97" s="37"/>
      <c r="I97" s="37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19">
      <c r="A98" s="39"/>
      <c r="B98" s="212" t="s">
        <v>7</v>
      </c>
      <c r="C98" s="212"/>
      <c r="D98" s="212"/>
      <c r="E98" s="212"/>
      <c r="F98" s="212"/>
      <c r="G98" s="5"/>
      <c r="H98" s="5"/>
      <c r="I98" s="5"/>
      <c r="J98" s="5"/>
      <c r="K98" s="5"/>
      <c r="L98" s="5"/>
      <c r="M98" s="5"/>
      <c r="N98" s="5"/>
      <c r="O98" s="5"/>
      <c r="P98" s="207"/>
      <c r="Q98" s="207"/>
      <c r="R98" s="207"/>
      <c r="S98" s="207"/>
    </row>
    <row r="99" spans="1:19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</row>
    <row r="100" spans="1:19" ht="18.75">
      <c r="A100" s="208" t="s">
        <v>8</v>
      </c>
      <c r="B100" s="208"/>
      <c r="C100" s="208"/>
      <c r="D100" s="208"/>
      <c r="E100" s="208"/>
      <c r="F100" s="208"/>
      <c r="G100" s="208"/>
    </row>
    <row r="101" spans="1:19" ht="18.75">
      <c r="A101" s="208" t="s">
        <v>9</v>
      </c>
      <c r="B101" s="208"/>
      <c r="C101" s="208"/>
      <c r="D101" s="208"/>
      <c r="E101" s="208"/>
      <c r="F101" s="208"/>
      <c r="G101" s="208"/>
    </row>
    <row r="102" spans="1:19" ht="18.75">
      <c r="A102" s="209" t="s">
        <v>10</v>
      </c>
      <c r="B102" s="209"/>
      <c r="C102" s="209"/>
      <c r="D102" s="209"/>
      <c r="E102" s="209"/>
      <c r="F102" s="209"/>
      <c r="G102" s="209"/>
    </row>
    <row r="103" spans="1:19" ht="18.75">
      <c r="A103" s="153"/>
      <c r="B103" s="154"/>
      <c r="C103" s="154"/>
      <c r="D103" s="154"/>
      <c r="E103" s="154"/>
      <c r="F103" s="154"/>
      <c r="G103" s="154"/>
    </row>
    <row r="104" spans="1:19" ht="18.75">
      <c r="A104" s="210" t="s">
        <v>11</v>
      </c>
      <c r="B104" s="210"/>
      <c r="C104" s="210"/>
      <c r="D104" s="210"/>
      <c r="E104" s="210"/>
      <c r="F104" s="210"/>
      <c r="G104" s="210"/>
    </row>
    <row r="105" spans="1:19" ht="15.75">
      <c r="A105" s="4"/>
    </row>
    <row r="106" spans="1:19" ht="18.75">
      <c r="A106" s="209" t="s">
        <v>12</v>
      </c>
      <c r="B106" s="209"/>
      <c r="C106" s="214" t="s">
        <v>142</v>
      </c>
      <c r="D106" s="214"/>
      <c r="E106" s="214"/>
      <c r="G106" s="34"/>
    </row>
    <row r="107" spans="1:19" ht="18.75">
      <c r="A107" s="155"/>
      <c r="B107" s="154"/>
      <c r="C107" s="212" t="s">
        <v>13</v>
      </c>
      <c r="D107" s="212"/>
      <c r="E107" s="212"/>
      <c r="G107" s="35" t="s">
        <v>14</v>
      </c>
    </row>
    <row r="108" spans="1:19" ht="18.75">
      <c r="A108" s="156"/>
      <c r="B108" s="154"/>
      <c r="C108" s="13"/>
      <c r="D108" s="13"/>
      <c r="F108" s="13"/>
    </row>
    <row r="109" spans="1:19" ht="18.75">
      <c r="A109" s="209" t="s">
        <v>15</v>
      </c>
      <c r="B109" s="209"/>
      <c r="C109" s="213"/>
      <c r="D109" s="213"/>
      <c r="E109" s="213"/>
      <c r="G109" s="34"/>
    </row>
    <row r="110" spans="1:19">
      <c r="A110" s="39"/>
      <c r="C110" s="207" t="s">
        <v>13</v>
      </c>
      <c r="D110" s="207"/>
      <c r="E110" s="207"/>
      <c r="G110" s="35" t="s">
        <v>14</v>
      </c>
    </row>
    <row r="111" spans="1:19">
      <c r="A111" s="160"/>
      <c r="B111" s="161"/>
      <c r="C111" s="141"/>
      <c r="D111" s="141"/>
      <c r="E111" s="141"/>
      <c r="G111" s="36"/>
    </row>
    <row r="112" spans="1:19">
      <c r="A112" s="218" t="s">
        <v>17</v>
      </c>
      <c r="B112" s="218"/>
      <c r="C112" s="218"/>
      <c r="D112" s="218"/>
      <c r="E112" s="218"/>
      <c r="F112" s="218"/>
      <c r="G112" s="218"/>
    </row>
    <row r="113" spans="1:7" ht="45" customHeight="1">
      <c r="A113" s="219" t="s">
        <v>18</v>
      </c>
      <c r="B113" s="219"/>
      <c r="C113" s="219"/>
      <c r="D113" s="219"/>
      <c r="E113" s="219"/>
      <c r="F113" s="219"/>
      <c r="G113" s="219"/>
    </row>
    <row r="114" spans="1:7" ht="28.5" customHeight="1">
      <c r="A114" s="219" t="s">
        <v>19</v>
      </c>
      <c r="B114" s="219"/>
      <c r="C114" s="219"/>
      <c r="D114" s="219"/>
      <c r="E114" s="219"/>
      <c r="F114" s="219"/>
      <c r="G114" s="219"/>
    </row>
    <row r="115" spans="1:7" ht="27" customHeight="1">
      <c r="A115" s="219" t="s">
        <v>24</v>
      </c>
      <c r="B115" s="219"/>
      <c r="C115" s="219"/>
      <c r="D115" s="219"/>
      <c r="E115" s="219"/>
      <c r="F115" s="219"/>
      <c r="G115" s="219"/>
    </row>
    <row r="116" spans="1:7" ht="15" customHeight="1">
      <c r="A116" s="219" t="s">
        <v>23</v>
      </c>
      <c r="B116" s="219"/>
      <c r="C116" s="219"/>
      <c r="D116" s="219"/>
      <c r="E116" s="219"/>
      <c r="F116" s="219"/>
      <c r="G116" s="219"/>
    </row>
    <row r="118" spans="1:7" ht="27.75" customHeight="1">
      <c r="A118" s="14" t="s">
        <v>22</v>
      </c>
      <c r="B118" s="14"/>
      <c r="C118" s="14"/>
      <c r="D118" s="14"/>
      <c r="E118" s="14"/>
      <c r="F118" s="14"/>
    </row>
  </sheetData>
  <autoFilter ref="G13:G94"/>
  <mergeCells count="29">
    <mergeCell ref="A112:G112"/>
    <mergeCell ref="A113:G113"/>
    <mergeCell ref="A114:G114"/>
    <mergeCell ref="A115:G115"/>
    <mergeCell ref="A116:G116"/>
    <mergeCell ref="A96:G96"/>
    <mergeCell ref="A15:G15"/>
    <mergeCell ref="A25:G25"/>
    <mergeCell ref="B36:G36"/>
    <mergeCell ref="B48:G48"/>
    <mergeCell ref="B66:G66"/>
    <mergeCell ref="B97:F97"/>
    <mergeCell ref="C107:E107"/>
    <mergeCell ref="A109:B109"/>
    <mergeCell ref="C109:E109"/>
    <mergeCell ref="C110:E110"/>
    <mergeCell ref="B98:F98"/>
    <mergeCell ref="A106:B106"/>
    <mergeCell ref="C106:E106"/>
    <mergeCell ref="P98:S98"/>
    <mergeCell ref="A100:G100"/>
    <mergeCell ref="A101:G101"/>
    <mergeCell ref="A102:G102"/>
    <mergeCell ref="A104:G104"/>
    <mergeCell ref="A3:G3"/>
    <mergeCell ref="A4:G4"/>
    <mergeCell ref="B5:F5"/>
    <mergeCell ref="A8:G8"/>
    <mergeCell ref="A10:G10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T115"/>
  <sheetViews>
    <sheetView workbookViewId="0">
      <selection activeCell="A3" sqref="A3:G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A1" s="41" t="s">
        <v>128</v>
      </c>
      <c r="G1" s="40"/>
      <c r="H1" s="1"/>
      <c r="I1" s="1"/>
      <c r="J1" s="1"/>
      <c r="K1" s="1"/>
    </row>
    <row r="2" spans="1:11" ht="15.75" customHeight="1">
      <c r="A2" s="42" t="s">
        <v>85</v>
      </c>
      <c r="H2" s="2"/>
      <c r="I2" s="2"/>
      <c r="J2" s="2"/>
      <c r="K2" s="2"/>
    </row>
    <row r="3" spans="1:11" ht="15.75" customHeight="1">
      <c r="A3" s="226" t="s">
        <v>192</v>
      </c>
      <c r="B3" s="226"/>
      <c r="C3" s="226"/>
      <c r="D3" s="226"/>
      <c r="E3" s="226"/>
      <c r="F3" s="226"/>
      <c r="G3" s="226"/>
      <c r="H3" s="3"/>
      <c r="I3" s="3"/>
      <c r="J3" s="3"/>
    </row>
    <row r="4" spans="1:11" ht="31.5" customHeight="1">
      <c r="A4" s="227" t="s">
        <v>228</v>
      </c>
      <c r="B4" s="227"/>
      <c r="C4" s="227"/>
      <c r="D4" s="227"/>
      <c r="E4" s="227"/>
      <c r="F4" s="227"/>
      <c r="G4" s="227"/>
    </row>
    <row r="5" spans="1:11" ht="15.75" customHeight="1">
      <c r="A5" s="226" t="s">
        <v>193</v>
      </c>
      <c r="B5" s="228"/>
      <c r="C5" s="228"/>
      <c r="D5" s="228"/>
      <c r="E5" s="228"/>
      <c r="F5" s="228"/>
      <c r="G5" s="228"/>
      <c r="H5" s="2"/>
      <c r="I5" s="2"/>
      <c r="J5" s="2"/>
      <c r="K5" s="2"/>
    </row>
    <row r="6" spans="1:11" ht="15.75" customHeight="1">
      <c r="A6" s="2"/>
      <c r="B6" s="170"/>
      <c r="C6" s="170"/>
      <c r="D6" s="170"/>
      <c r="E6" s="170"/>
      <c r="F6" s="170"/>
      <c r="G6" s="51">
        <v>42735</v>
      </c>
      <c r="H6" s="2"/>
      <c r="I6" s="2"/>
      <c r="J6" s="2"/>
      <c r="K6" s="2"/>
    </row>
    <row r="7" spans="1:11" ht="15.75" customHeight="1">
      <c r="B7" s="167"/>
      <c r="C7" s="167"/>
      <c r="D7" s="167"/>
      <c r="E7" s="3"/>
      <c r="F7" s="3"/>
      <c r="H7" s="3"/>
      <c r="I7" s="3"/>
      <c r="J7" s="3"/>
      <c r="K7" s="3"/>
    </row>
    <row r="8" spans="1:11" ht="78.75" customHeight="1">
      <c r="A8" s="205" t="s">
        <v>239</v>
      </c>
      <c r="B8" s="205"/>
      <c r="C8" s="205"/>
      <c r="D8" s="205"/>
      <c r="E8" s="205"/>
      <c r="F8" s="205"/>
      <c r="G8" s="205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7.25" customHeight="1">
      <c r="A10" s="206" t="s">
        <v>238</v>
      </c>
      <c r="B10" s="206"/>
      <c r="C10" s="206"/>
      <c r="D10" s="206"/>
      <c r="E10" s="206"/>
      <c r="F10" s="206"/>
      <c r="G10" s="206"/>
      <c r="H10" s="2"/>
      <c r="I10" s="2"/>
      <c r="J10" s="2"/>
      <c r="K10" s="2"/>
    </row>
    <row r="11" spans="1:11" ht="15.75">
      <c r="A11" s="4"/>
    </row>
    <row r="12" spans="1:11" ht="47.2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 t="s">
        <v>25</v>
      </c>
      <c r="G12" s="6" t="s">
        <v>3</v>
      </c>
    </row>
    <row r="13" spans="1:1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5</v>
      </c>
      <c r="G13" s="7">
        <v>6</v>
      </c>
      <c r="H13" s="8"/>
      <c r="I13" s="8"/>
      <c r="J13" s="8"/>
      <c r="K13" s="8"/>
    </row>
    <row r="14" spans="1:11" ht="15.75" customHeight="1">
      <c r="A14" s="229" t="s">
        <v>79</v>
      </c>
      <c r="B14" s="229"/>
      <c r="C14" s="229"/>
      <c r="D14" s="229"/>
      <c r="E14" s="229"/>
      <c r="F14" s="229"/>
      <c r="G14" s="229"/>
      <c r="H14" s="8"/>
      <c r="I14" s="8"/>
      <c r="J14" s="8"/>
      <c r="K14" s="8"/>
    </row>
    <row r="15" spans="1:11" ht="15.75" customHeight="1">
      <c r="A15" s="230" t="s">
        <v>4</v>
      </c>
      <c r="B15" s="230"/>
      <c r="C15" s="230"/>
      <c r="D15" s="230"/>
      <c r="E15" s="230"/>
      <c r="F15" s="230"/>
      <c r="G15" s="230"/>
      <c r="H15" s="8"/>
      <c r="I15" s="8"/>
      <c r="J15" s="8"/>
      <c r="K15" s="8"/>
    </row>
    <row r="16" spans="1:11" ht="15.75" customHeight="1">
      <c r="A16" s="46">
        <v>1</v>
      </c>
      <c r="B16" s="55" t="s">
        <v>130</v>
      </c>
      <c r="C16" s="69" t="s">
        <v>194</v>
      </c>
      <c r="D16" s="55" t="s">
        <v>195</v>
      </c>
      <c r="E16" s="172"/>
      <c r="F16" s="54">
        <v>187.48</v>
      </c>
      <c r="G16" s="175">
        <v>4295.3900000000003</v>
      </c>
      <c r="H16" s="8"/>
      <c r="I16" s="8"/>
      <c r="J16" s="8"/>
      <c r="K16" s="8"/>
    </row>
    <row r="17" spans="1:11" ht="15.75" customHeight="1">
      <c r="A17" s="46">
        <v>2</v>
      </c>
      <c r="B17" s="55" t="s">
        <v>151</v>
      </c>
      <c r="C17" s="69" t="s">
        <v>194</v>
      </c>
      <c r="D17" s="55" t="s">
        <v>196</v>
      </c>
      <c r="E17" s="172"/>
      <c r="F17" s="54">
        <v>187.48</v>
      </c>
      <c r="G17" s="175">
        <v>11454.38</v>
      </c>
      <c r="H17" s="31"/>
      <c r="I17" s="8"/>
      <c r="J17" s="8"/>
      <c r="K17" s="8"/>
    </row>
    <row r="18" spans="1:11" ht="15.75" customHeight="1">
      <c r="A18" s="46">
        <v>3</v>
      </c>
      <c r="B18" s="55" t="s">
        <v>152</v>
      </c>
      <c r="C18" s="69" t="s">
        <v>194</v>
      </c>
      <c r="D18" s="55" t="s">
        <v>197</v>
      </c>
      <c r="E18" s="172"/>
      <c r="F18" s="54">
        <v>539.30999999999995</v>
      </c>
      <c r="G18" s="175">
        <v>9504.7999999999993</v>
      </c>
      <c r="H18" s="31"/>
      <c r="I18" s="8"/>
      <c r="J18" s="8"/>
      <c r="K18" s="8"/>
    </row>
    <row r="19" spans="1:11" ht="15.75" hidden="1" customHeight="1">
      <c r="A19" s="46"/>
      <c r="B19" s="55" t="s">
        <v>198</v>
      </c>
      <c r="C19" s="69" t="s">
        <v>199</v>
      </c>
      <c r="D19" s="55" t="s">
        <v>200</v>
      </c>
      <c r="E19" s="172"/>
      <c r="F19" s="54">
        <v>181.91</v>
      </c>
      <c r="G19" s="175">
        <v>0</v>
      </c>
      <c r="H19" s="31"/>
      <c r="I19" s="8"/>
      <c r="J19" s="8"/>
      <c r="K19" s="8"/>
    </row>
    <row r="20" spans="1:11" ht="15.75" customHeight="1">
      <c r="A20" s="46">
        <v>4</v>
      </c>
      <c r="B20" s="55" t="s">
        <v>164</v>
      </c>
      <c r="C20" s="69" t="s">
        <v>194</v>
      </c>
      <c r="D20" s="55" t="s">
        <v>36</v>
      </c>
      <c r="E20" s="172"/>
      <c r="F20" s="54">
        <v>232.92</v>
      </c>
      <c r="G20" s="175">
        <v>40.76</v>
      </c>
      <c r="H20" s="31"/>
      <c r="I20" s="8"/>
      <c r="J20" s="8"/>
      <c r="K20" s="8"/>
    </row>
    <row r="21" spans="1:11" ht="15.75" hidden="1" customHeight="1">
      <c r="A21" s="46">
        <v>5</v>
      </c>
      <c r="B21" s="55" t="s">
        <v>165</v>
      </c>
      <c r="C21" s="69" t="s">
        <v>194</v>
      </c>
      <c r="D21" s="55" t="s">
        <v>188</v>
      </c>
      <c r="E21" s="172"/>
      <c r="F21" s="54">
        <v>231.03</v>
      </c>
      <c r="G21" s="175">
        <v>0</v>
      </c>
      <c r="H21" s="31"/>
      <c r="I21" s="8"/>
      <c r="J21" s="8"/>
      <c r="K21" s="8"/>
    </row>
    <row r="22" spans="1:11" ht="15.75" hidden="1" customHeight="1">
      <c r="A22" s="46"/>
      <c r="B22" s="55" t="s">
        <v>201</v>
      </c>
      <c r="C22" s="69" t="s">
        <v>68</v>
      </c>
      <c r="D22" s="55" t="s">
        <v>200</v>
      </c>
      <c r="E22" s="172"/>
      <c r="F22" s="54">
        <v>287.83999999999997</v>
      </c>
      <c r="G22" s="175">
        <v>0</v>
      </c>
      <c r="H22" s="31"/>
      <c r="I22" s="8"/>
      <c r="J22" s="8"/>
      <c r="K22" s="8"/>
    </row>
    <row r="23" spans="1:11" ht="15.75" hidden="1" customHeight="1">
      <c r="A23" s="46"/>
      <c r="B23" s="55" t="s">
        <v>202</v>
      </c>
      <c r="C23" s="69" t="s">
        <v>68</v>
      </c>
      <c r="D23" s="55" t="s">
        <v>200</v>
      </c>
      <c r="E23" s="172"/>
      <c r="F23" s="54">
        <v>47.34</v>
      </c>
      <c r="G23" s="175">
        <v>0</v>
      </c>
      <c r="H23" s="31"/>
      <c r="I23" s="8"/>
      <c r="J23" s="8"/>
      <c r="K23" s="8"/>
    </row>
    <row r="24" spans="1:11" ht="15.75" hidden="1" customHeight="1">
      <c r="A24" s="46"/>
      <c r="B24" s="55" t="s">
        <v>176</v>
      </c>
      <c r="C24" s="69" t="s">
        <v>68</v>
      </c>
      <c r="D24" s="55" t="s">
        <v>69</v>
      </c>
      <c r="E24" s="172"/>
      <c r="F24" s="54">
        <v>416.62</v>
      </c>
      <c r="G24" s="175">
        <v>0</v>
      </c>
      <c r="H24" s="31"/>
      <c r="I24" s="8"/>
      <c r="J24" s="8"/>
      <c r="K24" s="8"/>
    </row>
    <row r="25" spans="1:11" ht="15.75" hidden="1" customHeight="1">
      <c r="A25" s="70">
        <v>6</v>
      </c>
      <c r="B25" s="55" t="s">
        <v>203</v>
      </c>
      <c r="C25" s="69" t="s">
        <v>68</v>
      </c>
      <c r="D25" s="55" t="s">
        <v>200</v>
      </c>
      <c r="E25" s="22"/>
      <c r="F25" s="54">
        <v>231.03</v>
      </c>
      <c r="G25" s="175">
        <v>0</v>
      </c>
      <c r="H25" s="31"/>
      <c r="I25" s="8"/>
      <c r="J25" s="8"/>
      <c r="K25" s="8"/>
    </row>
    <row r="26" spans="1:11" ht="15.75" hidden="1" customHeight="1">
      <c r="A26" s="70">
        <v>7</v>
      </c>
      <c r="B26" s="55" t="s">
        <v>177</v>
      </c>
      <c r="C26" s="69" t="s">
        <v>68</v>
      </c>
      <c r="D26" s="55" t="s">
        <v>200</v>
      </c>
      <c r="E26" s="22">
        <v>506.1</v>
      </c>
      <c r="F26" s="54">
        <v>556.74</v>
      </c>
      <c r="G26" s="175">
        <v>0</v>
      </c>
      <c r="H26" s="31"/>
      <c r="I26" s="8"/>
      <c r="J26" s="8"/>
      <c r="K26" s="8"/>
    </row>
    <row r="27" spans="1:11" ht="15.75" customHeight="1">
      <c r="A27" s="70">
        <v>5</v>
      </c>
      <c r="B27" s="55" t="s">
        <v>87</v>
      </c>
      <c r="C27" s="69" t="s">
        <v>40</v>
      </c>
      <c r="D27" s="176" t="s">
        <v>28</v>
      </c>
      <c r="E27" s="22"/>
      <c r="F27" s="54">
        <v>157.18</v>
      </c>
      <c r="G27" s="175">
        <v>478.09</v>
      </c>
      <c r="H27" s="31"/>
      <c r="I27" s="8"/>
      <c r="J27" s="8"/>
      <c r="K27" s="8"/>
    </row>
    <row r="28" spans="1:11" ht="15.75" customHeight="1">
      <c r="A28" s="70">
        <v>6</v>
      </c>
      <c r="B28" s="176" t="s">
        <v>26</v>
      </c>
      <c r="C28" s="69" t="s">
        <v>27</v>
      </c>
      <c r="D28" s="176" t="s">
        <v>28</v>
      </c>
      <c r="E28" s="22"/>
      <c r="F28" s="54">
        <v>4.72</v>
      </c>
      <c r="G28" s="175">
        <v>27453.88</v>
      </c>
      <c r="H28" s="31"/>
      <c r="I28" s="8"/>
      <c r="J28" s="8"/>
      <c r="K28" s="8"/>
    </row>
    <row r="29" spans="1:11" ht="15.75" customHeight="1">
      <c r="A29" s="230" t="s">
        <v>122</v>
      </c>
      <c r="B29" s="230"/>
      <c r="C29" s="230"/>
      <c r="D29" s="230"/>
      <c r="E29" s="230"/>
      <c r="F29" s="230"/>
      <c r="G29" s="230"/>
      <c r="H29" s="31"/>
      <c r="I29" s="8"/>
      <c r="J29" s="8"/>
      <c r="K29" s="8"/>
    </row>
    <row r="30" spans="1:11" ht="15.75" hidden="1" customHeight="1">
      <c r="A30" s="70"/>
      <c r="B30" s="80" t="s">
        <v>34</v>
      </c>
      <c r="C30" s="80"/>
      <c r="D30" s="80"/>
      <c r="E30" s="80"/>
      <c r="F30" s="80"/>
      <c r="G30" s="23"/>
      <c r="H30" s="31"/>
      <c r="I30" s="8"/>
      <c r="J30" s="8"/>
      <c r="K30" s="8"/>
    </row>
    <row r="31" spans="1:11" ht="15.75" hidden="1" customHeight="1">
      <c r="A31" s="70">
        <v>2</v>
      </c>
      <c r="B31" s="55" t="s">
        <v>204</v>
      </c>
      <c r="C31" s="69" t="s">
        <v>205</v>
      </c>
      <c r="D31" s="55" t="s">
        <v>206</v>
      </c>
      <c r="E31" s="17">
        <v>2.31</v>
      </c>
      <c r="F31" s="54">
        <v>166.65</v>
      </c>
      <c r="G31" s="16">
        <v>0</v>
      </c>
      <c r="H31" s="31"/>
      <c r="I31" s="8"/>
      <c r="J31" s="8"/>
      <c r="K31" s="8"/>
    </row>
    <row r="32" spans="1:11" ht="31.5" hidden="1" customHeight="1">
      <c r="A32" s="70">
        <v>3</v>
      </c>
      <c r="B32" s="55" t="s">
        <v>207</v>
      </c>
      <c r="C32" s="69" t="s">
        <v>205</v>
      </c>
      <c r="D32" s="55" t="s">
        <v>208</v>
      </c>
      <c r="E32" s="16">
        <f>0.0024*3*4.5</f>
        <v>3.2399999999999998E-2</v>
      </c>
      <c r="F32" s="54">
        <v>276.48</v>
      </c>
      <c r="G32" s="23">
        <v>0</v>
      </c>
      <c r="H32" s="31"/>
      <c r="I32" s="8"/>
      <c r="J32" s="8"/>
      <c r="K32" s="8"/>
    </row>
    <row r="33" spans="1:12" ht="15.75" hidden="1" customHeight="1">
      <c r="A33" s="70">
        <v>4</v>
      </c>
      <c r="B33" s="55" t="s">
        <v>33</v>
      </c>
      <c r="C33" s="69" t="s">
        <v>205</v>
      </c>
      <c r="D33" s="55" t="s">
        <v>69</v>
      </c>
      <c r="E33" s="21">
        <v>0</v>
      </c>
      <c r="F33" s="54">
        <v>3228.73</v>
      </c>
      <c r="G33" s="23">
        <v>0</v>
      </c>
      <c r="H33" s="31"/>
      <c r="I33" s="8"/>
      <c r="J33" s="8"/>
      <c r="K33" s="8"/>
    </row>
    <row r="34" spans="1:12" ht="15.75" hidden="1" customHeight="1">
      <c r="A34" s="70"/>
      <c r="B34" s="55" t="s">
        <v>209</v>
      </c>
      <c r="C34" s="69" t="s">
        <v>51</v>
      </c>
      <c r="D34" s="55" t="s">
        <v>86</v>
      </c>
      <c r="E34" s="21"/>
      <c r="F34" s="54">
        <v>1391.86</v>
      </c>
      <c r="G34" s="23">
        <v>0</v>
      </c>
      <c r="H34" s="31"/>
      <c r="I34" s="8"/>
    </row>
    <row r="35" spans="1:12" ht="15.75" hidden="1" customHeight="1">
      <c r="A35" s="70">
        <v>5</v>
      </c>
      <c r="B35" s="55" t="s">
        <v>210</v>
      </c>
      <c r="C35" s="69" t="s">
        <v>37</v>
      </c>
      <c r="D35" s="55" t="s">
        <v>86</v>
      </c>
      <c r="E35" s="21">
        <v>0</v>
      </c>
      <c r="F35" s="54">
        <v>60.6</v>
      </c>
      <c r="G35" s="23">
        <v>0</v>
      </c>
      <c r="H35" s="32"/>
    </row>
    <row r="36" spans="1:12" ht="15.75" hidden="1" customHeight="1">
      <c r="A36" s="70">
        <v>4</v>
      </c>
      <c r="B36" s="55" t="s">
        <v>88</v>
      </c>
      <c r="C36" s="69" t="s">
        <v>40</v>
      </c>
      <c r="D36" s="55" t="s">
        <v>90</v>
      </c>
      <c r="E36" s="16">
        <v>3.75</v>
      </c>
      <c r="F36" s="54">
        <v>204.52</v>
      </c>
      <c r="G36" s="16">
        <v>0</v>
      </c>
      <c r="H36" s="32"/>
    </row>
    <row r="37" spans="1:12" ht="15.75" hidden="1" customHeight="1">
      <c r="A37" s="46">
        <v>8</v>
      </c>
      <c r="B37" s="55" t="s">
        <v>89</v>
      </c>
      <c r="C37" s="69" t="s">
        <v>39</v>
      </c>
      <c r="D37" s="55" t="s">
        <v>90</v>
      </c>
      <c r="E37" s="16"/>
      <c r="F37" s="54">
        <v>1214.74</v>
      </c>
      <c r="G37" s="16">
        <v>0</v>
      </c>
      <c r="H37" s="32"/>
    </row>
    <row r="38" spans="1:12" ht="15.75" customHeight="1">
      <c r="A38" s="70"/>
      <c r="B38" s="78" t="s">
        <v>5</v>
      </c>
      <c r="C38" s="78"/>
      <c r="D38" s="78"/>
      <c r="E38" s="16"/>
      <c r="F38" s="17"/>
      <c r="G38" s="23"/>
      <c r="H38" s="32"/>
    </row>
    <row r="39" spans="1:12" ht="15.75" customHeight="1">
      <c r="A39" s="56">
        <v>7</v>
      </c>
      <c r="B39" s="57" t="s">
        <v>31</v>
      </c>
      <c r="C39" s="69" t="s">
        <v>39</v>
      </c>
      <c r="D39" s="55"/>
      <c r="E39" s="16">
        <v>0</v>
      </c>
      <c r="F39" s="54">
        <v>1632.6</v>
      </c>
      <c r="G39" s="16">
        <v>2721</v>
      </c>
      <c r="H39" s="32"/>
    </row>
    <row r="40" spans="1:12" ht="15.75" customHeight="1">
      <c r="A40" s="56">
        <v>8</v>
      </c>
      <c r="B40" s="57" t="s">
        <v>91</v>
      </c>
      <c r="C40" s="177" t="s">
        <v>35</v>
      </c>
      <c r="D40" s="57" t="s">
        <v>211</v>
      </c>
      <c r="E40" s="16"/>
      <c r="F40" s="58">
        <v>2247.8000000000002</v>
      </c>
      <c r="G40" s="16">
        <v>5279.3</v>
      </c>
      <c r="H40" s="32"/>
    </row>
    <row r="41" spans="1:12" ht="15.75" hidden="1" customHeight="1">
      <c r="A41" s="56">
        <v>8</v>
      </c>
      <c r="B41" s="55" t="s">
        <v>156</v>
      </c>
      <c r="C41" s="69" t="s">
        <v>229</v>
      </c>
      <c r="D41" s="55" t="s">
        <v>90</v>
      </c>
      <c r="E41" s="16"/>
      <c r="F41" s="54">
        <v>213.2</v>
      </c>
      <c r="G41" s="16">
        <v>0</v>
      </c>
      <c r="H41" s="32"/>
    </row>
    <row r="42" spans="1:12" ht="15.75" customHeight="1">
      <c r="A42" s="56">
        <v>9</v>
      </c>
      <c r="B42" s="55" t="s">
        <v>92</v>
      </c>
      <c r="C42" s="69" t="s">
        <v>35</v>
      </c>
      <c r="D42" s="55" t="s">
        <v>212</v>
      </c>
      <c r="E42" s="16">
        <v>0</v>
      </c>
      <c r="F42" s="54">
        <v>374.95</v>
      </c>
      <c r="G42" s="16">
        <v>4601.53</v>
      </c>
      <c r="H42" s="32"/>
      <c r="J42" s="25"/>
      <c r="K42" s="26"/>
      <c r="L42" s="27"/>
    </row>
    <row r="43" spans="1:12" ht="47.25" customHeight="1">
      <c r="A43" s="56">
        <v>10</v>
      </c>
      <c r="B43" s="55" t="s">
        <v>118</v>
      </c>
      <c r="C43" s="69" t="s">
        <v>205</v>
      </c>
      <c r="D43" s="55" t="s">
        <v>230</v>
      </c>
      <c r="E43" s="16">
        <v>0</v>
      </c>
      <c r="F43" s="54">
        <v>6203.7</v>
      </c>
      <c r="G43" s="16">
        <v>1469.24</v>
      </c>
      <c r="H43" s="32"/>
      <c r="J43" s="25"/>
      <c r="K43" s="26"/>
      <c r="L43" s="27"/>
    </row>
    <row r="44" spans="1:12" ht="15.75" customHeight="1">
      <c r="A44" s="56">
        <v>11</v>
      </c>
      <c r="B44" s="55" t="s">
        <v>213</v>
      </c>
      <c r="C44" s="69" t="s">
        <v>205</v>
      </c>
      <c r="D44" s="55" t="s">
        <v>93</v>
      </c>
      <c r="E44" s="16"/>
      <c r="F44" s="54">
        <v>458.28</v>
      </c>
      <c r="G44" s="16">
        <v>574.1</v>
      </c>
      <c r="H44" s="32"/>
      <c r="J44" s="25"/>
      <c r="K44" s="26"/>
      <c r="L44" s="27"/>
    </row>
    <row r="45" spans="1:12" ht="15.75" customHeight="1">
      <c r="A45" s="56">
        <v>12</v>
      </c>
      <c r="B45" s="57" t="s">
        <v>94</v>
      </c>
      <c r="C45" s="177" t="s">
        <v>40</v>
      </c>
      <c r="D45" s="57"/>
      <c r="E45" s="16"/>
      <c r="F45" s="58">
        <v>853.06</v>
      </c>
      <c r="G45" s="16">
        <v>170.61</v>
      </c>
      <c r="H45" s="32"/>
      <c r="J45" s="25"/>
      <c r="K45" s="26"/>
      <c r="L45" s="27"/>
    </row>
    <row r="46" spans="1:12" ht="15.75" customHeight="1">
      <c r="A46" s="231" t="s">
        <v>240</v>
      </c>
      <c r="B46" s="232"/>
      <c r="C46" s="232"/>
      <c r="D46" s="232"/>
      <c r="E46" s="232"/>
      <c r="F46" s="232"/>
      <c r="G46" s="233"/>
      <c r="H46" s="32"/>
      <c r="J46" s="25"/>
      <c r="K46" s="26"/>
      <c r="L46" s="27"/>
    </row>
    <row r="47" spans="1:12" ht="15.75" hidden="1" customHeight="1">
      <c r="A47" s="70">
        <v>15</v>
      </c>
      <c r="B47" s="55" t="s">
        <v>214</v>
      </c>
      <c r="C47" s="69" t="s">
        <v>205</v>
      </c>
      <c r="D47" s="55" t="s">
        <v>55</v>
      </c>
      <c r="E47" s="23">
        <v>0.42</v>
      </c>
      <c r="F47" s="61">
        <v>908.11</v>
      </c>
      <c r="G47" s="24">
        <v>0</v>
      </c>
      <c r="H47" s="32"/>
      <c r="J47" s="25"/>
      <c r="K47" s="26"/>
      <c r="L47" s="27"/>
    </row>
    <row r="48" spans="1:12" ht="15.75" hidden="1" customHeight="1">
      <c r="A48" s="70"/>
      <c r="B48" s="55" t="s">
        <v>44</v>
      </c>
      <c r="C48" s="69" t="s">
        <v>205</v>
      </c>
      <c r="D48" s="55" t="s">
        <v>55</v>
      </c>
      <c r="E48" s="23"/>
      <c r="F48" s="61">
        <v>619.46</v>
      </c>
      <c r="G48" s="24">
        <v>0</v>
      </c>
      <c r="H48" s="32"/>
      <c r="J48" s="25"/>
      <c r="K48" s="26"/>
      <c r="L48" s="27"/>
    </row>
    <row r="49" spans="1:12" ht="15.75" hidden="1" customHeight="1">
      <c r="A49" s="70">
        <v>16</v>
      </c>
      <c r="B49" s="55" t="s">
        <v>45</v>
      </c>
      <c r="C49" s="69" t="s">
        <v>205</v>
      </c>
      <c r="D49" s="55" t="s">
        <v>55</v>
      </c>
      <c r="E49" s="23">
        <v>1.35</v>
      </c>
      <c r="F49" s="61">
        <v>619.46</v>
      </c>
      <c r="G49" s="24">
        <v>0</v>
      </c>
      <c r="H49" s="32"/>
      <c r="J49" s="25"/>
      <c r="K49" s="26"/>
      <c r="L49" s="27"/>
    </row>
    <row r="50" spans="1:12" ht="15.75" hidden="1" customHeight="1">
      <c r="A50" s="70">
        <v>17</v>
      </c>
      <c r="B50" s="55" t="s">
        <v>46</v>
      </c>
      <c r="C50" s="69" t="s">
        <v>205</v>
      </c>
      <c r="D50" s="55" t="s">
        <v>55</v>
      </c>
      <c r="E50" s="23">
        <v>0.03</v>
      </c>
      <c r="F50" s="61">
        <v>648.64</v>
      </c>
      <c r="G50" s="24">
        <v>0</v>
      </c>
      <c r="H50" s="32"/>
      <c r="J50" s="25"/>
      <c r="K50" s="26"/>
      <c r="L50" s="27"/>
    </row>
    <row r="51" spans="1:12" ht="15.75" customHeight="1">
      <c r="A51" s="70">
        <v>13</v>
      </c>
      <c r="B51" s="55" t="s">
        <v>76</v>
      </c>
      <c r="C51" s="69" t="s">
        <v>205</v>
      </c>
      <c r="D51" s="55" t="s">
        <v>215</v>
      </c>
      <c r="E51" s="23">
        <v>0.22</v>
      </c>
      <c r="F51" s="61">
        <v>1297.28</v>
      </c>
      <c r="G51" s="16">
        <v>2053.59</v>
      </c>
      <c r="H51" s="32"/>
      <c r="J51" s="25"/>
      <c r="K51" s="26"/>
      <c r="L51" s="27"/>
    </row>
    <row r="52" spans="1:12" ht="31.5" hidden="1" customHeight="1">
      <c r="A52" s="70">
        <v>13</v>
      </c>
      <c r="B52" s="55" t="s">
        <v>216</v>
      </c>
      <c r="C52" s="69" t="s">
        <v>205</v>
      </c>
      <c r="D52" s="55" t="s">
        <v>55</v>
      </c>
      <c r="E52" s="23">
        <v>0.22</v>
      </c>
      <c r="F52" s="61">
        <v>1297.28</v>
      </c>
      <c r="G52" s="24">
        <v>0</v>
      </c>
      <c r="H52" s="32"/>
      <c r="J52" s="25"/>
      <c r="K52" s="26"/>
      <c r="L52" s="27"/>
    </row>
    <row r="53" spans="1:12" ht="31.5" hidden="1" customHeight="1">
      <c r="A53" s="70">
        <v>14</v>
      </c>
      <c r="B53" s="55" t="s">
        <v>217</v>
      </c>
      <c r="C53" s="69" t="s">
        <v>49</v>
      </c>
      <c r="D53" s="55" t="s">
        <v>55</v>
      </c>
      <c r="E53" s="23">
        <v>0.02</v>
      </c>
      <c r="F53" s="61">
        <v>2918.89</v>
      </c>
      <c r="G53" s="24">
        <v>0</v>
      </c>
      <c r="H53" s="32"/>
      <c r="J53" s="25"/>
      <c r="K53" s="26"/>
      <c r="L53" s="27"/>
    </row>
    <row r="54" spans="1:12" ht="15.75" hidden="1" customHeight="1">
      <c r="A54" s="70">
        <v>15</v>
      </c>
      <c r="B54" s="55" t="s">
        <v>50</v>
      </c>
      <c r="C54" s="69" t="s">
        <v>51</v>
      </c>
      <c r="D54" s="55" t="s">
        <v>55</v>
      </c>
      <c r="E54" s="23">
        <v>0.01</v>
      </c>
      <c r="F54" s="61">
        <v>6042.12</v>
      </c>
      <c r="G54" s="24">
        <v>0</v>
      </c>
      <c r="H54" s="32"/>
      <c r="J54" s="25"/>
      <c r="K54" s="26"/>
      <c r="L54" s="27"/>
    </row>
    <row r="55" spans="1:12" ht="15.75" hidden="1" customHeight="1">
      <c r="A55" s="70">
        <v>23</v>
      </c>
      <c r="B55" s="55" t="s">
        <v>54</v>
      </c>
      <c r="C55" s="69" t="s">
        <v>218</v>
      </c>
      <c r="D55" s="55" t="s">
        <v>95</v>
      </c>
      <c r="E55" s="23">
        <v>8</v>
      </c>
      <c r="F55" s="62">
        <v>70.209999999999994</v>
      </c>
      <c r="G55" s="16">
        <v>0</v>
      </c>
      <c r="H55" s="32"/>
      <c r="J55" s="25"/>
      <c r="K55" s="26"/>
      <c r="L55" s="27"/>
    </row>
    <row r="56" spans="1:12" ht="15.75" customHeight="1">
      <c r="A56" s="231" t="s">
        <v>241</v>
      </c>
      <c r="B56" s="232"/>
      <c r="C56" s="232"/>
      <c r="D56" s="232"/>
      <c r="E56" s="232"/>
      <c r="F56" s="232"/>
      <c r="G56" s="233"/>
      <c r="H56" s="32"/>
      <c r="J56" s="25"/>
      <c r="K56" s="26"/>
      <c r="L56" s="27"/>
    </row>
    <row r="57" spans="1:12" ht="15.75" customHeight="1">
      <c r="A57" s="122"/>
      <c r="B57" s="77" t="s">
        <v>56</v>
      </c>
      <c r="C57" s="20"/>
      <c r="D57" s="19"/>
      <c r="E57" s="19"/>
      <c r="F57" s="46"/>
      <c r="G57" s="23"/>
      <c r="H57" s="32"/>
      <c r="J57" s="25"/>
      <c r="K57" s="26"/>
      <c r="L57" s="27"/>
    </row>
    <row r="58" spans="1:12" ht="31.5" customHeight="1">
      <c r="A58" s="70">
        <v>14</v>
      </c>
      <c r="B58" s="55" t="s">
        <v>231</v>
      </c>
      <c r="C58" s="69" t="s">
        <v>194</v>
      </c>
      <c r="D58" s="55" t="s">
        <v>96</v>
      </c>
      <c r="E58" s="23">
        <v>0</v>
      </c>
      <c r="F58" s="58">
        <v>1654.04</v>
      </c>
      <c r="G58" s="24">
        <v>62.52</v>
      </c>
      <c r="H58" s="32"/>
      <c r="J58" s="25"/>
      <c r="K58" s="26"/>
      <c r="L58" s="27"/>
    </row>
    <row r="59" spans="1:12" ht="31.5" customHeight="1">
      <c r="A59" s="70">
        <v>15</v>
      </c>
      <c r="B59" s="55" t="s">
        <v>219</v>
      </c>
      <c r="C59" s="69" t="s">
        <v>194</v>
      </c>
      <c r="D59" s="55" t="s">
        <v>96</v>
      </c>
      <c r="E59" s="23"/>
      <c r="F59" s="178">
        <v>1654.04</v>
      </c>
      <c r="G59" s="24">
        <v>3065.93</v>
      </c>
      <c r="H59" s="32"/>
      <c r="J59" s="25"/>
      <c r="K59" s="26"/>
      <c r="L59" s="27"/>
    </row>
    <row r="60" spans="1:12" ht="15.75" hidden="1" customHeight="1">
      <c r="A60" s="70"/>
      <c r="B60" s="179" t="s">
        <v>168</v>
      </c>
      <c r="C60" s="69" t="s">
        <v>169</v>
      </c>
      <c r="D60" s="179" t="s">
        <v>55</v>
      </c>
      <c r="E60" s="23"/>
      <c r="F60" s="178">
        <v>198.25</v>
      </c>
      <c r="G60" s="24">
        <v>0</v>
      </c>
      <c r="H60" s="32"/>
      <c r="J60" s="25"/>
      <c r="K60" s="26"/>
      <c r="L60" s="27"/>
    </row>
    <row r="61" spans="1:12" ht="15.75" customHeight="1">
      <c r="A61" s="70"/>
      <c r="B61" s="172" t="s">
        <v>57</v>
      </c>
      <c r="C61" s="172"/>
      <c r="D61" s="172"/>
      <c r="E61" s="172"/>
      <c r="F61" s="172"/>
      <c r="G61" s="60"/>
      <c r="H61" s="32"/>
      <c r="J61" s="25"/>
      <c r="K61" s="26"/>
      <c r="L61" s="27"/>
    </row>
    <row r="62" spans="1:12" ht="15.75" hidden="1" customHeight="1">
      <c r="A62" s="70">
        <v>16</v>
      </c>
      <c r="B62" s="179" t="s">
        <v>58</v>
      </c>
      <c r="C62" s="121" t="s">
        <v>68</v>
      </c>
      <c r="D62" s="179" t="s">
        <v>69</v>
      </c>
      <c r="E62" s="180"/>
      <c r="F62" s="181">
        <v>848.37</v>
      </c>
      <c r="G62" s="24">
        <v>0</v>
      </c>
      <c r="H62" s="32"/>
      <c r="J62" s="25"/>
      <c r="K62" s="26"/>
      <c r="L62" s="27"/>
    </row>
    <row r="63" spans="1:12" ht="15.75" customHeight="1">
      <c r="A63" s="70">
        <v>16</v>
      </c>
      <c r="B63" s="179" t="s">
        <v>159</v>
      </c>
      <c r="C63" s="121" t="s">
        <v>29</v>
      </c>
      <c r="D63" s="179" t="s">
        <v>36</v>
      </c>
      <c r="E63" s="180"/>
      <c r="F63" s="182">
        <v>2.6</v>
      </c>
      <c r="G63" s="24">
        <v>915.2</v>
      </c>
      <c r="H63" s="32"/>
      <c r="J63" s="25"/>
      <c r="K63" s="26"/>
      <c r="L63" s="27"/>
    </row>
    <row r="64" spans="1:12" ht="15.75" customHeight="1">
      <c r="A64" s="70"/>
      <c r="B64" s="172" t="s">
        <v>59</v>
      </c>
      <c r="C64" s="20"/>
      <c r="D64" s="64"/>
      <c r="E64" s="19"/>
      <c r="F64" s="46"/>
      <c r="G64" s="23"/>
      <c r="H64" s="32"/>
      <c r="J64" s="25"/>
      <c r="K64" s="26"/>
      <c r="L64" s="27"/>
    </row>
    <row r="65" spans="1:20" ht="15.75" customHeight="1">
      <c r="A65" s="70">
        <v>17</v>
      </c>
      <c r="B65" s="183" t="s">
        <v>60</v>
      </c>
      <c r="C65" s="65" t="s">
        <v>218</v>
      </c>
      <c r="D65" s="64" t="s">
        <v>90</v>
      </c>
      <c r="E65" s="23">
        <v>0</v>
      </c>
      <c r="F65" s="61">
        <v>237.74</v>
      </c>
      <c r="G65" s="24">
        <v>237.74</v>
      </c>
      <c r="H65" s="32"/>
      <c r="J65" s="25"/>
    </row>
    <row r="66" spans="1:20" ht="15.75" hidden="1" customHeight="1">
      <c r="A66" s="46">
        <v>29</v>
      </c>
      <c r="B66" s="183" t="s">
        <v>61</v>
      </c>
      <c r="C66" s="65" t="s">
        <v>218</v>
      </c>
      <c r="D66" s="64" t="s">
        <v>90</v>
      </c>
      <c r="E66" s="23">
        <v>0</v>
      </c>
      <c r="F66" s="61">
        <v>81.510000000000005</v>
      </c>
      <c r="G66" s="24">
        <v>0</v>
      </c>
      <c r="H66" s="32"/>
      <c r="J66" s="25"/>
    </row>
    <row r="67" spans="1:20" ht="15.75" hidden="1" customHeight="1">
      <c r="A67" s="46">
        <v>8</v>
      </c>
      <c r="B67" s="183" t="s">
        <v>62</v>
      </c>
      <c r="C67" s="67" t="s">
        <v>220</v>
      </c>
      <c r="D67" s="64" t="s">
        <v>69</v>
      </c>
      <c r="E67" s="23">
        <v>13.47</v>
      </c>
      <c r="F67" s="61">
        <v>226.79</v>
      </c>
      <c r="G67" s="23">
        <v>0</v>
      </c>
    </row>
    <row r="68" spans="1:20" ht="15.75" hidden="1" customHeight="1">
      <c r="A68" s="46">
        <v>9</v>
      </c>
      <c r="B68" s="183" t="s">
        <v>63</v>
      </c>
      <c r="C68" s="65" t="s">
        <v>221</v>
      </c>
      <c r="D68" s="64"/>
      <c r="E68" s="23">
        <v>1.35</v>
      </c>
      <c r="F68" s="61">
        <v>176.61</v>
      </c>
      <c r="G68" s="23">
        <v>0</v>
      </c>
    </row>
    <row r="69" spans="1:20" ht="15.75" hidden="1" customHeight="1">
      <c r="A69" s="46">
        <v>10</v>
      </c>
      <c r="B69" s="183" t="s">
        <v>64</v>
      </c>
      <c r="C69" s="65" t="s">
        <v>101</v>
      </c>
      <c r="D69" s="64" t="s">
        <v>69</v>
      </c>
      <c r="E69" s="23">
        <v>0</v>
      </c>
      <c r="F69" s="61">
        <v>2217.7800000000002</v>
      </c>
      <c r="G69" s="23"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10"/>
    </row>
    <row r="70" spans="1:20" ht="15.75" hidden="1" customHeight="1">
      <c r="A70" s="46">
        <v>11</v>
      </c>
      <c r="B70" s="123" t="s">
        <v>222</v>
      </c>
      <c r="C70" s="65" t="s">
        <v>40</v>
      </c>
      <c r="D70" s="64"/>
      <c r="E70" s="15">
        <v>0</v>
      </c>
      <c r="F70" s="61">
        <v>42.67</v>
      </c>
      <c r="G70" s="23">
        <v>0</v>
      </c>
      <c r="H70" s="37"/>
      <c r="I70" s="37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20" ht="15.75" hidden="1" customHeight="1">
      <c r="A71" s="46">
        <v>12</v>
      </c>
      <c r="B71" s="123" t="s">
        <v>232</v>
      </c>
      <c r="C71" s="65" t="s">
        <v>40</v>
      </c>
      <c r="D71" s="64"/>
      <c r="E71" s="15"/>
      <c r="F71" s="61">
        <v>39.81</v>
      </c>
      <c r="G71" s="23">
        <v>0</v>
      </c>
      <c r="H71" s="3"/>
      <c r="I71" s="3"/>
      <c r="J71" s="3"/>
      <c r="K71" s="3"/>
      <c r="L71" s="3"/>
      <c r="M71" s="3"/>
      <c r="N71" s="3"/>
      <c r="O71" s="3"/>
      <c r="Q71" s="3"/>
      <c r="R71" s="3"/>
      <c r="S71" s="3"/>
    </row>
    <row r="72" spans="1:20" ht="15.75" hidden="1" customHeight="1">
      <c r="A72" s="46">
        <v>13</v>
      </c>
      <c r="B72" s="64" t="s">
        <v>77</v>
      </c>
      <c r="C72" s="65" t="s">
        <v>78</v>
      </c>
      <c r="D72" s="64" t="s">
        <v>69</v>
      </c>
      <c r="E72" s="15"/>
      <c r="F72" s="61">
        <v>53.32</v>
      </c>
      <c r="G72" s="23">
        <v>0</v>
      </c>
      <c r="H72" s="5"/>
      <c r="I72" s="5"/>
      <c r="J72" s="5"/>
      <c r="K72" s="5"/>
      <c r="L72" s="5"/>
      <c r="M72" s="5"/>
      <c r="N72" s="5"/>
      <c r="O72" s="5"/>
      <c r="P72" s="207"/>
      <c r="Q72" s="207"/>
      <c r="R72" s="207"/>
      <c r="S72" s="207"/>
    </row>
    <row r="73" spans="1:20" ht="15.75" customHeight="1">
      <c r="A73" s="46">
        <v>18</v>
      </c>
      <c r="B73" s="64" t="s">
        <v>233</v>
      </c>
      <c r="C73" s="65" t="s">
        <v>78</v>
      </c>
      <c r="D73" s="64" t="s">
        <v>36</v>
      </c>
      <c r="E73" s="15"/>
      <c r="F73" s="61">
        <v>711</v>
      </c>
      <c r="G73" s="23">
        <v>711</v>
      </c>
      <c r="H73" s="5"/>
      <c r="I73" s="5"/>
      <c r="J73" s="5"/>
      <c r="K73" s="5"/>
      <c r="L73" s="5"/>
      <c r="M73" s="5"/>
      <c r="N73" s="5"/>
      <c r="O73" s="5"/>
      <c r="P73" s="166"/>
      <c r="Q73" s="166"/>
      <c r="R73" s="166"/>
      <c r="S73" s="166"/>
    </row>
    <row r="74" spans="1:20" ht="15.75" customHeight="1">
      <c r="A74" s="122"/>
      <c r="B74" s="172" t="s">
        <v>223</v>
      </c>
      <c r="C74" s="172"/>
      <c r="D74" s="172"/>
      <c r="E74" s="172"/>
      <c r="F74" s="172"/>
      <c r="G74" s="23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1:20" ht="15.75" customHeight="1">
      <c r="A75" s="46">
        <v>19</v>
      </c>
      <c r="B75" s="184" t="s">
        <v>224</v>
      </c>
      <c r="C75" s="185"/>
      <c r="D75" s="186" t="s">
        <v>69</v>
      </c>
      <c r="E75" s="180">
        <v>0</v>
      </c>
      <c r="F75" s="63">
        <v>21062.799999999999</v>
      </c>
      <c r="G75" s="23">
        <v>21062.799999999999</v>
      </c>
    </row>
    <row r="76" spans="1:20" ht="15.75" hidden="1" customHeight="1">
      <c r="A76" s="46"/>
      <c r="B76" s="78" t="s">
        <v>97</v>
      </c>
      <c r="C76" s="78"/>
      <c r="D76" s="78"/>
      <c r="E76" s="23"/>
      <c r="F76" s="46"/>
      <c r="G76" s="23"/>
    </row>
    <row r="77" spans="1:20" ht="15.75" hidden="1" customHeight="1">
      <c r="A77" s="46"/>
      <c r="B77" s="64" t="s">
        <v>98</v>
      </c>
      <c r="C77" s="65" t="s">
        <v>38</v>
      </c>
      <c r="D77" s="64" t="s">
        <v>90</v>
      </c>
      <c r="E77" s="23"/>
      <c r="F77" s="61">
        <v>536.23</v>
      </c>
      <c r="G77" s="23"/>
    </row>
    <row r="78" spans="1:20" ht="15.75" hidden="1" customHeight="1">
      <c r="A78" s="46"/>
      <c r="B78" s="64" t="s">
        <v>136</v>
      </c>
      <c r="C78" s="65" t="s">
        <v>37</v>
      </c>
      <c r="D78" s="64" t="s">
        <v>90</v>
      </c>
      <c r="E78" s="23"/>
      <c r="F78" s="61">
        <v>383.25</v>
      </c>
      <c r="G78" s="23">
        <v>0</v>
      </c>
    </row>
    <row r="79" spans="1:20" ht="15.75" hidden="1" customHeight="1">
      <c r="A79" s="46"/>
      <c r="B79" s="64" t="s">
        <v>99</v>
      </c>
      <c r="C79" s="65" t="s">
        <v>37</v>
      </c>
      <c r="D79" s="64" t="s">
        <v>90</v>
      </c>
      <c r="E79" s="23"/>
      <c r="F79" s="61">
        <v>911.85</v>
      </c>
      <c r="G79" s="23">
        <v>0</v>
      </c>
    </row>
    <row r="80" spans="1:20" ht="15.75" hidden="1" customHeight="1">
      <c r="A80" s="46"/>
      <c r="B80" s="79" t="s">
        <v>100</v>
      </c>
      <c r="C80" s="65"/>
      <c r="D80" s="46"/>
      <c r="E80" s="23"/>
      <c r="F80" s="61" t="s">
        <v>225</v>
      </c>
      <c r="G80" s="23"/>
    </row>
    <row r="81" spans="1:7" ht="15.75" hidden="1" customHeight="1">
      <c r="A81" s="46">
        <v>39</v>
      </c>
      <c r="B81" s="66" t="s">
        <v>226</v>
      </c>
      <c r="C81" s="67" t="s">
        <v>101</v>
      </c>
      <c r="D81" s="183"/>
      <c r="E81" s="23"/>
      <c r="F81" s="62">
        <v>2949.85</v>
      </c>
      <c r="G81" s="23">
        <v>0</v>
      </c>
    </row>
    <row r="82" spans="1:7" ht="15.75" customHeight="1">
      <c r="A82" s="234" t="s">
        <v>242</v>
      </c>
      <c r="B82" s="235"/>
      <c r="C82" s="235"/>
      <c r="D82" s="235"/>
      <c r="E82" s="235"/>
      <c r="F82" s="235"/>
      <c r="G82" s="236"/>
    </row>
    <row r="83" spans="1:7" ht="15.75" customHeight="1">
      <c r="A83" s="46">
        <v>20</v>
      </c>
      <c r="B83" s="55" t="s">
        <v>227</v>
      </c>
      <c r="C83" s="65" t="s">
        <v>73</v>
      </c>
      <c r="D83" s="187"/>
      <c r="E83" s="19">
        <v>327.9</v>
      </c>
      <c r="F83" s="61">
        <v>2.54</v>
      </c>
      <c r="G83" s="16">
        <v>14773.91</v>
      </c>
    </row>
    <row r="84" spans="1:7" ht="31.5" customHeight="1">
      <c r="A84" s="46">
        <v>21</v>
      </c>
      <c r="B84" s="64" t="s">
        <v>102</v>
      </c>
      <c r="C84" s="65"/>
      <c r="D84" s="188"/>
      <c r="E84" s="19"/>
      <c r="F84" s="61">
        <v>2.0499999999999998</v>
      </c>
      <c r="G84" s="16">
        <v>11923.83</v>
      </c>
    </row>
    <row r="85" spans="1:7" ht="15.75" customHeight="1">
      <c r="A85" s="122"/>
      <c r="B85" s="68" t="s">
        <v>108</v>
      </c>
      <c r="C85" s="70"/>
      <c r="D85" s="19"/>
      <c r="E85" s="19"/>
      <c r="F85" s="23"/>
      <c r="G85" s="53">
        <f>SUM(G16+G17+G18+G20+G27+G28+G39+G40+G42+G43+G44+G45+G51+G58+G59+G63+G65+G73+G75+G83+G84)</f>
        <v>122849.60000000002</v>
      </c>
    </row>
    <row r="86" spans="1:7" ht="15.75" customHeight="1">
      <c r="A86" s="122"/>
      <c r="B86" s="189" t="s">
        <v>80</v>
      </c>
      <c r="C86" s="189"/>
      <c r="D86" s="189"/>
      <c r="E86" s="189"/>
      <c r="F86" s="189"/>
      <c r="G86" s="189"/>
    </row>
    <row r="87" spans="1:7" ht="15.75" customHeight="1">
      <c r="A87" s="46">
        <v>22</v>
      </c>
      <c r="B87" s="190" t="s">
        <v>184</v>
      </c>
      <c r="C87" s="191" t="s">
        <v>218</v>
      </c>
      <c r="D87" s="189"/>
      <c r="E87" s="19"/>
      <c r="F87" s="61">
        <v>1072.21</v>
      </c>
      <c r="G87" s="16">
        <v>1072.21</v>
      </c>
    </row>
    <row r="88" spans="1:7" ht="15.75" customHeight="1">
      <c r="A88" s="46">
        <v>23</v>
      </c>
      <c r="B88" s="192" t="s">
        <v>234</v>
      </c>
      <c r="C88" s="193" t="s">
        <v>218</v>
      </c>
      <c r="D88" s="189"/>
      <c r="E88" s="19"/>
      <c r="F88" s="61">
        <v>295.58999999999997</v>
      </c>
      <c r="G88" s="16">
        <v>295.58999999999997</v>
      </c>
    </row>
    <row r="89" spans="1:7" ht="31.5" customHeight="1">
      <c r="A89" s="46">
        <v>24</v>
      </c>
      <c r="B89" s="190" t="s">
        <v>235</v>
      </c>
      <c r="C89" s="191" t="s">
        <v>236</v>
      </c>
      <c r="D89" s="189"/>
      <c r="E89" s="19"/>
      <c r="F89" s="61">
        <v>688.06</v>
      </c>
      <c r="G89" s="16">
        <v>688.06</v>
      </c>
    </row>
    <row r="90" spans="1:7" ht="15.75" customHeight="1">
      <c r="A90" s="46">
        <v>25</v>
      </c>
      <c r="B90" s="55" t="s">
        <v>182</v>
      </c>
      <c r="C90" s="69" t="s">
        <v>218</v>
      </c>
      <c r="D90" s="189"/>
      <c r="E90" s="19"/>
      <c r="F90" s="61">
        <v>81.73</v>
      </c>
      <c r="G90" s="16">
        <v>81.73</v>
      </c>
    </row>
    <row r="91" spans="1:7" ht="15.75" customHeight="1">
      <c r="A91" s="46">
        <v>26</v>
      </c>
      <c r="B91" s="138" t="s">
        <v>237</v>
      </c>
      <c r="C91" s="194" t="s">
        <v>68</v>
      </c>
      <c r="D91" s="189"/>
      <c r="E91" s="19"/>
      <c r="F91" s="61">
        <v>1925.33</v>
      </c>
      <c r="G91" s="16">
        <v>96.27</v>
      </c>
    </row>
    <row r="92" spans="1:7" ht="15.75" customHeight="1">
      <c r="A92" s="46"/>
      <c r="B92" s="75" t="s">
        <v>66</v>
      </c>
      <c r="C92" s="71"/>
      <c r="D92" s="124"/>
      <c r="E92" s="71">
        <v>1</v>
      </c>
      <c r="F92" s="71"/>
      <c r="G92" s="53">
        <f>SUM(G87:G91)</f>
        <v>2233.8599999999997</v>
      </c>
    </row>
    <row r="93" spans="1:7" ht="15.75" customHeight="1">
      <c r="A93" s="46"/>
      <c r="B93" s="81" t="s">
        <v>103</v>
      </c>
      <c r="C93" s="19"/>
      <c r="D93" s="19"/>
      <c r="E93" s="72"/>
      <c r="F93" s="73"/>
      <c r="G93" s="22">
        <v>0</v>
      </c>
    </row>
    <row r="94" spans="1:7" ht="15.75" customHeight="1">
      <c r="A94" s="125"/>
      <c r="B94" s="76" t="s">
        <v>67</v>
      </c>
      <c r="C94" s="59"/>
      <c r="D94" s="59"/>
      <c r="E94" s="59"/>
      <c r="F94" s="59"/>
      <c r="G94" s="74">
        <f>G85+G92</f>
        <v>125083.46000000002</v>
      </c>
    </row>
    <row r="95" spans="1:7" ht="15.75" customHeight="1">
      <c r="A95" s="223" t="s">
        <v>316</v>
      </c>
      <c r="B95" s="223"/>
      <c r="C95" s="223"/>
      <c r="D95" s="223"/>
      <c r="E95" s="223"/>
      <c r="F95" s="223"/>
      <c r="G95" s="223"/>
    </row>
    <row r="96" spans="1:7" ht="15.75" customHeight="1">
      <c r="A96" s="171"/>
      <c r="B96" s="224" t="s">
        <v>317</v>
      </c>
      <c r="C96" s="224"/>
      <c r="D96" s="224"/>
      <c r="E96" s="224"/>
      <c r="F96" s="224"/>
      <c r="G96" s="3"/>
    </row>
    <row r="97" spans="1:7" ht="15.75" customHeight="1">
      <c r="A97" s="166"/>
      <c r="B97" s="212" t="s">
        <v>7</v>
      </c>
      <c r="C97" s="212"/>
      <c r="D97" s="212"/>
      <c r="E97" s="212"/>
      <c r="F97" s="212"/>
      <c r="G97" s="5"/>
    </row>
    <row r="98" spans="1:7" ht="15.75" customHeight="1">
      <c r="A98" s="11"/>
      <c r="B98" s="11"/>
      <c r="C98" s="11"/>
      <c r="D98" s="11"/>
      <c r="E98" s="11"/>
      <c r="F98" s="11"/>
      <c r="G98" s="11"/>
    </row>
    <row r="99" spans="1:7" ht="15.75" customHeight="1">
      <c r="A99" s="225" t="s">
        <v>8</v>
      </c>
      <c r="B99" s="225"/>
      <c r="C99" s="225"/>
      <c r="D99" s="225"/>
      <c r="E99" s="225"/>
      <c r="F99" s="225"/>
      <c r="G99" s="225"/>
    </row>
    <row r="100" spans="1:7" ht="15.75" customHeight="1">
      <c r="A100" s="225" t="s">
        <v>9</v>
      </c>
      <c r="B100" s="225"/>
      <c r="C100" s="225"/>
      <c r="D100" s="225"/>
      <c r="E100" s="225"/>
      <c r="F100" s="225"/>
      <c r="G100" s="225"/>
    </row>
    <row r="101" spans="1:7" ht="15.75" customHeight="1">
      <c r="A101" s="221" t="s">
        <v>82</v>
      </c>
      <c r="B101" s="221"/>
      <c r="C101" s="221"/>
      <c r="D101" s="221"/>
      <c r="E101" s="221"/>
      <c r="F101" s="221"/>
      <c r="G101" s="221"/>
    </row>
    <row r="102" spans="1:7" ht="15.75" customHeight="1">
      <c r="A102" s="12"/>
    </row>
    <row r="103" spans="1:7" ht="15.75" customHeight="1">
      <c r="A103" s="222" t="s">
        <v>11</v>
      </c>
      <c r="B103" s="222"/>
      <c r="C103" s="222"/>
      <c r="D103" s="222"/>
      <c r="E103" s="222"/>
      <c r="F103" s="222"/>
      <c r="G103" s="222"/>
    </row>
    <row r="104" spans="1:7" ht="15.75" customHeight="1">
      <c r="A104" s="4"/>
    </row>
    <row r="105" spans="1:7" ht="15.75" customHeight="1">
      <c r="B105" s="167" t="s">
        <v>12</v>
      </c>
      <c r="C105" s="214" t="s">
        <v>142</v>
      </c>
      <c r="D105" s="214"/>
      <c r="E105" s="214"/>
      <c r="G105" s="169"/>
    </row>
    <row r="106" spans="1:7" ht="15.75" customHeight="1">
      <c r="A106" s="166"/>
      <c r="C106" s="212" t="s">
        <v>13</v>
      </c>
      <c r="D106" s="212"/>
      <c r="E106" s="212"/>
      <c r="G106" s="168" t="s">
        <v>14</v>
      </c>
    </row>
    <row r="107" spans="1:7" ht="15.75" customHeight="1">
      <c r="A107" s="37"/>
      <c r="C107" s="13"/>
      <c r="D107" s="13"/>
      <c r="F107" s="13"/>
    </row>
    <row r="108" spans="1:7" ht="15.75" customHeight="1">
      <c r="B108" s="167" t="s">
        <v>15</v>
      </c>
      <c r="C108" s="213"/>
      <c r="D108" s="213"/>
      <c r="E108" s="213"/>
      <c r="G108" s="169"/>
    </row>
    <row r="109" spans="1:7" ht="15.75" customHeight="1">
      <c r="A109" s="166"/>
      <c r="C109" s="207" t="s">
        <v>13</v>
      </c>
      <c r="D109" s="207"/>
      <c r="E109" s="207"/>
      <c r="G109" s="168" t="s">
        <v>14</v>
      </c>
    </row>
    <row r="110" spans="1:7" ht="15.75" customHeight="1">
      <c r="A110" s="4" t="s">
        <v>16</v>
      </c>
    </row>
    <row r="111" spans="1:7" ht="15.75" customHeight="1">
      <c r="A111" s="220" t="s">
        <v>17</v>
      </c>
      <c r="B111" s="220"/>
      <c r="C111" s="220"/>
      <c r="D111" s="220"/>
      <c r="E111" s="220"/>
      <c r="F111" s="220"/>
      <c r="G111" s="220"/>
    </row>
    <row r="112" spans="1:7" ht="45" customHeight="1">
      <c r="A112" s="219" t="s">
        <v>18</v>
      </c>
      <c r="B112" s="219"/>
      <c r="C112" s="219"/>
      <c r="D112" s="219"/>
      <c r="E112" s="219"/>
      <c r="F112" s="219"/>
      <c r="G112" s="219"/>
    </row>
    <row r="113" spans="1:7" ht="30" customHeight="1">
      <c r="A113" s="219" t="s">
        <v>19</v>
      </c>
      <c r="B113" s="219"/>
      <c r="C113" s="219"/>
      <c r="D113" s="219"/>
      <c r="E113" s="219"/>
      <c r="F113" s="219"/>
      <c r="G113" s="219"/>
    </row>
    <row r="114" spans="1:7" ht="30" customHeight="1">
      <c r="A114" s="219" t="s">
        <v>24</v>
      </c>
      <c r="B114" s="219"/>
      <c r="C114" s="219"/>
      <c r="D114" s="219"/>
      <c r="E114" s="219"/>
      <c r="F114" s="219"/>
      <c r="G114" s="219"/>
    </row>
    <row r="115" spans="1:7" ht="15" customHeight="1">
      <c r="A115" s="219" t="s">
        <v>23</v>
      </c>
      <c r="B115" s="219"/>
      <c r="C115" s="219"/>
      <c r="D115" s="219"/>
      <c r="E115" s="219"/>
      <c r="F115" s="219"/>
      <c r="G115" s="219"/>
    </row>
  </sheetData>
  <autoFilter ref="G12:G67"/>
  <mergeCells count="28">
    <mergeCell ref="A82:G82"/>
    <mergeCell ref="A14:G14"/>
    <mergeCell ref="A15:G15"/>
    <mergeCell ref="A29:G29"/>
    <mergeCell ref="A46:G46"/>
    <mergeCell ref="P72:S72"/>
    <mergeCell ref="A56:G56"/>
    <mergeCell ref="A3:G3"/>
    <mergeCell ref="A4:G4"/>
    <mergeCell ref="A8:G8"/>
    <mergeCell ref="A10:G10"/>
    <mergeCell ref="A5:G5"/>
    <mergeCell ref="A95:G95"/>
    <mergeCell ref="B96:F96"/>
    <mergeCell ref="B97:F97"/>
    <mergeCell ref="A99:G99"/>
    <mergeCell ref="A100:G100"/>
    <mergeCell ref="A101:G101"/>
    <mergeCell ref="A103:G103"/>
    <mergeCell ref="C105:E105"/>
    <mergeCell ref="C106:E106"/>
    <mergeCell ref="A114:G114"/>
    <mergeCell ref="A115:G115"/>
    <mergeCell ref="C108:E108"/>
    <mergeCell ref="C109:E109"/>
    <mergeCell ref="A111:G111"/>
    <mergeCell ref="A112:G112"/>
    <mergeCell ref="A113:G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1" t="s">
        <v>128</v>
      </c>
      <c r="I1" s="40"/>
      <c r="J1" s="1"/>
      <c r="K1" s="1"/>
      <c r="L1" s="1"/>
      <c r="M1" s="1"/>
    </row>
    <row r="2" spans="1:13" ht="15.75" customHeight="1">
      <c r="A2" s="42" t="s">
        <v>85</v>
      </c>
      <c r="J2" s="2"/>
      <c r="K2" s="2"/>
      <c r="L2" s="2"/>
      <c r="M2" s="2"/>
    </row>
    <row r="3" spans="1:13" ht="15.75" customHeight="1">
      <c r="A3" s="226" t="s">
        <v>285</v>
      </c>
      <c r="B3" s="226"/>
      <c r="C3" s="226"/>
      <c r="D3" s="226"/>
      <c r="E3" s="226"/>
      <c r="F3" s="226"/>
      <c r="G3" s="226"/>
      <c r="H3" s="226"/>
      <c r="I3" s="226"/>
      <c r="J3" s="3"/>
      <c r="K3" s="3"/>
      <c r="L3" s="3"/>
    </row>
    <row r="4" spans="1:13" ht="31.5" customHeight="1">
      <c r="A4" s="227" t="s">
        <v>228</v>
      </c>
      <c r="B4" s="227"/>
      <c r="C4" s="227"/>
      <c r="D4" s="227"/>
      <c r="E4" s="227"/>
      <c r="F4" s="227"/>
      <c r="G4" s="227"/>
      <c r="H4" s="227"/>
      <c r="I4" s="227"/>
    </row>
    <row r="5" spans="1:13" ht="15.75" customHeight="1">
      <c r="A5" s="226" t="s">
        <v>109</v>
      </c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5.75" customHeight="1">
      <c r="A6" s="2"/>
      <c r="B6" s="199"/>
      <c r="C6" s="199"/>
      <c r="D6" s="199"/>
      <c r="E6" s="199"/>
      <c r="F6" s="199"/>
      <c r="G6" s="199"/>
      <c r="H6" s="199"/>
      <c r="I6" s="51">
        <v>42429</v>
      </c>
      <c r="J6" s="2"/>
      <c r="K6" s="2"/>
      <c r="L6" s="2"/>
      <c r="M6" s="2"/>
    </row>
    <row r="7" spans="1:13" ht="15.75" customHeight="1">
      <c r="B7" s="200"/>
      <c r="C7" s="200"/>
      <c r="D7" s="20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5" t="s">
        <v>239</v>
      </c>
      <c r="B8" s="205"/>
      <c r="C8" s="205"/>
      <c r="D8" s="205"/>
      <c r="E8" s="205"/>
      <c r="F8" s="205"/>
      <c r="G8" s="205"/>
      <c r="H8" s="205"/>
      <c r="I8" s="20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06" t="s">
        <v>238</v>
      </c>
      <c r="B10" s="206"/>
      <c r="C10" s="206"/>
      <c r="D10" s="206"/>
      <c r="E10" s="206"/>
      <c r="F10" s="206"/>
      <c r="G10" s="206"/>
      <c r="H10" s="206"/>
      <c r="I10" s="20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29" t="s">
        <v>79</v>
      </c>
      <c r="B14" s="229"/>
      <c r="C14" s="229"/>
      <c r="D14" s="229"/>
      <c r="E14" s="229"/>
      <c r="F14" s="229"/>
      <c r="G14" s="229"/>
      <c r="H14" s="229"/>
      <c r="I14" s="229"/>
      <c r="J14" s="8"/>
      <c r="K14" s="8"/>
      <c r="L14" s="8"/>
      <c r="M14" s="8"/>
    </row>
    <row r="15" spans="1:13" ht="15.75" customHeight="1">
      <c r="A15" s="230" t="s">
        <v>4</v>
      </c>
      <c r="B15" s="230"/>
      <c r="C15" s="230"/>
      <c r="D15" s="230"/>
      <c r="E15" s="230"/>
      <c r="F15" s="230"/>
      <c r="G15" s="230"/>
      <c r="H15" s="230"/>
      <c r="I15" s="230"/>
      <c r="J15" s="8"/>
      <c r="K15" s="8"/>
      <c r="L15" s="8"/>
      <c r="M15" s="8"/>
    </row>
    <row r="16" spans="1:13" ht="15.75" customHeight="1">
      <c r="A16" s="46">
        <v>1</v>
      </c>
      <c r="B16" s="247" t="s">
        <v>130</v>
      </c>
      <c r="C16" s="248" t="s">
        <v>194</v>
      </c>
      <c r="D16" s="247" t="s">
        <v>195</v>
      </c>
      <c r="E16" s="249">
        <v>176.24</v>
      </c>
      <c r="F16" s="250">
        <f>SUM(E16*156/100)</f>
        <v>274.93440000000004</v>
      </c>
      <c r="G16" s="250">
        <v>187.48</v>
      </c>
      <c r="H16" s="251">
        <f t="shared" ref="H16:H26" si="0">SUM(F16*G16/1000)</f>
        <v>51.544701312000008</v>
      </c>
      <c r="I16" s="16">
        <f>F16/12*G16</f>
        <v>4295.3917760000004</v>
      </c>
      <c r="J16" s="8"/>
      <c r="K16" s="8"/>
      <c r="L16" s="8"/>
      <c r="M16" s="8"/>
    </row>
    <row r="17" spans="1:13" ht="15.75" customHeight="1">
      <c r="A17" s="46">
        <v>2</v>
      </c>
      <c r="B17" s="247" t="s">
        <v>151</v>
      </c>
      <c r="C17" s="248" t="s">
        <v>194</v>
      </c>
      <c r="D17" s="247" t="s">
        <v>196</v>
      </c>
      <c r="E17" s="249">
        <v>704.96</v>
      </c>
      <c r="F17" s="250">
        <f>SUM(E17*104/100)</f>
        <v>733.15839999999992</v>
      </c>
      <c r="G17" s="250">
        <v>187.48</v>
      </c>
      <c r="H17" s="251">
        <v>137.453</v>
      </c>
      <c r="I17" s="16">
        <f>F17/12*G17</f>
        <v>11454.378069333332</v>
      </c>
      <c r="J17" s="31"/>
      <c r="K17" s="8"/>
      <c r="L17" s="8"/>
      <c r="M17" s="8"/>
    </row>
    <row r="18" spans="1:13" ht="15.75" customHeight="1">
      <c r="A18" s="46">
        <v>3</v>
      </c>
      <c r="B18" s="247" t="s">
        <v>152</v>
      </c>
      <c r="C18" s="248" t="s">
        <v>194</v>
      </c>
      <c r="D18" s="247" t="s">
        <v>197</v>
      </c>
      <c r="E18" s="249">
        <f>SUM(E16+E17)</f>
        <v>881.2</v>
      </c>
      <c r="F18" s="250">
        <f>SUM(E18*24/100)</f>
        <v>211.48800000000003</v>
      </c>
      <c r="G18" s="250">
        <v>539.30999999999995</v>
      </c>
      <c r="H18" s="251">
        <f t="shared" si="0"/>
        <v>114.05759328000001</v>
      </c>
      <c r="I18" s="16">
        <f>F18/12*G18</f>
        <v>9504.7994400000007</v>
      </c>
      <c r="J18" s="31"/>
      <c r="K18" s="8"/>
      <c r="L18" s="8"/>
      <c r="M18" s="8"/>
    </row>
    <row r="19" spans="1:13" ht="15.75" hidden="1" customHeight="1">
      <c r="A19" s="46">
        <v>4</v>
      </c>
      <c r="B19" s="247" t="s">
        <v>198</v>
      </c>
      <c r="C19" s="248" t="s">
        <v>199</v>
      </c>
      <c r="D19" s="247" t="s">
        <v>200</v>
      </c>
      <c r="E19" s="249">
        <v>28.8</v>
      </c>
      <c r="F19" s="250">
        <f>SUM(E19/10)</f>
        <v>2.88</v>
      </c>
      <c r="G19" s="250">
        <v>181.91</v>
      </c>
      <c r="H19" s="251">
        <f t="shared" si="0"/>
        <v>0.52390080000000006</v>
      </c>
      <c r="I19" s="16">
        <v>0</v>
      </c>
      <c r="J19" s="31"/>
      <c r="K19" s="8"/>
      <c r="L19" s="8"/>
      <c r="M19" s="8"/>
    </row>
    <row r="20" spans="1:13" ht="15.75" customHeight="1">
      <c r="A20" s="46">
        <v>4</v>
      </c>
      <c r="B20" s="247" t="s">
        <v>164</v>
      </c>
      <c r="C20" s="248" t="s">
        <v>194</v>
      </c>
      <c r="D20" s="247" t="s">
        <v>36</v>
      </c>
      <c r="E20" s="249">
        <v>17.5</v>
      </c>
      <c r="F20" s="250">
        <f>SUM(E20*12/100)</f>
        <v>2.1</v>
      </c>
      <c r="G20" s="250">
        <v>232.92</v>
      </c>
      <c r="H20" s="251">
        <f t="shared" si="0"/>
        <v>0.48913200000000001</v>
      </c>
      <c r="I20" s="16">
        <f>F20/12*G20</f>
        <v>40.761000000000003</v>
      </c>
      <c r="J20" s="31"/>
      <c r="K20" s="8"/>
      <c r="L20" s="8"/>
      <c r="M20" s="8"/>
    </row>
    <row r="21" spans="1:13" ht="15.75" hidden="1" customHeight="1">
      <c r="A21" s="46">
        <v>5</v>
      </c>
      <c r="B21" s="247" t="s">
        <v>165</v>
      </c>
      <c r="C21" s="248" t="s">
        <v>194</v>
      </c>
      <c r="D21" s="247" t="s">
        <v>188</v>
      </c>
      <c r="E21" s="249">
        <v>5.94</v>
      </c>
      <c r="F21" s="250">
        <f>SUM(E21*6/100)</f>
        <v>0.35639999999999999</v>
      </c>
      <c r="G21" s="250">
        <v>231.03</v>
      </c>
      <c r="H21" s="251">
        <f t="shared" si="0"/>
        <v>8.2339091999999989E-2</v>
      </c>
      <c r="I21" s="16">
        <f>F21/6*G21</f>
        <v>13.723182</v>
      </c>
      <c r="J21" s="31"/>
      <c r="K21" s="8"/>
      <c r="L21" s="8"/>
      <c r="M21" s="8"/>
    </row>
    <row r="22" spans="1:13" ht="15.75" hidden="1" customHeight="1">
      <c r="A22" s="46">
        <v>7</v>
      </c>
      <c r="B22" s="247" t="s">
        <v>201</v>
      </c>
      <c r="C22" s="248" t="s">
        <v>68</v>
      </c>
      <c r="D22" s="247" t="s">
        <v>200</v>
      </c>
      <c r="E22" s="249">
        <v>376</v>
      </c>
      <c r="F22" s="250">
        <f>SUM(E22/100)</f>
        <v>3.76</v>
      </c>
      <c r="G22" s="250">
        <v>287.83999999999997</v>
      </c>
      <c r="H22" s="251">
        <f t="shared" si="0"/>
        <v>1.0822783999999999</v>
      </c>
      <c r="I22" s="16">
        <v>0</v>
      </c>
      <c r="J22" s="31"/>
      <c r="K22" s="8"/>
      <c r="L22" s="8"/>
      <c r="M22" s="8"/>
    </row>
    <row r="23" spans="1:13" ht="15.75" hidden="1" customHeight="1">
      <c r="A23" s="46">
        <v>8</v>
      </c>
      <c r="B23" s="247" t="s">
        <v>202</v>
      </c>
      <c r="C23" s="248" t="s">
        <v>68</v>
      </c>
      <c r="D23" s="247" t="s">
        <v>200</v>
      </c>
      <c r="E23" s="252">
        <v>60.4</v>
      </c>
      <c r="F23" s="250">
        <f>SUM(E23/100)</f>
        <v>0.60399999999999998</v>
      </c>
      <c r="G23" s="250">
        <v>47.34</v>
      </c>
      <c r="H23" s="251">
        <f t="shared" si="0"/>
        <v>2.8593360000000002E-2</v>
      </c>
      <c r="I23" s="16">
        <v>0</v>
      </c>
      <c r="J23" s="31"/>
      <c r="K23" s="8"/>
      <c r="L23" s="8"/>
      <c r="M23" s="8"/>
    </row>
    <row r="24" spans="1:13" ht="15.75" hidden="1" customHeight="1">
      <c r="A24" s="46">
        <v>9</v>
      </c>
      <c r="B24" s="247" t="s">
        <v>176</v>
      </c>
      <c r="C24" s="248" t="s">
        <v>68</v>
      </c>
      <c r="D24" s="247" t="s">
        <v>69</v>
      </c>
      <c r="E24" s="23">
        <v>25</v>
      </c>
      <c r="F24" s="253">
        <f>E24/100</f>
        <v>0.25</v>
      </c>
      <c r="G24" s="250">
        <v>416.62</v>
      </c>
      <c r="H24" s="251">
        <f>F24*G24/1000</f>
        <v>0.104155</v>
      </c>
      <c r="I24" s="16">
        <v>0</v>
      </c>
      <c r="J24" s="31"/>
      <c r="K24" s="8"/>
      <c r="L24" s="8"/>
      <c r="M24" s="8"/>
    </row>
    <row r="25" spans="1:13" ht="15.75" hidden="1" customHeight="1">
      <c r="A25" s="46">
        <v>10</v>
      </c>
      <c r="B25" s="247" t="s">
        <v>203</v>
      </c>
      <c r="C25" s="248" t="s">
        <v>68</v>
      </c>
      <c r="D25" s="247" t="s">
        <v>200</v>
      </c>
      <c r="E25" s="252">
        <v>23.75</v>
      </c>
      <c r="F25" s="250">
        <f>E25/100</f>
        <v>0.23749999999999999</v>
      </c>
      <c r="G25" s="250">
        <v>231.03</v>
      </c>
      <c r="H25" s="251">
        <f>F25*G25/1000</f>
        <v>5.4869624999999998E-2</v>
      </c>
      <c r="I25" s="16">
        <v>0</v>
      </c>
      <c r="J25" s="31"/>
      <c r="K25" s="8"/>
      <c r="L25" s="8"/>
      <c r="M25" s="8"/>
    </row>
    <row r="26" spans="1:13" ht="15.75" hidden="1" customHeight="1">
      <c r="A26" s="46">
        <v>11</v>
      </c>
      <c r="B26" s="247" t="s">
        <v>177</v>
      </c>
      <c r="C26" s="248" t="s">
        <v>68</v>
      </c>
      <c r="D26" s="247" t="s">
        <v>200</v>
      </c>
      <c r="E26" s="249">
        <v>10.63</v>
      </c>
      <c r="F26" s="250">
        <f>SUM(E26/100)</f>
        <v>0.10630000000000001</v>
      </c>
      <c r="G26" s="250">
        <v>556.74</v>
      </c>
      <c r="H26" s="251">
        <f t="shared" si="0"/>
        <v>5.9181462000000004E-2</v>
      </c>
      <c r="I26" s="16">
        <v>0</v>
      </c>
      <c r="J26" s="31"/>
      <c r="K26" s="8"/>
      <c r="L26" s="8"/>
      <c r="M26" s="8"/>
    </row>
    <row r="27" spans="1:13" ht="15.75" customHeight="1">
      <c r="A27" s="46">
        <v>5</v>
      </c>
      <c r="B27" s="247" t="s">
        <v>87</v>
      </c>
      <c r="C27" s="248" t="s">
        <v>40</v>
      </c>
      <c r="D27" s="247" t="s">
        <v>247</v>
      </c>
      <c r="E27" s="249">
        <v>0.1</v>
      </c>
      <c r="F27" s="250">
        <f>SUM(E27*365)</f>
        <v>36.5</v>
      </c>
      <c r="G27" s="250">
        <v>157.18</v>
      </c>
      <c r="H27" s="251">
        <f>SUM(F27*G27/1000)</f>
        <v>5.737070000000001</v>
      </c>
      <c r="I27" s="16">
        <f>F27/12*G27</f>
        <v>478.08916666666664</v>
      </c>
      <c r="J27" s="32"/>
    </row>
    <row r="28" spans="1:13" ht="15.75" customHeight="1">
      <c r="A28" s="46">
        <v>6</v>
      </c>
      <c r="B28" s="255" t="s">
        <v>26</v>
      </c>
      <c r="C28" s="248" t="s">
        <v>27</v>
      </c>
      <c r="D28" s="255" t="s">
        <v>247</v>
      </c>
      <c r="E28" s="249">
        <v>5816.5</v>
      </c>
      <c r="F28" s="250">
        <f>SUM(E28*12)</f>
        <v>69798</v>
      </c>
      <c r="G28" s="250">
        <v>4.72</v>
      </c>
      <c r="H28" s="251">
        <f>SUM(F28*G28/1000)</f>
        <v>329.44655999999998</v>
      </c>
      <c r="I28" s="16">
        <f>F28/12*G28</f>
        <v>27453.879999999997</v>
      </c>
      <c r="J28" s="32"/>
    </row>
    <row r="29" spans="1:13" ht="15.75" customHeight="1">
      <c r="A29" s="230" t="s">
        <v>122</v>
      </c>
      <c r="B29" s="230"/>
      <c r="C29" s="230"/>
      <c r="D29" s="230"/>
      <c r="E29" s="230"/>
      <c r="F29" s="230"/>
      <c r="G29" s="230"/>
      <c r="H29" s="230"/>
      <c r="I29" s="230"/>
      <c r="J29" s="31"/>
      <c r="K29" s="8"/>
      <c r="L29" s="8"/>
      <c r="M29" s="8"/>
    </row>
    <row r="30" spans="1:13" ht="15.75" hidden="1" customHeight="1">
      <c r="A30" s="46"/>
      <c r="B30" s="268" t="s">
        <v>34</v>
      </c>
      <c r="C30" s="248"/>
      <c r="D30" s="247"/>
      <c r="E30" s="249"/>
      <c r="F30" s="250"/>
      <c r="G30" s="250"/>
      <c r="H30" s="251"/>
      <c r="I30" s="16"/>
      <c r="J30" s="31"/>
      <c r="K30" s="8"/>
      <c r="L30" s="8"/>
      <c r="M30" s="8"/>
    </row>
    <row r="31" spans="1:13" ht="15.75" hidden="1" customHeight="1">
      <c r="A31" s="46">
        <v>7</v>
      </c>
      <c r="B31" s="247" t="s">
        <v>204</v>
      </c>
      <c r="C31" s="248" t="s">
        <v>205</v>
      </c>
      <c r="D31" s="247" t="s">
        <v>206</v>
      </c>
      <c r="E31" s="250">
        <v>357.22</v>
      </c>
      <c r="F31" s="250">
        <f>SUM(E31*52/1000)</f>
        <v>18.575440000000004</v>
      </c>
      <c r="G31" s="250">
        <v>166.65</v>
      </c>
      <c r="H31" s="251">
        <f t="shared" ref="H31:H38" si="1">SUM(F31*G31/1000)</f>
        <v>3.0955970760000011</v>
      </c>
      <c r="I31" s="16">
        <f>F31/6*G31</f>
        <v>515.93284600000015</v>
      </c>
      <c r="J31" s="31"/>
      <c r="K31" s="8"/>
      <c r="L31" s="8"/>
      <c r="M31" s="8"/>
    </row>
    <row r="32" spans="1:13" ht="31.5" hidden="1" customHeight="1">
      <c r="A32" s="46">
        <v>8</v>
      </c>
      <c r="B32" s="247" t="s">
        <v>281</v>
      </c>
      <c r="C32" s="248" t="s">
        <v>205</v>
      </c>
      <c r="D32" s="247" t="s">
        <v>208</v>
      </c>
      <c r="E32" s="250">
        <v>475.06</v>
      </c>
      <c r="F32" s="250">
        <f>SUM(E32*78/1000)</f>
        <v>37.054679999999998</v>
      </c>
      <c r="G32" s="250">
        <v>276.48</v>
      </c>
      <c r="H32" s="251">
        <f t="shared" si="1"/>
        <v>10.244877926400001</v>
      </c>
      <c r="I32" s="16">
        <f t="shared" ref="I32:I35" si="2">F32/6*G32</f>
        <v>1707.4796544000001</v>
      </c>
      <c r="J32" s="31"/>
      <c r="K32" s="8"/>
      <c r="L32" s="8"/>
      <c r="M32" s="8"/>
    </row>
    <row r="33" spans="1:14" ht="15.75" hidden="1" customHeight="1">
      <c r="A33" s="46">
        <v>16</v>
      </c>
      <c r="B33" s="247" t="s">
        <v>33</v>
      </c>
      <c r="C33" s="248" t="s">
        <v>205</v>
      </c>
      <c r="D33" s="247" t="s">
        <v>69</v>
      </c>
      <c r="E33" s="250">
        <v>357.22</v>
      </c>
      <c r="F33" s="250">
        <f>SUM(E33/1000)</f>
        <v>0.35722000000000004</v>
      </c>
      <c r="G33" s="250">
        <v>3228.73</v>
      </c>
      <c r="H33" s="251">
        <f t="shared" si="1"/>
        <v>1.1533669306000001</v>
      </c>
      <c r="I33" s="16">
        <f>F33*G33</f>
        <v>1153.3669306000002</v>
      </c>
      <c r="J33" s="31"/>
      <c r="K33" s="8"/>
      <c r="L33" s="8"/>
      <c r="M33" s="8"/>
    </row>
    <row r="34" spans="1:14" ht="15.75" hidden="1" customHeight="1">
      <c r="A34" s="46">
        <v>9</v>
      </c>
      <c r="B34" s="247" t="s">
        <v>245</v>
      </c>
      <c r="C34" s="248" t="s">
        <v>51</v>
      </c>
      <c r="D34" s="247" t="s">
        <v>246</v>
      </c>
      <c r="E34" s="250">
        <v>5</v>
      </c>
      <c r="F34" s="250">
        <f>E34*155/100</f>
        <v>7.75</v>
      </c>
      <c r="G34" s="250">
        <v>1391.86</v>
      </c>
      <c r="H34" s="251">
        <f>G34*F34/1000</f>
        <v>10.786914999999999</v>
      </c>
      <c r="I34" s="16">
        <f t="shared" si="2"/>
        <v>1797.8191666666667</v>
      </c>
      <c r="J34" s="31"/>
      <c r="K34" s="8"/>
      <c r="L34" s="8"/>
      <c r="M34" s="8"/>
    </row>
    <row r="35" spans="1:14" ht="15.75" hidden="1" customHeight="1">
      <c r="A35" s="46">
        <v>10</v>
      </c>
      <c r="B35" s="247" t="s">
        <v>210</v>
      </c>
      <c r="C35" s="248" t="s">
        <v>37</v>
      </c>
      <c r="D35" s="247" t="s">
        <v>86</v>
      </c>
      <c r="E35" s="254">
        <v>0.33333333333333331</v>
      </c>
      <c r="F35" s="250">
        <f>155/3</f>
        <v>51.666666666666664</v>
      </c>
      <c r="G35" s="250">
        <v>60.6</v>
      </c>
      <c r="H35" s="251">
        <f>SUM(G35*155/3/1000)</f>
        <v>3.1309999999999998</v>
      </c>
      <c r="I35" s="16">
        <f t="shared" si="2"/>
        <v>521.83333333333337</v>
      </c>
      <c r="J35" s="31"/>
      <c r="K35" s="8"/>
    </row>
    <row r="36" spans="1:14" ht="15.75" hidden="1" customHeight="1">
      <c r="A36" s="46"/>
      <c r="B36" s="247" t="s">
        <v>88</v>
      </c>
      <c r="C36" s="248" t="s">
        <v>40</v>
      </c>
      <c r="D36" s="247" t="s">
        <v>90</v>
      </c>
      <c r="E36" s="249"/>
      <c r="F36" s="250">
        <v>3</v>
      </c>
      <c r="G36" s="250">
        <v>204.52</v>
      </c>
      <c r="H36" s="251">
        <f t="shared" si="1"/>
        <v>0.61356000000000011</v>
      </c>
      <c r="I36" s="16">
        <v>0</v>
      </c>
      <c r="J36" s="32"/>
    </row>
    <row r="37" spans="1:14" ht="15.75" hidden="1" customHeight="1">
      <c r="A37" s="46"/>
      <c r="B37" s="247" t="s">
        <v>89</v>
      </c>
      <c r="C37" s="248" t="s">
        <v>39</v>
      </c>
      <c r="D37" s="247" t="s">
        <v>90</v>
      </c>
      <c r="E37" s="249"/>
      <c r="F37" s="250">
        <v>2</v>
      </c>
      <c r="G37" s="250">
        <v>1214.74</v>
      </c>
      <c r="H37" s="251">
        <f t="shared" si="1"/>
        <v>2.4294799999999999</v>
      </c>
      <c r="I37" s="16">
        <v>0</v>
      </c>
      <c r="J37" s="32"/>
    </row>
    <row r="38" spans="1:14" ht="15.75" hidden="1" customHeight="1">
      <c r="A38" s="46"/>
      <c r="B38" s="138" t="s">
        <v>248</v>
      </c>
      <c r="C38" s="243" t="s">
        <v>35</v>
      </c>
      <c r="D38" s="247"/>
      <c r="E38" s="249">
        <v>360.36</v>
      </c>
      <c r="F38" s="250">
        <f>E38*36/1000</f>
        <v>12.97296</v>
      </c>
      <c r="G38" s="250">
        <v>3228.73</v>
      </c>
      <c r="H38" s="251">
        <f t="shared" si="1"/>
        <v>41.886185140800002</v>
      </c>
      <c r="I38" s="16">
        <v>0</v>
      </c>
      <c r="J38" s="32"/>
    </row>
    <row r="39" spans="1:14" ht="15.75" customHeight="1">
      <c r="A39" s="46"/>
      <c r="B39" s="268" t="s">
        <v>5</v>
      </c>
      <c r="C39" s="248"/>
      <c r="D39" s="247"/>
      <c r="E39" s="249"/>
      <c r="F39" s="250"/>
      <c r="G39" s="250"/>
      <c r="H39" s="251" t="s">
        <v>225</v>
      </c>
      <c r="I39" s="16"/>
      <c r="J39" s="32"/>
    </row>
    <row r="40" spans="1:14" ht="15.75" customHeight="1">
      <c r="A40" s="46">
        <v>7</v>
      </c>
      <c r="B40" s="247" t="s">
        <v>31</v>
      </c>
      <c r="C40" s="248" t="s">
        <v>39</v>
      </c>
      <c r="D40" s="247"/>
      <c r="E40" s="249"/>
      <c r="F40" s="250">
        <v>10</v>
      </c>
      <c r="G40" s="250">
        <v>1632.6</v>
      </c>
      <c r="H40" s="251">
        <f t="shared" ref="H40:H46" si="3">SUM(F40*G40/1000)</f>
        <v>16.326000000000001</v>
      </c>
      <c r="I40" s="16">
        <f>F40/6*G40</f>
        <v>2721</v>
      </c>
      <c r="J40" s="32"/>
      <c r="L40" s="25"/>
      <c r="M40" s="26"/>
      <c r="N40" s="27"/>
    </row>
    <row r="41" spans="1:14" ht="15.75" customHeight="1">
      <c r="A41" s="46">
        <v>8</v>
      </c>
      <c r="B41" s="247" t="s">
        <v>91</v>
      </c>
      <c r="C41" s="248" t="s">
        <v>35</v>
      </c>
      <c r="D41" s="247" t="s">
        <v>211</v>
      </c>
      <c r="E41" s="250">
        <v>469.73</v>
      </c>
      <c r="F41" s="250">
        <f>SUM(E41*30/1000)</f>
        <v>14.091900000000001</v>
      </c>
      <c r="G41" s="250">
        <v>2247.8000000000002</v>
      </c>
      <c r="H41" s="251">
        <f t="shared" si="3"/>
        <v>31.675772820000006</v>
      </c>
      <c r="I41" s="16">
        <f>F41/6*G41</f>
        <v>5279.2954700000009</v>
      </c>
      <c r="J41" s="32"/>
      <c r="L41" s="25"/>
      <c r="M41" s="26"/>
      <c r="N41" s="27"/>
    </row>
    <row r="42" spans="1:14" ht="15.75" hidden="1" customHeight="1">
      <c r="A42" s="46"/>
      <c r="B42" s="247" t="s">
        <v>156</v>
      </c>
      <c r="C42" s="248" t="s">
        <v>229</v>
      </c>
      <c r="D42" s="247" t="s">
        <v>90</v>
      </c>
      <c r="E42" s="249"/>
      <c r="F42" s="250">
        <v>120</v>
      </c>
      <c r="G42" s="250">
        <v>213.2</v>
      </c>
      <c r="H42" s="251">
        <f t="shared" si="3"/>
        <v>25.584</v>
      </c>
      <c r="I42" s="16">
        <v>0</v>
      </c>
      <c r="J42" s="32"/>
      <c r="L42" s="25"/>
      <c r="M42" s="26"/>
      <c r="N42" s="27"/>
    </row>
    <row r="43" spans="1:14" ht="15.75" customHeight="1">
      <c r="A43" s="46">
        <v>9</v>
      </c>
      <c r="B43" s="247" t="s">
        <v>92</v>
      </c>
      <c r="C43" s="248" t="s">
        <v>35</v>
      </c>
      <c r="D43" s="247" t="s">
        <v>212</v>
      </c>
      <c r="E43" s="250">
        <v>475.06</v>
      </c>
      <c r="F43" s="250">
        <f>SUM(E43*155/1000)</f>
        <v>73.634299999999996</v>
      </c>
      <c r="G43" s="250">
        <v>374.95</v>
      </c>
      <c r="H43" s="251">
        <f t="shared" si="3"/>
        <v>27.609180784999996</v>
      </c>
      <c r="I43" s="16">
        <f>F43/6*G43</f>
        <v>4601.5301308333328</v>
      </c>
      <c r="J43" s="32"/>
      <c r="L43" s="25"/>
      <c r="M43" s="26"/>
      <c r="N43" s="27"/>
    </row>
    <row r="44" spans="1:14" ht="47.25" customHeight="1">
      <c r="A44" s="46">
        <v>10</v>
      </c>
      <c r="B44" s="247" t="s">
        <v>118</v>
      </c>
      <c r="C44" s="248" t="s">
        <v>205</v>
      </c>
      <c r="D44" s="247" t="s">
        <v>230</v>
      </c>
      <c r="E44" s="250">
        <v>40.6</v>
      </c>
      <c r="F44" s="250">
        <f>SUM(E44*35/1000)</f>
        <v>1.421</v>
      </c>
      <c r="G44" s="250">
        <v>6203.7</v>
      </c>
      <c r="H44" s="251">
        <f t="shared" si="3"/>
        <v>8.8154577000000014</v>
      </c>
      <c r="I44" s="16">
        <f>F44/6*G44</f>
        <v>1469.2429500000001</v>
      </c>
      <c r="J44" s="32"/>
      <c r="L44" s="25"/>
      <c r="M44" s="26"/>
      <c r="N44" s="27"/>
    </row>
    <row r="45" spans="1:14" ht="15.75" customHeight="1">
      <c r="A45" s="46">
        <v>11</v>
      </c>
      <c r="B45" s="247" t="s">
        <v>213</v>
      </c>
      <c r="C45" s="248" t="s">
        <v>205</v>
      </c>
      <c r="D45" s="247" t="s">
        <v>93</v>
      </c>
      <c r="E45" s="250">
        <v>167.03</v>
      </c>
      <c r="F45" s="250">
        <f>SUM(E45*45/1000)</f>
        <v>7.5163500000000001</v>
      </c>
      <c r="G45" s="250">
        <v>458.28</v>
      </c>
      <c r="H45" s="251">
        <f t="shared" si="3"/>
        <v>3.4445928779999999</v>
      </c>
      <c r="I45" s="16">
        <f>F45/6*G45</f>
        <v>574.09881299999995</v>
      </c>
      <c r="J45" s="32"/>
      <c r="L45" s="25"/>
      <c r="M45" s="26"/>
      <c r="N45" s="27"/>
    </row>
    <row r="46" spans="1:14" ht="15.75" customHeight="1">
      <c r="A46" s="46">
        <v>12</v>
      </c>
      <c r="B46" s="247" t="s">
        <v>94</v>
      </c>
      <c r="C46" s="248" t="s">
        <v>40</v>
      </c>
      <c r="D46" s="247"/>
      <c r="E46" s="249"/>
      <c r="F46" s="250">
        <v>1.2</v>
      </c>
      <c r="G46" s="250">
        <v>853.06</v>
      </c>
      <c r="H46" s="251">
        <f t="shared" si="3"/>
        <v>1.0236719999999999</v>
      </c>
      <c r="I46" s="16">
        <f>F46/6*G46</f>
        <v>170.61199999999997</v>
      </c>
      <c r="J46" s="32"/>
      <c r="L46" s="25"/>
      <c r="M46" s="26"/>
      <c r="N46" s="27"/>
    </row>
    <row r="47" spans="1:14" ht="15.75" customHeight="1">
      <c r="A47" s="231" t="s">
        <v>240</v>
      </c>
      <c r="B47" s="232"/>
      <c r="C47" s="232"/>
      <c r="D47" s="232"/>
      <c r="E47" s="232"/>
      <c r="F47" s="232"/>
      <c r="G47" s="232"/>
      <c r="H47" s="232"/>
      <c r="I47" s="233"/>
      <c r="J47" s="32"/>
      <c r="L47" s="25"/>
      <c r="M47" s="26"/>
      <c r="N47" s="27"/>
    </row>
    <row r="48" spans="1:14" ht="15.75" hidden="1" customHeight="1">
      <c r="A48" s="46"/>
      <c r="B48" s="247" t="s">
        <v>214</v>
      </c>
      <c r="C48" s="248" t="s">
        <v>205</v>
      </c>
      <c r="D48" s="247" t="s">
        <v>55</v>
      </c>
      <c r="E48" s="249">
        <v>1603.6</v>
      </c>
      <c r="F48" s="250">
        <f>SUM(E48*2/1000)</f>
        <v>3.2071999999999998</v>
      </c>
      <c r="G48" s="16">
        <v>908.11</v>
      </c>
      <c r="H48" s="251">
        <f t="shared" ref="H48:H56" si="4">SUM(F48*G48/1000)</f>
        <v>2.9124903919999996</v>
      </c>
      <c r="I48" s="16">
        <v>0</v>
      </c>
      <c r="J48" s="32"/>
      <c r="L48" s="25"/>
      <c r="M48" s="26"/>
      <c r="N48" s="27"/>
    </row>
    <row r="49" spans="1:22" ht="15.75" hidden="1" customHeight="1">
      <c r="A49" s="46"/>
      <c r="B49" s="247" t="s">
        <v>44</v>
      </c>
      <c r="C49" s="248" t="s">
        <v>205</v>
      </c>
      <c r="D49" s="247" t="s">
        <v>55</v>
      </c>
      <c r="E49" s="249">
        <v>65</v>
      </c>
      <c r="F49" s="250">
        <f>SUM(E49*2/1000)</f>
        <v>0.13</v>
      </c>
      <c r="G49" s="16">
        <v>619.46</v>
      </c>
      <c r="H49" s="251">
        <f t="shared" si="4"/>
        <v>8.0529800000000012E-2</v>
      </c>
      <c r="I49" s="16">
        <v>0</v>
      </c>
      <c r="J49" s="32"/>
      <c r="L49" s="25"/>
      <c r="M49" s="26"/>
      <c r="N49" s="27"/>
    </row>
    <row r="50" spans="1:22" ht="15.75" hidden="1" customHeight="1">
      <c r="A50" s="46"/>
      <c r="B50" s="247" t="s">
        <v>45</v>
      </c>
      <c r="C50" s="248" t="s">
        <v>205</v>
      </c>
      <c r="D50" s="247" t="s">
        <v>55</v>
      </c>
      <c r="E50" s="249">
        <v>1825.8</v>
      </c>
      <c r="F50" s="250">
        <f>SUM(E50*2/1000)</f>
        <v>3.6515999999999997</v>
      </c>
      <c r="G50" s="16">
        <v>619.46</v>
      </c>
      <c r="H50" s="251">
        <f t="shared" si="4"/>
        <v>2.2620201360000003</v>
      </c>
      <c r="I50" s="16">
        <v>0</v>
      </c>
      <c r="J50" s="32"/>
      <c r="L50" s="25"/>
      <c r="M50" s="26"/>
      <c r="N50" s="27"/>
    </row>
    <row r="51" spans="1:22" ht="15.75" hidden="1" customHeight="1">
      <c r="A51" s="46"/>
      <c r="B51" s="247" t="s">
        <v>46</v>
      </c>
      <c r="C51" s="248" t="s">
        <v>205</v>
      </c>
      <c r="D51" s="247" t="s">
        <v>55</v>
      </c>
      <c r="E51" s="249">
        <v>3163.96</v>
      </c>
      <c r="F51" s="250">
        <f>SUM(E51*2/1000)</f>
        <v>6.3279199999999998</v>
      </c>
      <c r="G51" s="16">
        <v>648.64</v>
      </c>
      <c r="H51" s="251">
        <f t="shared" si="4"/>
        <v>4.1045420287999992</v>
      </c>
      <c r="I51" s="16">
        <v>0</v>
      </c>
      <c r="J51" s="32"/>
      <c r="L51" s="25"/>
      <c r="M51" s="26"/>
      <c r="N51" s="27"/>
    </row>
    <row r="52" spans="1:22" ht="15.75" customHeight="1">
      <c r="A52" s="46">
        <v>13</v>
      </c>
      <c r="B52" s="247" t="s">
        <v>76</v>
      </c>
      <c r="C52" s="248" t="s">
        <v>205</v>
      </c>
      <c r="D52" s="247" t="s">
        <v>282</v>
      </c>
      <c r="E52" s="249">
        <v>1583</v>
      </c>
      <c r="F52" s="250">
        <f>SUM(E52*5/1000)</f>
        <v>7.915</v>
      </c>
      <c r="G52" s="16">
        <v>1297.28</v>
      </c>
      <c r="H52" s="251">
        <f t="shared" si="4"/>
        <v>10.2679712</v>
      </c>
      <c r="I52" s="16">
        <f>F52/5*G52</f>
        <v>2053.5942399999999</v>
      </c>
      <c r="J52" s="32"/>
      <c r="L52" s="25"/>
      <c r="M52" s="26"/>
      <c r="N52" s="27"/>
    </row>
    <row r="53" spans="1:22" ht="31.5" hidden="1" customHeight="1">
      <c r="A53" s="46"/>
      <c r="B53" s="247" t="s">
        <v>216</v>
      </c>
      <c r="C53" s="248" t="s">
        <v>205</v>
      </c>
      <c r="D53" s="247" t="s">
        <v>55</v>
      </c>
      <c r="E53" s="249">
        <v>1583</v>
      </c>
      <c r="F53" s="250">
        <f>SUM(E53*2/1000)</f>
        <v>3.1659999999999999</v>
      </c>
      <c r="G53" s="16">
        <v>1297.28</v>
      </c>
      <c r="H53" s="251">
        <f t="shared" si="4"/>
        <v>4.1071884799999996</v>
      </c>
      <c r="I53" s="16">
        <v>0</v>
      </c>
      <c r="J53" s="32"/>
      <c r="L53" s="25"/>
      <c r="M53" s="26"/>
      <c r="N53" s="27"/>
    </row>
    <row r="54" spans="1:22" ht="31.5" hidden="1" customHeight="1">
      <c r="A54" s="46"/>
      <c r="B54" s="247" t="s">
        <v>217</v>
      </c>
      <c r="C54" s="248" t="s">
        <v>49</v>
      </c>
      <c r="D54" s="247" t="s">
        <v>55</v>
      </c>
      <c r="E54" s="249">
        <v>25</v>
      </c>
      <c r="F54" s="250">
        <f>SUM(E54*2/100)</f>
        <v>0.5</v>
      </c>
      <c r="G54" s="16">
        <v>2918.89</v>
      </c>
      <c r="H54" s="251">
        <f t="shared" si="4"/>
        <v>1.4594449999999999</v>
      </c>
      <c r="I54" s="16">
        <v>0</v>
      </c>
      <c r="J54" s="32"/>
      <c r="L54" s="25"/>
      <c r="M54" s="26"/>
      <c r="N54" s="27"/>
    </row>
    <row r="55" spans="1:22" ht="15.75" hidden="1" customHeight="1">
      <c r="A55" s="46"/>
      <c r="B55" s="247" t="s">
        <v>50</v>
      </c>
      <c r="C55" s="248" t="s">
        <v>51</v>
      </c>
      <c r="D55" s="247" t="s">
        <v>55</v>
      </c>
      <c r="E55" s="249">
        <v>1</v>
      </c>
      <c r="F55" s="250">
        <v>0.02</v>
      </c>
      <c r="G55" s="16">
        <v>6042.12</v>
      </c>
      <c r="H55" s="251">
        <f t="shared" si="4"/>
        <v>0.1208424</v>
      </c>
      <c r="I55" s="16">
        <v>0</v>
      </c>
      <c r="J55" s="32"/>
      <c r="L55" s="25"/>
      <c r="M55" s="26"/>
      <c r="N55" s="27"/>
    </row>
    <row r="56" spans="1:22" ht="15.75" hidden="1" customHeight="1">
      <c r="A56" s="46">
        <v>15</v>
      </c>
      <c r="B56" s="247" t="s">
        <v>54</v>
      </c>
      <c r="C56" s="248" t="s">
        <v>37</v>
      </c>
      <c r="D56" s="247" t="s">
        <v>95</v>
      </c>
      <c r="E56" s="249">
        <v>36</v>
      </c>
      <c r="F56" s="250">
        <f>SUM(E56)*3</f>
        <v>108</v>
      </c>
      <c r="G56" s="16">
        <v>70.209999999999994</v>
      </c>
      <c r="H56" s="251">
        <f t="shared" si="4"/>
        <v>7.582679999999999</v>
      </c>
      <c r="I56" s="16">
        <f>E56*G56</f>
        <v>2527.56</v>
      </c>
      <c r="J56" s="32"/>
      <c r="L56" s="25"/>
      <c r="M56" s="26"/>
      <c r="N56" s="27"/>
    </row>
    <row r="57" spans="1:22" ht="15.75" customHeight="1">
      <c r="A57" s="231" t="s">
        <v>241</v>
      </c>
      <c r="B57" s="232"/>
      <c r="C57" s="232"/>
      <c r="D57" s="232"/>
      <c r="E57" s="232"/>
      <c r="F57" s="232"/>
      <c r="G57" s="232"/>
      <c r="H57" s="232"/>
      <c r="I57" s="233"/>
      <c r="J57" s="32"/>
      <c r="L57" s="25"/>
      <c r="M57" s="26"/>
      <c r="N57" s="27"/>
    </row>
    <row r="58" spans="1:22" ht="15.75" customHeight="1">
      <c r="A58" s="46"/>
      <c r="B58" s="268" t="s">
        <v>56</v>
      </c>
      <c r="C58" s="248"/>
      <c r="D58" s="247"/>
      <c r="E58" s="249"/>
      <c r="F58" s="250"/>
      <c r="G58" s="250"/>
      <c r="H58" s="251"/>
      <c r="I58" s="16"/>
      <c r="J58" s="32"/>
      <c r="L58" s="25"/>
      <c r="M58" s="26"/>
      <c r="N58" s="27"/>
    </row>
    <row r="59" spans="1:22" ht="31.5" customHeight="1">
      <c r="A59" s="46">
        <v>14</v>
      </c>
      <c r="B59" s="247" t="s">
        <v>231</v>
      </c>
      <c r="C59" s="248" t="s">
        <v>194</v>
      </c>
      <c r="D59" s="247" t="s">
        <v>96</v>
      </c>
      <c r="E59" s="256">
        <v>3.78</v>
      </c>
      <c r="F59" s="16">
        <f>E59*6/100</f>
        <v>0.2268</v>
      </c>
      <c r="G59" s="250">
        <v>1654.04</v>
      </c>
      <c r="H59" s="251">
        <f>SUM(F59*G59/1000)</f>
        <v>0.37513627199999999</v>
      </c>
      <c r="I59" s="16">
        <f>F59/6*G59</f>
        <v>62.522711999999999</v>
      </c>
      <c r="J59" s="32"/>
      <c r="L59" s="25"/>
      <c r="M59" s="26"/>
      <c r="N59" s="27"/>
    </row>
    <row r="60" spans="1:22" ht="31.5" customHeight="1">
      <c r="A60" s="46">
        <v>15</v>
      </c>
      <c r="B60" s="247" t="s">
        <v>219</v>
      </c>
      <c r="C60" s="248" t="s">
        <v>194</v>
      </c>
      <c r="D60" s="247" t="s">
        <v>96</v>
      </c>
      <c r="E60" s="249">
        <v>185.36</v>
      </c>
      <c r="F60" s="250">
        <f>E60*6/100</f>
        <v>11.121600000000001</v>
      </c>
      <c r="G60" s="257">
        <v>1654.04</v>
      </c>
      <c r="H60" s="251">
        <f>F60*G60/1000</f>
        <v>18.395571264000001</v>
      </c>
      <c r="I60" s="16">
        <f>F60/6*G60</f>
        <v>3065.9285440000003</v>
      </c>
      <c r="J60" s="32"/>
      <c r="L60" s="25"/>
    </row>
    <row r="61" spans="1:22" ht="15.75" hidden="1" customHeight="1">
      <c r="A61" s="46"/>
      <c r="B61" s="258" t="s">
        <v>168</v>
      </c>
      <c r="C61" s="248" t="s">
        <v>169</v>
      </c>
      <c r="D61" s="258" t="s">
        <v>55</v>
      </c>
      <c r="E61" s="259">
        <v>5</v>
      </c>
      <c r="F61" s="260">
        <v>10</v>
      </c>
      <c r="G61" s="257">
        <v>198.25</v>
      </c>
      <c r="H61" s="261">
        <v>0.99099999999999999</v>
      </c>
      <c r="I61" s="16">
        <v>0</v>
      </c>
      <c r="J61" s="32"/>
      <c r="L61" s="25"/>
    </row>
    <row r="62" spans="1:22" ht="15.75" customHeight="1">
      <c r="A62" s="46"/>
      <c r="B62" s="269" t="s">
        <v>57</v>
      </c>
      <c r="C62" s="262"/>
      <c r="D62" s="258"/>
      <c r="E62" s="259"/>
      <c r="F62" s="260"/>
      <c r="G62" s="263"/>
      <c r="H62" s="261"/>
      <c r="I62" s="16"/>
    </row>
    <row r="63" spans="1:22" ht="15.75" hidden="1" customHeight="1">
      <c r="A63" s="46"/>
      <c r="B63" s="258" t="s">
        <v>58</v>
      </c>
      <c r="C63" s="262" t="s">
        <v>68</v>
      </c>
      <c r="D63" s="258" t="s">
        <v>69</v>
      </c>
      <c r="E63" s="259">
        <v>1752</v>
      </c>
      <c r="F63" s="260">
        <f>E63/100</f>
        <v>17.52</v>
      </c>
      <c r="G63" s="250">
        <v>848.37</v>
      </c>
      <c r="H63" s="261">
        <f>G63*F63/1000</f>
        <v>14.8634424</v>
      </c>
      <c r="I63" s="16">
        <v>0</v>
      </c>
    </row>
    <row r="64" spans="1:22" ht="15.75" customHeight="1">
      <c r="A64" s="46">
        <v>16</v>
      </c>
      <c r="B64" s="258" t="s">
        <v>159</v>
      </c>
      <c r="C64" s="262" t="s">
        <v>29</v>
      </c>
      <c r="D64" s="258" t="s">
        <v>249</v>
      </c>
      <c r="E64" s="259">
        <v>352</v>
      </c>
      <c r="F64" s="260">
        <f>E64*12</f>
        <v>4224</v>
      </c>
      <c r="G64" s="250">
        <v>2.6</v>
      </c>
      <c r="H64" s="261">
        <f>G64*F64/1000</f>
        <v>10.9824</v>
      </c>
      <c r="I64" s="16">
        <f>F64/12*G64</f>
        <v>915.2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0"/>
    </row>
    <row r="65" spans="1:21" ht="15.75" customHeight="1">
      <c r="A65" s="46"/>
      <c r="B65" s="269" t="s">
        <v>59</v>
      </c>
      <c r="C65" s="262"/>
      <c r="D65" s="258"/>
      <c r="E65" s="259"/>
      <c r="F65" s="260"/>
      <c r="G65" s="270"/>
      <c r="H65" s="261" t="s">
        <v>225</v>
      </c>
      <c r="I65" s="16"/>
      <c r="J65" s="37"/>
      <c r="K65" s="37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46">
        <v>17</v>
      </c>
      <c r="B66" s="18" t="s">
        <v>60</v>
      </c>
      <c r="C66" s="20" t="s">
        <v>218</v>
      </c>
      <c r="D66" s="18" t="s">
        <v>90</v>
      </c>
      <c r="E66" s="23">
        <v>10</v>
      </c>
      <c r="F66" s="250">
        <v>10</v>
      </c>
      <c r="G66" s="16">
        <v>237.74</v>
      </c>
      <c r="H66" s="244">
        <f t="shared" ref="H66:H80" si="5">SUM(F66*G66/1000)</f>
        <v>2.3774000000000002</v>
      </c>
      <c r="I66" s="16">
        <f>G66</f>
        <v>237.74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46"/>
      <c r="B67" s="18" t="s">
        <v>61</v>
      </c>
      <c r="C67" s="20" t="s">
        <v>218</v>
      </c>
      <c r="D67" s="18" t="s">
        <v>90</v>
      </c>
      <c r="E67" s="23">
        <v>5</v>
      </c>
      <c r="F67" s="250">
        <v>5</v>
      </c>
      <c r="G67" s="16">
        <v>81.510000000000005</v>
      </c>
      <c r="H67" s="244">
        <f t="shared" si="5"/>
        <v>0.40755000000000002</v>
      </c>
      <c r="I67" s="16">
        <v>0</v>
      </c>
      <c r="J67" s="5"/>
      <c r="K67" s="5"/>
      <c r="L67" s="5"/>
      <c r="M67" s="5"/>
      <c r="N67" s="5"/>
      <c r="O67" s="5"/>
      <c r="P67" s="5"/>
      <c r="Q67" s="5"/>
      <c r="R67" s="207"/>
      <c r="S67" s="207"/>
      <c r="T67" s="207"/>
      <c r="U67" s="207"/>
    </row>
    <row r="68" spans="1:21" ht="15.75" hidden="1" customHeight="1">
      <c r="A68" s="46"/>
      <c r="B68" s="18" t="s">
        <v>62</v>
      </c>
      <c r="C68" s="20" t="s">
        <v>220</v>
      </c>
      <c r="D68" s="18" t="s">
        <v>69</v>
      </c>
      <c r="E68" s="249">
        <v>23808</v>
      </c>
      <c r="F68" s="16">
        <f>SUM(E68/100)</f>
        <v>238.08</v>
      </c>
      <c r="G68" s="16">
        <v>226.79</v>
      </c>
      <c r="H68" s="244">
        <f t="shared" si="5"/>
        <v>53.994163200000003</v>
      </c>
      <c r="I68" s="16">
        <f>F68*G68</f>
        <v>53994.163200000003</v>
      </c>
    </row>
    <row r="69" spans="1:21" ht="15.75" hidden="1" customHeight="1">
      <c r="A69" s="46"/>
      <c r="B69" s="18" t="s">
        <v>63</v>
      </c>
      <c r="C69" s="20" t="s">
        <v>221</v>
      </c>
      <c r="D69" s="18"/>
      <c r="E69" s="249">
        <v>23808</v>
      </c>
      <c r="F69" s="16">
        <f>SUM(E69/1000)</f>
        <v>23.808</v>
      </c>
      <c r="G69" s="16">
        <v>176.61</v>
      </c>
      <c r="H69" s="244">
        <f t="shared" si="5"/>
        <v>4.2047308800000005</v>
      </c>
      <c r="I69" s="16">
        <f t="shared" ref="I69:I73" si="6">F69*G69</f>
        <v>4204.7308800000001</v>
      </c>
    </row>
    <row r="70" spans="1:21" ht="15.75" hidden="1" customHeight="1">
      <c r="A70" s="46"/>
      <c r="B70" s="18" t="s">
        <v>64</v>
      </c>
      <c r="C70" s="20" t="s">
        <v>101</v>
      </c>
      <c r="D70" s="18" t="s">
        <v>69</v>
      </c>
      <c r="E70" s="249">
        <v>3810</v>
      </c>
      <c r="F70" s="16">
        <f>SUM(E70/100)</f>
        <v>38.1</v>
      </c>
      <c r="G70" s="16">
        <v>2217.7800000000002</v>
      </c>
      <c r="H70" s="244">
        <f t="shared" si="5"/>
        <v>84.49741800000001</v>
      </c>
      <c r="I70" s="16">
        <f t="shared" si="6"/>
        <v>84497.418000000005</v>
      </c>
    </row>
    <row r="71" spans="1:21" ht="15.75" hidden="1" customHeight="1">
      <c r="A71" s="46"/>
      <c r="B71" s="264" t="s">
        <v>222</v>
      </c>
      <c r="C71" s="20" t="s">
        <v>40</v>
      </c>
      <c r="D71" s="18"/>
      <c r="E71" s="249">
        <v>23.4</v>
      </c>
      <c r="F71" s="16">
        <f>SUM(E71)</f>
        <v>23.4</v>
      </c>
      <c r="G71" s="16">
        <v>42.67</v>
      </c>
      <c r="H71" s="244">
        <f t="shared" si="5"/>
        <v>0.99847799999999998</v>
      </c>
      <c r="I71" s="16">
        <f t="shared" si="6"/>
        <v>998.47799999999995</v>
      </c>
    </row>
    <row r="72" spans="1:21" ht="15.75" hidden="1" customHeight="1">
      <c r="A72" s="46"/>
      <c r="B72" s="264" t="s">
        <v>232</v>
      </c>
      <c r="C72" s="20" t="s">
        <v>40</v>
      </c>
      <c r="D72" s="18"/>
      <c r="E72" s="249">
        <v>23.4</v>
      </c>
      <c r="F72" s="16">
        <f>SUM(E72)</f>
        <v>23.4</v>
      </c>
      <c r="G72" s="16">
        <v>39.81</v>
      </c>
      <c r="H72" s="244">
        <f t="shared" si="5"/>
        <v>0.93155399999999999</v>
      </c>
      <c r="I72" s="16">
        <f t="shared" si="6"/>
        <v>931.55399999999997</v>
      </c>
    </row>
    <row r="73" spans="1:21" ht="15.75" hidden="1" customHeight="1">
      <c r="A73" s="46"/>
      <c r="B73" s="18" t="s">
        <v>77</v>
      </c>
      <c r="C73" s="20" t="s">
        <v>78</v>
      </c>
      <c r="D73" s="18" t="s">
        <v>69</v>
      </c>
      <c r="E73" s="23">
        <v>5</v>
      </c>
      <c r="F73" s="250">
        <f>SUM(E73)</f>
        <v>5</v>
      </c>
      <c r="G73" s="16">
        <v>53.32</v>
      </c>
      <c r="H73" s="244">
        <f t="shared" si="5"/>
        <v>0.2666</v>
      </c>
      <c r="I73" s="16">
        <f t="shared" si="6"/>
        <v>266.60000000000002</v>
      </c>
    </row>
    <row r="74" spans="1:21" ht="15.75" customHeight="1">
      <c r="A74" s="46">
        <v>18</v>
      </c>
      <c r="B74" s="18" t="s">
        <v>233</v>
      </c>
      <c r="C74" s="20" t="s">
        <v>78</v>
      </c>
      <c r="D74" s="18" t="s">
        <v>36</v>
      </c>
      <c r="E74" s="23">
        <v>1</v>
      </c>
      <c r="F74" s="237">
        <v>12</v>
      </c>
      <c r="G74" s="16">
        <v>711</v>
      </c>
      <c r="H74" s="244">
        <v>8.5310000000000006</v>
      </c>
      <c r="I74" s="16">
        <f>F74/12*G74</f>
        <v>711</v>
      </c>
    </row>
    <row r="75" spans="1:21" ht="15.75" hidden="1" customHeight="1">
      <c r="A75" s="46"/>
      <c r="B75" s="198" t="s">
        <v>97</v>
      </c>
      <c r="C75" s="20"/>
      <c r="D75" s="18"/>
      <c r="E75" s="23"/>
      <c r="F75" s="16"/>
      <c r="G75" s="16"/>
      <c r="H75" s="244" t="s">
        <v>225</v>
      </c>
      <c r="I75" s="16"/>
    </row>
    <row r="76" spans="1:21" ht="15.75" hidden="1" customHeight="1">
      <c r="A76" s="46"/>
      <c r="B76" s="18" t="s">
        <v>98</v>
      </c>
      <c r="C76" s="20" t="s">
        <v>38</v>
      </c>
      <c r="D76" s="18" t="s">
        <v>90</v>
      </c>
      <c r="E76" s="23">
        <v>2</v>
      </c>
      <c r="F76" s="237">
        <v>0.2</v>
      </c>
      <c r="G76" s="16">
        <v>536.23</v>
      </c>
      <c r="H76" s="244">
        <v>0.107</v>
      </c>
      <c r="I76" s="16">
        <v>0</v>
      </c>
    </row>
    <row r="77" spans="1:21" ht="15.75" hidden="1" customHeight="1">
      <c r="A77" s="46"/>
      <c r="B77" s="18" t="s">
        <v>136</v>
      </c>
      <c r="C77" s="20" t="s">
        <v>37</v>
      </c>
      <c r="D77" s="18"/>
      <c r="E77" s="23">
        <v>1</v>
      </c>
      <c r="F77" s="250">
        <f>SUM(E77)</f>
        <v>1</v>
      </c>
      <c r="G77" s="16">
        <v>383.25</v>
      </c>
      <c r="H77" s="244">
        <f t="shared" si="5"/>
        <v>0.38324999999999998</v>
      </c>
      <c r="I77" s="16">
        <v>0</v>
      </c>
    </row>
    <row r="78" spans="1:21" ht="15.75" hidden="1" customHeight="1">
      <c r="A78" s="46"/>
      <c r="B78" s="18" t="s">
        <v>99</v>
      </c>
      <c r="C78" s="20" t="s">
        <v>37</v>
      </c>
      <c r="D78" s="18"/>
      <c r="E78" s="23">
        <v>1</v>
      </c>
      <c r="F78" s="16">
        <v>1</v>
      </c>
      <c r="G78" s="16">
        <v>911.85</v>
      </c>
      <c r="H78" s="244">
        <f>F78*G78/1000</f>
        <v>0.91185000000000005</v>
      </c>
      <c r="I78" s="16">
        <v>0</v>
      </c>
    </row>
    <row r="79" spans="1:21" ht="15.75" hidden="1" customHeight="1">
      <c r="A79" s="46"/>
      <c r="B79" s="265" t="s">
        <v>100</v>
      </c>
      <c r="C79" s="20"/>
      <c r="D79" s="18"/>
      <c r="E79" s="23"/>
      <c r="F79" s="16"/>
      <c r="G79" s="16" t="s">
        <v>225</v>
      </c>
      <c r="H79" s="244" t="s">
        <v>225</v>
      </c>
      <c r="I79" s="16"/>
    </row>
    <row r="80" spans="1:21" ht="15.75" hidden="1" customHeight="1">
      <c r="A80" s="46"/>
      <c r="B80" s="81" t="s">
        <v>226</v>
      </c>
      <c r="C80" s="20" t="s">
        <v>101</v>
      </c>
      <c r="D80" s="18"/>
      <c r="E80" s="23"/>
      <c r="F80" s="16">
        <v>0.6</v>
      </c>
      <c r="G80" s="16">
        <v>2949.85</v>
      </c>
      <c r="H80" s="244">
        <f t="shared" si="5"/>
        <v>1.7699099999999999</v>
      </c>
      <c r="I80" s="16">
        <v>0</v>
      </c>
      <c r="J80" s="5"/>
      <c r="K80" s="5"/>
      <c r="L80" s="5"/>
      <c r="M80" s="5"/>
      <c r="N80" s="5"/>
      <c r="O80" s="5"/>
      <c r="P80" s="5"/>
      <c r="Q80" s="5"/>
      <c r="R80" s="197"/>
      <c r="S80" s="197"/>
      <c r="T80" s="197"/>
      <c r="U80" s="197"/>
    </row>
    <row r="81" spans="1:21" ht="15.75" hidden="1" customHeight="1">
      <c r="A81" s="122"/>
      <c r="B81" s="198" t="s">
        <v>223</v>
      </c>
      <c r="C81" s="198"/>
      <c r="D81" s="198"/>
      <c r="E81" s="198"/>
      <c r="F81" s="198"/>
      <c r="G81" s="198"/>
      <c r="H81" s="198"/>
      <c r="I81" s="23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1:21" ht="15.75" hidden="1" customHeight="1">
      <c r="A82" s="46"/>
      <c r="B82" s="247" t="s">
        <v>224</v>
      </c>
      <c r="C82" s="20"/>
      <c r="D82" s="18"/>
      <c r="E82" s="238"/>
      <c r="F82" s="16">
        <v>1</v>
      </c>
      <c r="G82" s="16">
        <v>21062.799999999999</v>
      </c>
      <c r="H82" s="244">
        <f>G82*F82/1000</f>
        <v>21.062799999999999</v>
      </c>
      <c r="I82" s="16">
        <v>0</v>
      </c>
      <c r="J82" s="5"/>
      <c r="K82" s="5"/>
      <c r="L82" s="5"/>
      <c r="M82" s="5"/>
      <c r="N82" s="5"/>
      <c r="O82" s="5"/>
      <c r="P82" s="5"/>
      <c r="Q82" s="5"/>
      <c r="R82" s="197"/>
      <c r="S82" s="197"/>
      <c r="T82" s="197"/>
      <c r="U82" s="197"/>
    </row>
    <row r="83" spans="1:21" ht="15.75" customHeight="1">
      <c r="A83" s="234" t="s">
        <v>242</v>
      </c>
      <c r="B83" s="235"/>
      <c r="C83" s="235"/>
      <c r="D83" s="235"/>
      <c r="E83" s="235"/>
      <c r="F83" s="235"/>
      <c r="G83" s="235"/>
      <c r="H83" s="235"/>
      <c r="I83" s="236"/>
    </row>
    <row r="84" spans="1:21" ht="15.75" customHeight="1">
      <c r="A84" s="46">
        <v>19</v>
      </c>
      <c r="B84" s="247" t="s">
        <v>227</v>
      </c>
      <c r="C84" s="20" t="s">
        <v>73</v>
      </c>
      <c r="D84" s="266" t="s">
        <v>74</v>
      </c>
      <c r="E84" s="16">
        <v>5816.5</v>
      </c>
      <c r="F84" s="16">
        <f>SUM(E84*12)</f>
        <v>69798</v>
      </c>
      <c r="G84" s="16">
        <v>2.54</v>
      </c>
      <c r="H84" s="244">
        <f>SUM(F84*G84/1000)</f>
        <v>177.28692000000001</v>
      </c>
      <c r="I84" s="16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197"/>
      <c r="S84" s="197"/>
      <c r="T84" s="197"/>
      <c r="U84" s="197"/>
    </row>
    <row r="85" spans="1:21" ht="31.5" customHeight="1">
      <c r="A85" s="46">
        <v>20</v>
      </c>
      <c r="B85" s="18" t="s">
        <v>102</v>
      </c>
      <c r="C85" s="20"/>
      <c r="D85" s="266" t="s">
        <v>74</v>
      </c>
      <c r="E85" s="249">
        <f>E84</f>
        <v>5816.5</v>
      </c>
      <c r="F85" s="16">
        <f>E85*12</f>
        <v>69798</v>
      </c>
      <c r="G85" s="16">
        <v>2.0499999999999998</v>
      </c>
      <c r="H85" s="244">
        <f>F85*G85/1000</f>
        <v>143.08589999999998</v>
      </c>
      <c r="I85" s="16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197"/>
      <c r="S85" s="197"/>
      <c r="T85" s="197"/>
      <c r="U85" s="197"/>
    </row>
    <row r="86" spans="1:21" ht="15.75" customHeight="1">
      <c r="A86" s="122"/>
      <c r="B86" s="68" t="s">
        <v>108</v>
      </c>
      <c r="C86" s="70"/>
      <c r="D86" s="19"/>
      <c r="E86" s="19"/>
      <c r="F86" s="19"/>
      <c r="G86" s="23"/>
      <c r="H86" s="23"/>
      <c r="I86" s="53">
        <f>I16+I17+I18+I20+I27+I28+I40+I41+I43+I44+I45+I46+I52+I59+I60+I64+I66+I74+I84+I85</f>
        <v>101786.79931183333</v>
      </c>
    </row>
    <row r="87" spans="1:21" ht="15.75" customHeight="1">
      <c r="A87" s="122"/>
      <c r="B87" s="189" t="s">
        <v>80</v>
      </c>
      <c r="C87" s="189"/>
      <c r="D87" s="189"/>
      <c r="E87" s="189"/>
      <c r="F87" s="189"/>
      <c r="G87" s="189"/>
      <c r="H87" s="189"/>
      <c r="I87" s="189"/>
    </row>
    <row r="88" spans="1:21" ht="31.5" customHeight="1">
      <c r="A88" s="46">
        <v>21</v>
      </c>
      <c r="B88" s="138" t="s">
        <v>107</v>
      </c>
      <c r="C88" s="243" t="s">
        <v>218</v>
      </c>
      <c r="D88" s="81"/>
      <c r="E88" s="16"/>
      <c r="F88" s="16">
        <v>2</v>
      </c>
      <c r="G88" s="16">
        <v>79.09</v>
      </c>
      <c r="H88" s="244">
        <f t="shared" ref="H88:H92" si="7">G88*F88/1000</f>
        <v>0.15818000000000002</v>
      </c>
      <c r="I88" s="16">
        <f>G88*1</f>
        <v>79.09</v>
      </c>
      <c r="J88" s="5"/>
      <c r="K88" s="5"/>
      <c r="L88" s="5"/>
      <c r="M88" s="5"/>
      <c r="N88" s="5"/>
      <c r="O88" s="5"/>
      <c r="P88" s="5"/>
      <c r="Q88" s="5"/>
      <c r="R88" s="197"/>
      <c r="S88" s="197"/>
      <c r="T88" s="197"/>
      <c r="U88" s="197"/>
    </row>
    <row r="89" spans="1:21" ht="31.5" customHeight="1">
      <c r="A89" s="46">
        <v>22</v>
      </c>
      <c r="B89" s="242" t="s">
        <v>252</v>
      </c>
      <c r="C89" s="46" t="s">
        <v>253</v>
      </c>
      <c r="D89" s="81"/>
      <c r="E89" s="16"/>
      <c r="F89" s="16">
        <v>4</v>
      </c>
      <c r="G89" s="16">
        <v>1835.8</v>
      </c>
      <c r="H89" s="244">
        <f t="shared" si="7"/>
        <v>7.3431999999999995</v>
      </c>
      <c r="I89" s="16">
        <f>G89*2</f>
        <v>3671.6</v>
      </c>
      <c r="J89" s="5"/>
      <c r="K89" s="5"/>
      <c r="L89" s="5"/>
      <c r="M89" s="5"/>
      <c r="N89" s="5"/>
      <c r="O89" s="5"/>
      <c r="P89" s="5"/>
      <c r="Q89" s="5"/>
      <c r="R89" s="197"/>
      <c r="S89" s="197"/>
      <c r="T89" s="197"/>
      <c r="U89" s="197"/>
    </row>
    <row r="90" spans="1:21" ht="15.75" customHeight="1">
      <c r="A90" s="46">
        <v>23</v>
      </c>
      <c r="B90" s="138" t="s">
        <v>254</v>
      </c>
      <c r="C90" s="243" t="s">
        <v>110</v>
      </c>
      <c r="D90" s="81"/>
      <c r="E90" s="16"/>
      <c r="F90" s="16">
        <v>3.5</v>
      </c>
      <c r="G90" s="16">
        <v>2057</v>
      </c>
      <c r="H90" s="244">
        <f>G90*F90/1000</f>
        <v>7.1994999999999996</v>
      </c>
      <c r="I90" s="16">
        <f>G90*1.5</f>
        <v>3085.5</v>
      </c>
      <c r="J90" s="5"/>
      <c r="K90" s="5"/>
      <c r="L90" s="5"/>
      <c r="M90" s="5"/>
      <c r="N90" s="5"/>
      <c r="O90" s="5"/>
      <c r="P90" s="5"/>
      <c r="Q90" s="5"/>
      <c r="R90" s="197"/>
      <c r="S90" s="197"/>
      <c r="T90" s="197"/>
      <c r="U90" s="197"/>
    </row>
    <row r="91" spans="1:21" ht="15.75" customHeight="1">
      <c r="A91" s="46">
        <v>24</v>
      </c>
      <c r="B91" s="138" t="s">
        <v>250</v>
      </c>
      <c r="C91" s="193" t="s">
        <v>110</v>
      </c>
      <c r="D91" s="81"/>
      <c r="E91" s="16"/>
      <c r="F91" s="16">
        <v>1</v>
      </c>
      <c r="G91" s="16">
        <v>18</v>
      </c>
      <c r="H91" s="244">
        <f t="shared" si="7"/>
        <v>1.7999999999999999E-2</v>
      </c>
      <c r="I91" s="16">
        <f>G91</f>
        <v>18</v>
      </c>
      <c r="J91" s="5"/>
      <c r="K91" s="5"/>
      <c r="L91" s="5"/>
      <c r="M91" s="5"/>
      <c r="N91" s="5"/>
      <c r="O91" s="5"/>
      <c r="P91" s="5"/>
      <c r="Q91" s="5"/>
      <c r="R91" s="197"/>
      <c r="S91" s="197"/>
      <c r="T91" s="197"/>
      <c r="U91" s="197"/>
    </row>
    <row r="92" spans="1:21" ht="15.75" customHeight="1">
      <c r="A92" s="46">
        <v>25</v>
      </c>
      <c r="B92" s="242" t="s">
        <v>162</v>
      </c>
      <c r="C92" s="46" t="s">
        <v>199</v>
      </c>
      <c r="D92" s="81"/>
      <c r="E92" s="16"/>
      <c r="F92" s="16">
        <f>0.297/10</f>
        <v>2.9699999999999997E-2</v>
      </c>
      <c r="G92" s="16">
        <v>3113.97</v>
      </c>
      <c r="H92" s="244">
        <f t="shared" si="7"/>
        <v>9.248490899999999E-2</v>
      </c>
      <c r="I92" s="16">
        <f>G92*(0.297/10)</f>
        <v>92.484908999999988</v>
      </c>
      <c r="J92" s="5"/>
      <c r="K92" s="5"/>
      <c r="L92" s="5"/>
      <c r="M92" s="5"/>
      <c r="N92" s="5"/>
      <c r="O92" s="5"/>
      <c r="P92" s="5"/>
      <c r="Q92" s="5"/>
      <c r="R92" s="197"/>
      <c r="S92" s="197"/>
      <c r="T92" s="197"/>
      <c r="U92" s="197"/>
    </row>
    <row r="93" spans="1:21" ht="15.75" customHeight="1">
      <c r="A93" s="46">
        <v>26</v>
      </c>
      <c r="B93" s="192" t="s">
        <v>255</v>
      </c>
      <c r="C93" s="193" t="s">
        <v>256</v>
      </c>
      <c r="D93" s="267"/>
      <c r="E93" s="16"/>
      <c r="F93" s="16">
        <f>40/10</f>
        <v>4</v>
      </c>
      <c r="G93" s="16">
        <v>3800</v>
      </c>
      <c r="H93" s="244">
        <f>G93*F93/1000</f>
        <v>15.2</v>
      </c>
      <c r="I93" s="16">
        <f>G93*4</f>
        <v>15200</v>
      </c>
      <c r="J93" s="5"/>
      <c r="K93" s="5"/>
      <c r="L93" s="5"/>
      <c r="M93" s="5"/>
      <c r="N93" s="5"/>
      <c r="O93" s="5"/>
      <c r="P93" s="5"/>
      <c r="Q93" s="5"/>
      <c r="R93" s="197"/>
      <c r="S93" s="197"/>
      <c r="T93" s="197"/>
      <c r="U93" s="197"/>
    </row>
    <row r="94" spans="1:21" ht="31.5" customHeight="1">
      <c r="A94" s="46">
        <v>27</v>
      </c>
      <c r="B94" s="138" t="s">
        <v>257</v>
      </c>
      <c r="C94" s="243" t="s">
        <v>49</v>
      </c>
      <c r="D94" s="267"/>
      <c r="E94" s="16"/>
      <c r="F94" s="16">
        <f>4/100</f>
        <v>0.04</v>
      </c>
      <c r="G94" s="16">
        <v>3397.65</v>
      </c>
      <c r="H94" s="244">
        <f>G94*F94/1000</f>
        <v>0.135906</v>
      </c>
      <c r="I94" s="16">
        <f>G94*0.01</f>
        <v>33.976500000000001</v>
      </c>
      <c r="J94" s="5"/>
      <c r="K94" s="5"/>
      <c r="L94" s="5"/>
      <c r="M94" s="5"/>
      <c r="N94" s="5"/>
      <c r="O94" s="5"/>
      <c r="P94" s="5"/>
      <c r="Q94" s="5"/>
      <c r="R94" s="197"/>
      <c r="S94" s="197"/>
      <c r="T94" s="197"/>
      <c r="U94" s="197"/>
    </row>
    <row r="95" spans="1:21" ht="15.75" customHeight="1">
      <c r="A95" s="46"/>
      <c r="B95" s="75" t="s">
        <v>66</v>
      </c>
      <c r="C95" s="71"/>
      <c r="D95" s="124"/>
      <c r="E95" s="71">
        <v>1</v>
      </c>
      <c r="F95" s="71"/>
      <c r="G95" s="71"/>
      <c r="H95" s="71"/>
      <c r="I95" s="53">
        <f>SUM(I88:I94)</f>
        <v>22180.651409000002</v>
      </c>
    </row>
    <row r="96" spans="1:21" ht="15.75" customHeight="1">
      <c r="A96" s="46"/>
      <c r="B96" s="81" t="s">
        <v>103</v>
      </c>
      <c r="C96" s="19"/>
      <c r="D96" s="19"/>
      <c r="E96" s="72"/>
      <c r="F96" s="72"/>
      <c r="G96" s="73"/>
      <c r="H96" s="73"/>
      <c r="I96" s="22">
        <v>0</v>
      </c>
    </row>
    <row r="97" spans="1:9" ht="15.75" customHeight="1">
      <c r="A97" s="125"/>
      <c r="B97" s="76" t="s">
        <v>67</v>
      </c>
      <c r="C97" s="59"/>
      <c r="D97" s="59"/>
      <c r="E97" s="59"/>
      <c r="F97" s="59"/>
      <c r="G97" s="59"/>
      <c r="H97" s="59"/>
      <c r="I97" s="74">
        <f>I86+I95</f>
        <v>123967.45072083332</v>
      </c>
    </row>
    <row r="98" spans="1:9" ht="15.75" customHeight="1">
      <c r="A98" s="223" t="s">
        <v>286</v>
      </c>
      <c r="B98" s="223"/>
      <c r="C98" s="223"/>
      <c r="D98" s="223"/>
      <c r="E98" s="223"/>
      <c r="F98" s="223"/>
      <c r="G98" s="223"/>
      <c r="H98" s="223"/>
      <c r="I98" s="223"/>
    </row>
    <row r="99" spans="1:9" ht="15.75" customHeight="1">
      <c r="A99" s="201"/>
      <c r="B99" s="224" t="s">
        <v>287</v>
      </c>
      <c r="C99" s="224"/>
      <c r="D99" s="224"/>
      <c r="E99" s="224"/>
      <c r="F99" s="224"/>
      <c r="G99" s="224"/>
      <c r="H99" s="241"/>
      <c r="I99" s="3"/>
    </row>
    <row r="100" spans="1:9" ht="15.75" customHeight="1">
      <c r="A100" s="197"/>
      <c r="B100" s="212" t="s">
        <v>7</v>
      </c>
      <c r="C100" s="212"/>
      <c r="D100" s="212"/>
      <c r="E100" s="212"/>
      <c r="F100" s="212"/>
      <c r="G100" s="212"/>
      <c r="H100" s="36"/>
      <c r="I100" s="5"/>
    </row>
    <row r="101" spans="1:9" ht="15.75" customHeight="1">
      <c r="A101" s="11"/>
      <c r="B101" s="11"/>
      <c r="C101" s="11"/>
      <c r="D101" s="11"/>
      <c r="E101" s="11"/>
      <c r="F101" s="11"/>
      <c r="G101" s="11"/>
      <c r="H101" s="11"/>
      <c r="I101" s="11"/>
    </row>
    <row r="102" spans="1:9" ht="15.75" customHeight="1">
      <c r="A102" s="225" t="s">
        <v>8</v>
      </c>
      <c r="B102" s="225"/>
      <c r="C102" s="225"/>
      <c r="D102" s="225"/>
      <c r="E102" s="225"/>
      <c r="F102" s="225"/>
      <c r="G102" s="225"/>
      <c r="H102" s="225"/>
      <c r="I102" s="225"/>
    </row>
    <row r="103" spans="1:9" ht="15.75" customHeight="1">
      <c r="A103" s="225" t="s">
        <v>9</v>
      </c>
      <c r="B103" s="225"/>
      <c r="C103" s="225"/>
      <c r="D103" s="225"/>
      <c r="E103" s="225"/>
      <c r="F103" s="225"/>
      <c r="G103" s="225"/>
      <c r="H103" s="225"/>
      <c r="I103" s="225"/>
    </row>
    <row r="104" spans="1:9" ht="15.75" customHeight="1">
      <c r="A104" s="221" t="s">
        <v>82</v>
      </c>
      <c r="B104" s="221"/>
      <c r="C104" s="221"/>
      <c r="D104" s="221"/>
      <c r="E104" s="221"/>
      <c r="F104" s="221"/>
      <c r="G104" s="221"/>
      <c r="H104" s="221"/>
      <c r="I104" s="221"/>
    </row>
    <row r="105" spans="1:9" ht="15.75" customHeight="1">
      <c r="A105" s="12"/>
    </row>
    <row r="106" spans="1:9" ht="15.75" customHeight="1">
      <c r="A106" s="222" t="s">
        <v>11</v>
      </c>
      <c r="B106" s="222"/>
      <c r="C106" s="222"/>
      <c r="D106" s="222"/>
      <c r="E106" s="222"/>
      <c r="F106" s="222"/>
      <c r="G106" s="222"/>
      <c r="H106" s="222"/>
      <c r="I106" s="222"/>
    </row>
    <row r="107" spans="1:9" ht="15.75" customHeight="1">
      <c r="A107" s="4"/>
    </row>
    <row r="108" spans="1:9" ht="15.75" customHeight="1">
      <c r="B108" s="200" t="s">
        <v>12</v>
      </c>
      <c r="C108" s="214" t="s">
        <v>142</v>
      </c>
      <c r="D108" s="214"/>
      <c r="E108" s="214"/>
      <c r="F108" s="239"/>
      <c r="I108" s="196"/>
    </row>
    <row r="109" spans="1:9" ht="15.75" customHeight="1">
      <c r="A109" s="197"/>
      <c r="C109" s="212" t="s">
        <v>13</v>
      </c>
      <c r="D109" s="212"/>
      <c r="E109" s="212"/>
      <c r="F109" s="36"/>
      <c r="I109" s="195" t="s">
        <v>14</v>
      </c>
    </row>
    <row r="110" spans="1:9" ht="15.75" customHeight="1">
      <c r="A110" s="37"/>
      <c r="C110" s="13"/>
      <c r="D110" s="13"/>
      <c r="G110" s="13"/>
      <c r="H110" s="13"/>
    </row>
    <row r="111" spans="1:9" ht="15.75" customHeight="1">
      <c r="B111" s="200" t="s">
        <v>15</v>
      </c>
      <c r="C111" s="213"/>
      <c r="D111" s="213"/>
      <c r="E111" s="213"/>
      <c r="F111" s="240"/>
      <c r="I111" s="196"/>
    </row>
    <row r="112" spans="1:9" ht="15.75" customHeight="1">
      <c r="A112" s="197"/>
      <c r="C112" s="207" t="s">
        <v>13</v>
      </c>
      <c r="D112" s="207"/>
      <c r="E112" s="207"/>
      <c r="F112" s="197"/>
      <c r="I112" s="195" t="s">
        <v>14</v>
      </c>
    </row>
    <row r="113" spans="1:9" ht="15.75" customHeight="1">
      <c r="A113" s="4" t="s">
        <v>16</v>
      </c>
    </row>
    <row r="114" spans="1:9" ht="15.75" customHeight="1">
      <c r="A114" s="220" t="s">
        <v>17</v>
      </c>
      <c r="B114" s="220"/>
      <c r="C114" s="220"/>
      <c r="D114" s="220"/>
      <c r="E114" s="220"/>
      <c r="F114" s="220"/>
      <c r="G114" s="220"/>
      <c r="H114" s="220"/>
      <c r="I114" s="220"/>
    </row>
    <row r="115" spans="1:9" ht="45" customHeight="1">
      <c r="A115" s="219" t="s">
        <v>18</v>
      </c>
      <c r="B115" s="219"/>
      <c r="C115" s="219"/>
      <c r="D115" s="219"/>
      <c r="E115" s="219"/>
      <c r="F115" s="219"/>
      <c r="G115" s="219"/>
      <c r="H115" s="219"/>
      <c r="I115" s="219"/>
    </row>
    <row r="116" spans="1:9" ht="30" customHeight="1">
      <c r="A116" s="219" t="s">
        <v>19</v>
      </c>
      <c r="B116" s="219"/>
      <c r="C116" s="219"/>
      <c r="D116" s="219"/>
      <c r="E116" s="219"/>
      <c r="F116" s="219"/>
      <c r="G116" s="219"/>
      <c r="H116" s="219"/>
      <c r="I116" s="219"/>
    </row>
    <row r="117" spans="1:9" ht="30" customHeight="1">
      <c r="A117" s="219" t="s">
        <v>24</v>
      </c>
      <c r="B117" s="219"/>
      <c r="C117" s="219"/>
      <c r="D117" s="219"/>
      <c r="E117" s="219"/>
      <c r="F117" s="219"/>
      <c r="G117" s="219"/>
      <c r="H117" s="219"/>
      <c r="I117" s="219"/>
    </row>
    <row r="118" spans="1:9" ht="15" customHeight="1">
      <c r="A118" s="219" t="s">
        <v>23</v>
      </c>
      <c r="B118" s="219"/>
      <c r="C118" s="219"/>
      <c r="D118" s="219"/>
      <c r="E118" s="219"/>
      <c r="F118" s="219"/>
      <c r="G118" s="219"/>
      <c r="H118" s="219"/>
      <c r="I118" s="219"/>
    </row>
  </sheetData>
  <autoFilter ref="I12:I62"/>
  <mergeCells count="28"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  <mergeCell ref="A98:I98"/>
    <mergeCell ref="B99:G99"/>
    <mergeCell ref="B100:G100"/>
    <mergeCell ref="A102:I102"/>
    <mergeCell ref="A103:I103"/>
    <mergeCell ref="A104:I104"/>
    <mergeCell ref="A15:I15"/>
    <mergeCell ref="A29:I29"/>
    <mergeCell ref="A47:I47"/>
    <mergeCell ref="A57:I57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1" t="s">
        <v>128</v>
      </c>
      <c r="I1" s="40"/>
      <c r="J1" s="1"/>
      <c r="K1" s="1"/>
      <c r="L1" s="1"/>
      <c r="M1" s="1"/>
    </row>
    <row r="2" spans="1:13" ht="15.75" customHeight="1">
      <c r="A2" s="42" t="s">
        <v>85</v>
      </c>
      <c r="J2" s="2"/>
      <c r="K2" s="2"/>
      <c r="L2" s="2"/>
      <c r="M2" s="2"/>
    </row>
    <row r="3" spans="1:13" ht="15.75" customHeight="1">
      <c r="A3" s="226" t="s">
        <v>288</v>
      </c>
      <c r="B3" s="226"/>
      <c r="C3" s="226"/>
      <c r="D3" s="226"/>
      <c r="E3" s="226"/>
      <c r="F3" s="226"/>
      <c r="G3" s="226"/>
      <c r="H3" s="226"/>
      <c r="I3" s="226"/>
      <c r="J3" s="3"/>
      <c r="K3" s="3"/>
      <c r="L3" s="3"/>
    </row>
    <row r="4" spans="1:13" ht="31.5" customHeight="1">
      <c r="A4" s="227" t="s">
        <v>228</v>
      </c>
      <c r="B4" s="227"/>
      <c r="C4" s="227"/>
      <c r="D4" s="227"/>
      <c r="E4" s="227"/>
      <c r="F4" s="227"/>
      <c r="G4" s="227"/>
      <c r="H4" s="227"/>
      <c r="I4" s="227"/>
    </row>
    <row r="5" spans="1:13" ht="15.75" customHeight="1">
      <c r="A5" s="226" t="s">
        <v>111</v>
      </c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5.75" customHeight="1">
      <c r="A6" s="2"/>
      <c r="B6" s="199"/>
      <c r="C6" s="199"/>
      <c r="D6" s="199"/>
      <c r="E6" s="199"/>
      <c r="F6" s="199"/>
      <c r="G6" s="199"/>
      <c r="H6" s="199"/>
      <c r="I6" s="51">
        <v>42460</v>
      </c>
      <c r="J6" s="2"/>
      <c r="K6" s="2"/>
      <c r="L6" s="2"/>
      <c r="M6" s="2"/>
    </row>
    <row r="7" spans="1:13" ht="15.75" customHeight="1">
      <c r="B7" s="200"/>
      <c r="C7" s="200"/>
      <c r="D7" s="20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5" t="s">
        <v>239</v>
      </c>
      <c r="B8" s="205"/>
      <c r="C8" s="205"/>
      <c r="D8" s="205"/>
      <c r="E8" s="205"/>
      <c r="F8" s="205"/>
      <c r="G8" s="205"/>
      <c r="H8" s="205"/>
      <c r="I8" s="20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06" t="s">
        <v>238</v>
      </c>
      <c r="B10" s="206"/>
      <c r="C10" s="206"/>
      <c r="D10" s="206"/>
      <c r="E10" s="206"/>
      <c r="F10" s="206"/>
      <c r="G10" s="206"/>
      <c r="H10" s="206"/>
      <c r="I10" s="20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29" t="s">
        <v>79</v>
      </c>
      <c r="B14" s="229"/>
      <c r="C14" s="229"/>
      <c r="D14" s="229"/>
      <c r="E14" s="229"/>
      <c r="F14" s="229"/>
      <c r="G14" s="229"/>
      <c r="H14" s="229"/>
      <c r="I14" s="229"/>
      <c r="J14" s="8"/>
      <c r="K14" s="8"/>
      <c r="L14" s="8"/>
      <c r="M14" s="8"/>
    </row>
    <row r="15" spans="1:13" ht="15.75" customHeight="1">
      <c r="A15" s="230" t="s">
        <v>4</v>
      </c>
      <c r="B15" s="230"/>
      <c r="C15" s="230"/>
      <c r="D15" s="230"/>
      <c r="E15" s="230"/>
      <c r="F15" s="230"/>
      <c r="G15" s="230"/>
      <c r="H15" s="230"/>
      <c r="I15" s="230"/>
      <c r="J15" s="8"/>
      <c r="K15" s="8"/>
      <c r="L15" s="8"/>
      <c r="M15" s="8"/>
    </row>
    <row r="16" spans="1:13" ht="15.75" customHeight="1">
      <c r="A16" s="46">
        <v>1</v>
      </c>
      <c r="B16" s="247" t="s">
        <v>130</v>
      </c>
      <c r="C16" s="248" t="s">
        <v>194</v>
      </c>
      <c r="D16" s="247" t="s">
        <v>195</v>
      </c>
      <c r="E16" s="249">
        <v>176.24</v>
      </c>
      <c r="F16" s="250">
        <f>SUM(E16*156/100)</f>
        <v>274.93440000000004</v>
      </c>
      <c r="G16" s="250">
        <v>187.48</v>
      </c>
      <c r="H16" s="251">
        <f t="shared" ref="H16:H26" si="0">SUM(F16*G16/1000)</f>
        <v>51.544701312000008</v>
      </c>
      <c r="I16" s="16">
        <f>F16/12*G16</f>
        <v>4295.3917760000004</v>
      </c>
      <c r="J16" s="8"/>
      <c r="K16" s="8"/>
      <c r="L16" s="8"/>
      <c r="M16" s="8"/>
    </row>
    <row r="17" spans="1:13" ht="15.75" customHeight="1">
      <c r="A17" s="46">
        <v>2</v>
      </c>
      <c r="B17" s="247" t="s">
        <v>151</v>
      </c>
      <c r="C17" s="248" t="s">
        <v>194</v>
      </c>
      <c r="D17" s="247" t="s">
        <v>196</v>
      </c>
      <c r="E17" s="249">
        <v>704.96</v>
      </c>
      <c r="F17" s="250">
        <f>SUM(E17*104/100)</f>
        <v>733.15839999999992</v>
      </c>
      <c r="G17" s="250">
        <v>187.48</v>
      </c>
      <c r="H17" s="251">
        <v>137.453</v>
      </c>
      <c r="I17" s="16">
        <f>F17/12*G17</f>
        <v>11454.378069333332</v>
      </c>
      <c r="J17" s="31"/>
      <c r="K17" s="8"/>
      <c r="L17" s="8"/>
      <c r="M17" s="8"/>
    </row>
    <row r="18" spans="1:13" ht="15.75" customHeight="1">
      <c r="A18" s="46">
        <v>3</v>
      </c>
      <c r="B18" s="247" t="s">
        <v>152</v>
      </c>
      <c r="C18" s="248" t="s">
        <v>194</v>
      </c>
      <c r="D18" s="247" t="s">
        <v>197</v>
      </c>
      <c r="E18" s="249">
        <f>SUM(E16+E17)</f>
        <v>881.2</v>
      </c>
      <c r="F18" s="250">
        <f>SUM(E18*24/100)</f>
        <v>211.48800000000003</v>
      </c>
      <c r="G18" s="250">
        <v>539.30999999999995</v>
      </c>
      <c r="H18" s="251">
        <f t="shared" si="0"/>
        <v>114.05759328000001</v>
      </c>
      <c r="I18" s="16">
        <f>F18/12*G18</f>
        <v>9504.7994400000007</v>
      </c>
      <c r="J18" s="31"/>
      <c r="K18" s="8"/>
      <c r="L18" s="8"/>
      <c r="M18" s="8"/>
    </row>
    <row r="19" spans="1:13" ht="15.75" hidden="1" customHeight="1">
      <c r="A19" s="46">
        <v>4</v>
      </c>
      <c r="B19" s="247" t="s">
        <v>198</v>
      </c>
      <c r="C19" s="248" t="s">
        <v>199</v>
      </c>
      <c r="D19" s="247" t="s">
        <v>200</v>
      </c>
      <c r="E19" s="249">
        <v>28.8</v>
      </c>
      <c r="F19" s="250">
        <f>SUM(E19/10)</f>
        <v>2.88</v>
      </c>
      <c r="G19" s="250">
        <v>181.91</v>
      </c>
      <c r="H19" s="251">
        <f t="shared" si="0"/>
        <v>0.52390080000000006</v>
      </c>
      <c r="I19" s="16">
        <v>0</v>
      </c>
      <c r="J19" s="31"/>
      <c r="K19" s="8"/>
      <c r="L19" s="8"/>
      <c r="M19" s="8"/>
    </row>
    <row r="20" spans="1:13" ht="15.75" customHeight="1">
      <c r="A20" s="46">
        <v>4</v>
      </c>
      <c r="B20" s="247" t="s">
        <v>164</v>
      </c>
      <c r="C20" s="248" t="s">
        <v>194</v>
      </c>
      <c r="D20" s="247" t="s">
        <v>36</v>
      </c>
      <c r="E20" s="249">
        <v>17.5</v>
      </c>
      <c r="F20" s="250">
        <f>SUM(E20*12/100)</f>
        <v>2.1</v>
      </c>
      <c r="G20" s="250">
        <v>232.92</v>
      </c>
      <c r="H20" s="251">
        <f t="shared" si="0"/>
        <v>0.48913200000000001</v>
      </c>
      <c r="I20" s="16">
        <f>F20/12*G20</f>
        <v>40.761000000000003</v>
      </c>
      <c r="J20" s="31"/>
      <c r="K20" s="8"/>
      <c r="L20" s="8"/>
      <c r="M20" s="8"/>
    </row>
    <row r="21" spans="1:13" ht="15.75" customHeight="1">
      <c r="A21" s="46">
        <v>5</v>
      </c>
      <c r="B21" s="247" t="s">
        <v>165</v>
      </c>
      <c r="C21" s="248" t="s">
        <v>194</v>
      </c>
      <c r="D21" s="247" t="s">
        <v>188</v>
      </c>
      <c r="E21" s="249">
        <v>5.94</v>
      </c>
      <c r="F21" s="250">
        <f>SUM(E21*6/100)</f>
        <v>0.35639999999999999</v>
      </c>
      <c r="G21" s="250">
        <v>231.03</v>
      </c>
      <c r="H21" s="251">
        <f t="shared" si="0"/>
        <v>8.2339091999999989E-2</v>
      </c>
      <c r="I21" s="16">
        <f>F21/6*G21</f>
        <v>13.723182</v>
      </c>
      <c r="J21" s="31"/>
      <c r="K21" s="8"/>
      <c r="L21" s="8"/>
      <c r="M21" s="8"/>
    </row>
    <row r="22" spans="1:13" ht="15.75" hidden="1" customHeight="1">
      <c r="A22" s="46">
        <v>7</v>
      </c>
      <c r="B22" s="247" t="s">
        <v>201</v>
      </c>
      <c r="C22" s="248" t="s">
        <v>68</v>
      </c>
      <c r="D22" s="247" t="s">
        <v>200</v>
      </c>
      <c r="E22" s="249">
        <v>376</v>
      </c>
      <c r="F22" s="250">
        <f>SUM(E22/100)</f>
        <v>3.76</v>
      </c>
      <c r="G22" s="250">
        <v>287.83999999999997</v>
      </c>
      <c r="H22" s="251">
        <f t="shared" si="0"/>
        <v>1.0822783999999999</v>
      </c>
      <c r="I22" s="16">
        <v>0</v>
      </c>
      <c r="J22" s="31"/>
      <c r="K22" s="8"/>
      <c r="L22" s="8"/>
      <c r="M22" s="8"/>
    </row>
    <row r="23" spans="1:13" ht="15.75" hidden="1" customHeight="1">
      <c r="A23" s="46">
        <v>8</v>
      </c>
      <c r="B23" s="247" t="s">
        <v>202</v>
      </c>
      <c r="C23" s="248" t="s">
        <v>68</v>
      </c>
      <c r="D23" s="247" t="s">
        <v>200</v>
      </c>
      <c r="E23" s="252">
        <v>60.4</v>
      </c>
      <c r="F23" s="250">
        <f>SUM(E23/100)</f>
        <v>0.60399999999999998</v>
      </c>
      <c r="G23" s="250">
        <v>47.34</v>
      </c>
      <c r="H23" s="251">
        <f t="shared" si="0"/>
        <v>2.8593360000000002E-2</v>
      </c>
      <c r="I23" s="16">
        <v>0</v>
      </c>
      <c r="J23" s="31"/>
      <c r="K23" s="8"/>
      <c r="L23" s="8"/>
      <c r="M23" s="8"/>
    </row>
    <row r="24" spans="1:13" ht="15.75" hidden="1" customHeight="1">
      <c r="A24" s="46">
        <v>9</v>
      </c>
      <c r="B24" s="247" t="s">
        <v>176</v>
      </c>
      <c r="C24" s="248" t="s">
        <v>68</v>
      </c>
      <c r="D24" s="247" t="s">
        <v>69</v>
      </c>
      <c r="E24" s="23">
        <v>25</v>
      </c>
      <c r="F24" s="253">
        <f>E24/100</f>
        <v>0.25</v>
      </c>
      <c r="G24" s="250">
        <v>416.62</v>
      </c>
      <c r="H24" s="251">
        <f>F24*G24/1000</f>
        <v>0.104155</v>
      </c>
      <c r="I24" s="16">
        <v>0</v>
      </c>
      <c r="J24" s="31"/>
      <c r="K24" s="8"/>
      <c r="L24" s="8"/>
      <c r="M24" s="8"/>
    </row>
    <row r="25" spans="1:13" ht="15.75" hidden="1" customHeight="1">
      <c r="A25" s="46">
        <v>10</v>
      </c>
      <c r="B25" s="247" t="s">
        <v>203</v>
      </c>
      <c r="C25" s="248" t="s">
        <v>68</v>
      </c>
      <c r="D25" s="247" t="s">
        <v>200</v>
      </c>
      <c r="E25" s="252">
        <v>23.75</v>
      </c>
      <c r="F25" s="250">
        <f>E25/100</f>
        <v>0.23749999999999999</v>
      </c>
      <c r="G25" s="250">
        <v>231.03</v>
      </c>
      <c r="H25" s="251">
        <f>F25*G25/1000</f>
        <v>5.4869624999999998E-2</v>
      </c>
      <c r="I25" s="16">
        <v>0</v>
      </c>
      <c r="J25" s="31"/>
      <c r="K25" s="8"/>
      <c r="L25" s="8"/>
      <c r="M25" s="8"/>
    </row>
    <row r="26" spans="1:13" ht="15.75" hidden="1" customHeight="1">
      <c r="A26" s="46">
        <v>11</v>
      </c>
      <c r="B26" s="247" t="s">
        <v>177</v>
      </c>
      <c r="C26" s="248" t="s">
        <v>68</v>
      </c>
      <c r="D26" s="247" t="s">
        <v>200</v>
      </c>
      <c r="E26" s="249">
        <v>10.63</v>
      </c>
      <c r="F26" s="250">
        <f>SUM(E26/100)</f>
        <v>0.10630000000000001</v>
      </c>
      <c r="G26" s="250">
        <v>556.74</v>
      </c>
      <c r="H26" s="251">
        <f t="shared" si="0"/>
        <v>5.9181462000000004E-2</v>
      </c>
      <c r="I26" s="16">
        <v>0</v>
      </c>
      <c r="J26" s="31"/>
      <c r="K26" s="8"/>
      <c r="L26" s="8"/>
      <c r="M26" s="8"/>
    </row>
    <row r="27" spans="1:13" ht="15.75" customHeight="1">
      <c r="A27" s="46">
        <v>6</v>
      </c>
      <c r="B27" s="247" t="s">
        <v>87</v>
      </c>
      <c r="C27" s="248" t="s">
        <v>40</v>
      </c>
      <c r="D27" s="247" t="s">
        <v>247</v>
      </c>
      <c r="E27" s="249">
        <v>0.1</v>
      </c>
      <c r="F27" s="250">
        <f>SUM(E27*365)</f>
        <v>36.5</v>
      </c>
      <c r="G27" s="250">
        <v>157.18</v>
      </c>
      <c r="H27" s="251">
        <f>SUM(F27*G27/1000)</f>
        <v>5.737070000000001</v>
      </c>
      <c r="I27" s="16">
        <f>F27/12*G27</f>
        <v>478.08916666666664</v>
      </c>
      <c r="J27" s="32"/>
    </row>
    <row r="28" spans="1:13" ht="15.75" customHeight="1">
      <c r="A28" s="46">
        <v>7</v>
      </c>
      <c r="B28" s="255" t="s">
        <v>26</v>
      </c>
      <c r="C28" s="248" t="s">
        <v>27</v>
      </c>
      <c r="D28" s="255" t="s">
        <v>247</v>
      </c>
      <c r="E28" s="249">
        <v>5816.5</v>
      </c>
      <c r="F28" s="250">
        <f>SUM(E28*12)</f>
        <v>69798</v>
      </c>
      <c r="G28" s="250">
        <v>4.72</v>
      </c>
      <c r="H28" s="251">
        <f>SUM(F28*G28/1000)</f>
        <v>329.44655999999998</v>
      </c>
      <c r="I28" s="16">
        <f>F28/12*G28</f>
        <v>27453.879999999997</v>
      </c>
      <c r="J28" s="32"/>
    </row>
    <row r="29" spans="1:13" ht="15.75" customHeight="1">
      <c r="A29" s="230" t="s">
        <v>122</v>
      </c>
      <c r="B29" s="230"/>
      <c r="C29" s="230"/>
      <c r="D29" s="230"/>
      <c r="E29" s="230"/>
      <c r="F29" s="230"/>
      <c r="G29" s="230"/>
      <c r="H29" s="230"/>
      <c r="I29" s="230"/>
      <c r="J29" s="31"/>
      <c r="K29" s="8"/>
      <c r="L29" s="8"/>
      <c r="M29" s="8"/>
    </row>
    <row r="30" spans="1:13" ht="15.75" hidden="1" customHeight="1">
      <c r="A30" s="46"/>
      <c r="B30" s="268" t="s">
        <v>34</v>
      </c>
      <c r="C30" s="248"/>
      <c r="D30" s="247"/>
      <c r="E30" s="249"/>
      <c r="F30" s="250"/>
      <c r="G30" s="250"/>
      <c r="H30" s="251"/>
      <c r="I30" s="16"/>
      <c r="J30" s="31"/>
      <c r="K30" s="8"/>
      <c r="L30" s="8"/>
      <c r="M30" s="8"/>
    </row>
    <row r="31" spans="1:13" ht="15.75" hidden="1" customHeight="1">
      <c r="A31" s="46">
        <v>7</v>
      </c>
      <c r="B31" s="247" t="s">
        <v>204</v>
      </c>
      <c r="C31" s="248" t="s">
        <v>205</v>
      </c>
      <c r="D31" s="247" t="s">
        <v>206</v>
      </c>
      <c r="E31" s="250">
        <v>357.22</v>
      </c>
      <c r="F31" s="250">
        <f>SUM(E31*52/1000)</f>
        <v>18.575440000000004</v>
      </c>
      <c r="G31" s="250">
        <v>166.65</v>
      </c>
      <c r="H31" s="251">
        <f t="shared" ref="H31:H38" si="1">SUM(F31*G31/1000)</f>
        <v>3.0955970760000011</v>
      </c>
      <c r="I31" s="16">
        <f>F31/6*G31</f>
        <v>515.93284600000015</v>
      </c>
      <c r="J31" s="31"/>
      <c r="K31" s="8"/>
      <c r="L31" s="8"/>
      <c r="M31" s="8"/>
    </row>
    <row r="32" spans="1:13" ht="31.5" hidden="1" customHeight="1">
      <c r="A32" s="46">
        <v>8</v>
      </c>
      <c r="B32" s="247" t="s">
        <v>281</v>
      </c>
      <c r="C32" s="248" t="s">
        <v>205</v>
      </c>
      <c r="D32" s="247" t="s">
        <v>208</v>
      </c>
      <c r="E32" s="250">
        <v>475.06</v>
      </c>
      <c r="F32" s="250">
        <f>SUM(E32*78/1000)</f>
        <v>37.054679999999998</v>
      </c>
      <c r="G32" s="250">
        <v>276.48</v>
      </c>
      <c r="H32" s="251">
        <f t="shared" si="1"/>
        <v>10.244877926400001</v>
      </c>
      <c r="I32" s="16">
        <f t="shared" ref="I32:I35" si="2">F32/6*G32</f>
        <v>1707.4796544000001</v>
      </c>
      <c r="J32" s="31"/>
      <c r="K32" s="8"/>
      <c r="L32" s="8"/>
      <c r="M32" s="8"/>
    </row>
    <row r="33" spans="1:14" ht="15.75" hidden="1" customHeight="1">
      <c r="A33" s="46">
        <v>16</v>
      </c>
      <c r="B33" s="247" t="s">
        <v>33</v>
      </c>
      <c r="C33" s="248" t="s">
        <v>205</v>
      </c>
      <c r="D33" s="247" t="s">
        <v>69</v>
      </c>
      <c r="E33" s="250">
        <v>357.22</v>
      </c>
      <c r="F33" s="250">
        <f>SUM(E33/1000)</f>
        <v>0.35722000000000004</v>
      </c>
      <c r="G33" s="250">
        <v>3228.73</v>
      </c>
      <c r="H33" s="251">
        <f t="shared" si="1"/>
        <v>1.1533669306000001</v>
      </c>
      <c r="I33" s="16">
        <f>F33*G33</f>
        <v>1153.3669306000002</v>
      </c>
      <c r="J33" s="31"/>
      <c r="K33" s="8"/>
      <c r="L33" s="8"/>
      <c r="M33" s="8"/>
    </row>
    <row r="34" spans="1:14" ht="15.75" hidden="1" customHeight="1">
      <c r="A34" s="46">
        <v>9</v>
      </c>
      <c r="B34" s="247" t="s">
        <v>245</v>
      </c>
      <c r="C34" s="248" t="s">
        <v>51</v>
      </c>
      <c r="D34" s="247" t="s">
        <v>246</v>
      </c>
      <c r="E34" s="250">
        <v>5</v>
      </c>
      <c r="F34" s="250">
        <f>E34*155/100</f>
        <v>7.75</v>
      </c>
      <c r="G34" s="250">
        <v>1391.86</v>
      </c>
      <c r="H34" s="251">
        <f>G34*F34/1000</f>
        <v>10.786914999999999</v>
      </c>
      <c r="I34" s="16">
        <f t="shared" si="2"/>
        <v>1797.8191666666667</v>
      </c>
      <c r="J34" s="31"/>
      <c r="K34" s="8"/>
      <c r="L34" s="8"/>
      <c r="M34" s="8"/>
    </row>
    <row r="35" spans="1:14" ht="15.75" hidden="1" customHeight="1">
      <c r="A35" s="46">
        <v>10</v>
      </c>
      <c r="B35" s="247" t="s">
        <v>210</v>
      </c>
      <c r="C35" s="248" t="s">
        <v>37</v>
      </c>
      <c r="D35" s="247" t="s">
        <v>86</v>
      </c>
      <c r="E35" s="254">
        <v>0.33333333333333331</v>
      </c>
      <c r="F35" s="250">
        <f>155/3</f>
        <v>51.666666666666664</v>
      </c>
      <c r="G35" s="250">
        <v>60.6</v>
      </c>
      <c r="H35" s="251">
        <f>SUM(G35*155/3/1000)</f>
        <v>3.1309999999999998</v>
      </c>
      <c r="I35" s="16">
        <f t="shared" si="2"/>
        <v>521.83333333333337</v>
      </c>
      <c r="J35" s="31"/>
      <c r="K35" s="8"/>
    </row>
    <row r="36" spans="1:14" ht="15.75" hidden="1" customHeight="1">
      <c r="A36" s="46"/>
      <c r="B36" s="247" t="s">
        <v>88</v>
      </c>
      <c r="C36" s="248" t="s">
        <v>40</v>
      </c>
      <c r="D36" s="247" t="s">
        <v>90</v>
      </c>
      <c r="E36" s="249"/>
      <c r="F36" s="250">
        <v>3</v>
      </c>
      <c r="G36" s="250">
        <v>204.52</v>
      </c>
      <c r="H36" s="251">
        <f t="shared" si="1"/>
        <v>0.61356000000000011</v>
      </c>
      <c r="I36" s="16">
        <v>0</v>
      </c>
      <c r="J36" s="32"/>
    </row>
    <row r="37" spans="1:14" ht="15.75" hidden="1" customHeight="1">
      <c r="A37" s="46"/>
      <c r="B37" s="247" t="s">
        <v>89</v>
      </c>
      <c r="C37" s="248" t="s">
        <v>39</v>
      </c>
      <c r="D37" s="247" t="s">
        <v>90</v>
      </c>
      <c r="E37" s="249"/>
      <c r="F37" s="250">
        <v>2</v>
      </c>
      <c r="G37" s="250">
        <v>1214.74</v>
      </c>
      <c r="H37" s="251">
        <f t="shared" si="1"/>
        <v>2.4294799999999999</v>
      </c>
      <c r="I37" s="16">
        <v>0</v>
      </c>
      <c r="J37" s="32"/>
    </row>
    <row r="38" spans="1:14" ht="15.75" hidden="1" customHeight="1">
      <c r="A38" s="46"/>
      <c r="B38" s="138" t="s">
        <v>248</v>
      </c>
      <c r="C38" s="243" t="s">
        <v>35</v>
      </c>
      <c r="D38" s="247"/>
      <c r="E38" s="249">
        <v>360.36</v>
      </c>
      <c r="F38" s="250">
        <f>E38*36/1000</f>
        <v>12.97296</v>
      </c>
      <c r="G38" s="250">
        <v>3228.73</v>
      </c>
      <c r="H38" s="251">
        <f t="shared" si="1"/>
        <v>41.886185140800002</v>
      </c>
      <c r="I38" s="16">
        <v>0</v>
      </c>
      <c r="J38" s="32"/>
    </row>
    <row r="39" spans="1:14" ht="15.75" customHeight="1">
      <c r="A39" s="46"/>
      <c r="B39" s="268" t="s">
        <v>5</v>
      </c>
      <c r="C39" s="248"/>
      <c r="D39" s="247"/>
      <c r="E39" s="249"/>
      <c r="F39" s="250"/>
      <c r="G39" s="250"/>
      <c r="H39" s="251" t="s">
        <v>225</v>
      </c>
      <c r="I39" s="16"/>
      <c r="J39" s="32"/>
    </row>
    <row r="40" spans="1:14" ht="15.75" customHeight="1">
      <c r="A40" s="46">
        <v>8</v>
      </c>
      <c r="B40" s="247" t="s">
        <v>31</v>
      </c>
      <c r="C40" s="248" t="s">
        <v>39</v>
      </c>
      <c r="D40" s="247"/>
      <c r="E40" s="249"/>
      <c r="F40" s="250">
        <v>10</v>
      </c>
      <c r="G40" s="250">
        <v>1632.6</v>
      </c>
      <c r="H40" s="251">
        <f t="shared" ref="H40:H46" si="3">SUM(F40*G40/1000)</f>
        <v>16.326000000000001</v>
      </c>
      <c r="I40" s="16">
        <f>F40/6*G40</f>
        <v>2721</v>
      </c>
      <c r="J40" s="32"/>
      <c r="L40" s="25"/>
      <c r="M40" s="26"/>
      <c r="N40" s="27"/>
    </row>
    <row r="41" spans="1:14" ht="15.75" customHeight="1">
      <c r="A41" s="46">
        <v>9</v>
      </c>
      <c r="B41" s="247" t="s">
        <v>91</v>
      </c>
      <c r="C41" s="248" t="s">
        <v>35</v>
      </c>
      <c r="D41" s="247" t="s">
        <v>211</v>
      </c>
      <c r="E41" s="250">
        <v>469.73</v>
      </c>
      <c r="F41" s="250">
        <f>SUM(E41*30/1000)</f>
        <v>14.091900000000001</v>
      </c>
      <c r="G41" s="250">
        <v>2247.8000000000002</v>
      </c>
      <c r="H41" s="251">
        <f t="shared" si="3"/>
        <v>31.675772820000006</v>
      </c>
      <c r="I41" s="16">
        <f>F41/6*G41</f>
        <v>5279.2954700000009</v>
      </c>
      <c r="J41" s="32"/>
      <c r="L41" s="25"/>
      <c r="M41" s="26"/>
      <c r="N41" s="27"/>
    </row>
    <row r="42" spans="1:14" ht="15.75" hidden="1" customHeight="1">
      <c r="A42" s="46"/>
      <c r="B42" s="247" t="s">
        <v>156</v>
      </c>
      <c r="C42" s="248" t="s">
        <v>229</v>
      </c>
      <c r="D42" s="247" t="s">
        <v>90</v>
      </c>
      <c r="E42" s="249"/>
      <c r="F42" s="250">
        <v>120</v>
      </c>
      <c r="G42" s="250">
        <v>213.2</v>
      </c>
      <c r="H42" s="251">
        <f t="shared" si="3"/>
        <v>25.584</v>
      </c>
      <c r="I42" s="16">
        <v>0</v>
      </c>
      <c r="J42" s="32"/>
      <c r="L42" s="25"/>
      <c r="M42" s="26"/>
      <c r="N42" s="27"/>
    </row>
    <row r="43" spans="1:14" ht="15.75" customHeight="1">
      <c r="A43" s="46">
        <v>10</v>
      </c>
      <c r="B43" s="247" t="s">
        <v>92</v>
      </c>
      <c r="C43" s="248" t="s">
        <v>35</v>
      </c>
      <c r="D43" s="247" t="s">
        <v>212</v>
      </c>
      <c r="E43" s="250">
        <v>475.06</v>
      </c>
      <c r="F43" s="250">
        <f>SUM(E43*155/1000)</f>
        <v>73.634299999999996</v>
      </c>
      <c r="G43" s="250">
        <v>374.95</v>
      </c>
      <c r="H43" s="251">
        <f t="shared" si="3"/>
        <v>27.609180784999996</v>
      </c>
      <c r="I43" s="16">
        <f>F43/6*G43</f>
        <v>4601.5301308333328</v>
      </c>
      <c r="J43" s="32"/>
      <c r="L43" s="25"/>
      <c r="M43" s="26"/>
      <c r="N43" s="27"/>
    </row>
    <row r="44" spans="1:14" ht="47.25" customHeight="1">
      <c r="A44" s="46">
        <v>11</v>
      </c>
      <c r="B44" s="247" t="s">
        <v>118</v>
      </c>
      <c r="C44" s="248" t="s">
        <v>205</v>
      </c>
      <c r="D44" s="247" t="s">
        <v>230</v>
      </c>
      <c r="E44" s="250">
        <v>40.6</v>
      </c>
      <c r="F44" s="250">
        <f>SUM(E44*35/1000)</f>
        <v>1.421</v>
      </c>
      <c r="G44" s="250">
        <v>6203.7</v>
      </c>
      <c r="H44" s="251">
        <f t="shared" si="3"/>
        <v>8.8154577000000014</v>
      </c>
      <c r="I44" s="16">
        <f>F44/6*G44</f>
        <v>1469.2429500000001</v>
      </c>
      <c r="J44" s="32"/>
      <c r="L44" s="25"/>
      <c r="M44" s="26"/>
      <c r="N44" s="27"/>
    </row>
    <row r="45" spans="1:14" ht="15.75" customHeight="1">
      <c r="A45" s="46">
        <v>12</v>
      </c>
      <c r="B45" s="247" t="s">
        <v>213</v>
      </c>
      <c r="C45" s="248" t="s">
        <v>205</v>
      </c>
      <c r="D45" s="247" t="s">
        <v>93</v>
      </c>
      <c r="E45" s="250">
        <v>167.03</v>
      </c>
      <c r="F45" s="250">
        <f>SUM(E45*45/1000)</f>
        <v>7.5163500000000001</v>
      </c>
      <c r="G45" s="250">
        <v>458.28</v>
      </c>
      <c r="H45" s="251">
        <f t="shared" si="3"/>
        <v>3.4445928779999999</v>
      </c>
      <c r="I45" s="16">
        <f>F45/6*G45</f>
        <v>574.09881299999995</v>
      </c>
      <c r="J45" s="32"/>
      <c r="L45" s="25"/>
      <c r="M45" s="26"/>
      <c r="N45" s="27"/>
    </row>
    <row r="46" spans="1:14" ht="15.75" customHeight="1">
      <c r="A46" s="46">
        <v>13</v>
      </c>
      <c r="B46" s="247" t="s">
        <v>94</v>
      </c>
      <c r="C46" s="248" t="s">
        <v>40</v>
      </c>
      <c r="D46" s="247"/>
      <c r="E46" s="249"/>
      <c r="F46" s="250">
        <v>1.2</v>
      </c>
      <c r="G46" s="250">
        <v>853.06</v>
      </c>
      <c r="H46" s="251">
        <f t="shared" si="3"/>
        <v>1.0236719999999999</v>
      </c>
      <c r="I46" s="16">
        <f>F46/6*G46</f>
        <v>170.61199999999997</v>
      </c>
      <c r="J46" s="32"/>
      <c r="L46" s="25"/>
      <c r="M46" s="26"/>
      <c r="N46" s="27"/>
    </row>
    <row r="47" spans="1:14" ht="15.75" hidden="1" customHeight="1">
      <c r="A47" s="231" t="s">
        <v>240</v>
      </c>
      <c r="B47" s="232"/>
      <c r="C47" s="232"/>
      <c r="D47" s="232"/>
      <c r="E47" s="232"/>
      <c r="F47" s="232"/>
      <c r="G47" s="232"/>
      <c r="H47" s="232"/>
      <c r="I47" s="233"/>
      <c r="J47" s="32"/>
      <c r="L47" s="25"/>
      <c r="M47" s="26"/>
      <c r="N47" s="27"/>
    </row>
    <row r="48" spans="1:14" ht="15.75" hidden="1" customHeight="1">
      <c r="A48" s="46"/>
      <c r="B48" s="247" t="s">
        <v>214</v>
      </c>
      <c r="C48" s="248" t="s">
        <v>205</v>
      </c>
      <c r="D48" s="247" t="s">
        <v>55</v>
      </c>
      <c r="E48" s="249">
        <v>1603.6</v>
      </c>
      <c r="F48" s="250">
        <f>SUM(E48*2/1000)</f>
        <v>3.2071999999999998</v>
      </c>
      <c r="G48" s="16">
        <v>908.11</v>
      </c>
      <c r="H48" s="251">
        <f t="shared" ref="H48:H56" si="4">SUM(F48*G48/1000)</f>
        <v>2.9124903919999996</v>
      </c>
      <c r="I48" s="16">
        <v>0</v>
      </c>
      <c r="J48" s="32"/>
      <c r="L48" s="25"/>
      <c r="M48" s="26"/>
      <c r="N48" s="27"/>
    </row>
    <row r="49" spans="1:22" ht="15.75" hidden="1" customHeight="1">
      <c r="A49" s="46"/>
      <c r="B49" s="247" t="s">
        <v>44</v>
      </c>
      <c r="C49" s="248" t="s">
        <v>205</v>
      </c>
      <c r="D49" s="247" t="s">
        <v>55</v>
      </c>
      <c r="E49" s="249">
        <v>65</v>
      </c>
      <c r="F49" s="250">
        <f>SUM(E49*2/1000)</f>
        <v>0.13</v>
      </c>
      <c r="G49" s="16">
        <v>619.46</v>
      </c>
      <c r="H49" s="251">
        <f t="shared" si="4"/>
        <v>8.0529800000000012E-2</v>
      </c>
      <c r="I49" s="16">
        <v>0</v>
      </c>
      <c r="J49" s="32"/>
      <c r="L49" s="25"/>
      <c r="M49" s="26"/>
      <c r="N49" s="27"/>
    </row>
    <row r="50" spans="1:22" ht="15.75" hidden="1" customHeight="1">
      <c r="A50" s="46"/>
      <c r="B50" s="247" t="s">
        <v>45</v>
      </c>
      <c r="C50" s="248" t="s">
        <v>205</v>
      </c>
      <c r="D50" s="247" t="s">
        <v>55</v>
      </c>
      <c r="E50" s="249">
        <v>1825.8</v>
      </c>
      <c r="F50" s="250">
        <f>SUM(E50*2/1000)</f>
        <v>3.6515999999999997</v>
      </c>
      <c r="G50" s="16">
        <v>619.46</v>
      </c>
      <c r="H50" s="251">
        <f t="shared" si="4"/>
        <v>2.2620201360000003</v>
      </c>
      <c r="I50" s="16">
        <v>0</v>
      </c>
      <c r="J50" s="32"/>
      <c r="L50" s="25"/>
      <c r="M50" s="26"/>
      <c r="N50" s="27"/>
    </row>
    <row r="51" spans="1:22" ht="15.75" hidden="1" customHeight="1">
      <c r="A51" s="46"/>
      <c r="B51" s="247" t="s">
        <v>46</v>
      </c>
      <c r="C51" s="248" t="s">
        <v>205</v>
      </c>
      <c r="D51" s="247" t="s">
        <v>55</v>
      </c>
      <c r="E51" s="249">
        <v>3163.96</v>
      </c>
      <c r="F51" s="250">
        <f>SUM(E51*2/1000)</f>
        <v>6.3279199999999998</v>
      </c>
      <c r="G51" s="16">
        <v>648.64</v>
      </c>
      <c r="H51" s="251">
        <f t="shared" si="4"/>
        <v>4.1045420287999992</v>
      </c>
      <c r="I51" s="16">
        <v>0</v>
      </c>
      <c r="J51" s="32"/>
      <c r="L51" s="25"/>
      <c r="M51" s="26"/>
      <c r="N51" s="27"/>
    </row>
    <row r="52" spans="1:22" ht="15.75" hidden="1" customHeight="1">
      <c r="A52" s="46">
        <v>14</v>
      </c>
      <c r="B52" s="247" t="s">
        <v>76</v>
      </c>
      <c r="C52" s="248" t="s">
        <v>205</v>
      </c>
      <c r="D52" s="247" t="s">
        <v>282</v>
      </c>
      <c r="E52" s="249">
        <v>1583</v>
      </c>
      <c r="F52" s="250">
        <f>SUM(E52*5/1000)</f>
        <v>7.915</v>
      </c>
      <c r="G52" s="16">
        <v>1297.28</v>
      </c>
      <c r="H52" s="251">
        <f t="shared" si="4"/>
        <v>10.2679712</v>
      </c>
      <c r="I52" s="16">
        <f>F52/5*G52</f>
        <v>2053.5942399999999</v>
      </c>
      <c r="J52" s="32"/>
      <c r="L52" s="25"/>
      <c r="M52" s="26"/>
      <c r="N52" s="27"/>
    </row>
    <row r="53" spans="1:22" ht="31.5" hidden="1" customHeight="1">
      <c r="A53" s="46"/>
      <c r="B53" s="247" t="s">
        <v>216</v>
      </c>
      <c r="C53" s="248" t="s">
        <v>205</v>
      </c>
      <c r="D53" s="247" t="s">
        <v>55</v>
      </c>
      <c r="E53" s="249">
        <v>1583</v>
      </c>
      <c r="F53" s="250">
        <f>SUM(E53*2/1000)</f>
        <v>3.1659999999999999</v>
      </c>
      <c r="G53" s="16">
        <v>1297.28</v>
      </c>
      <c r="H53" s="251">
        <f t="shared" si="4"/>
        <v>4.1071884799999996</v>
      </c>
      <c r="I53" s="16">
        <v>0</v>
      </c>
      <c r="J53" s="32"/>
      <c r="L53" s="25"/>
      <c r="M53" s="26"/>
      <c r="N53" s="27"/>
    </row>
    <row r="54" spans="1:22" ht="31.5" hidden="1" customHeight="1">
      <c r="A54" s="46"/>
      <c r="B54" s="247" t="s">
        <v>217</v>
      </c>
      <c r="C54" s="248" t="s">
        <v>49</v>
      </c>
      <c r="D54" s="247" t="s">
        <v>55</v>
      </c>
      <c r="E54" s="249">
        <v>25</v>
      </c>
      <c r="F54" s="250">
        <f>SUM(E54*2/100)</f>
        <v>0.5</v>
      </c>
      <c r="G54" s="16">
        <v>2918.89</v>
      </c>
      <c r="H54" s="251">
        <f t="shared" si="4"/>
        <v>1.4594449999999999</v>
      </c>
      <c r="I54" s="16">
        <v>0</v>
      </c>
      <c r="J54" s="32"/>
      <c r="L54" s="25"/>
      <c r="M54" s="26"/>
      <c r="N54" s="27"/>
    </row>
    <row r="55" spans="1:22" ht="15.75" hidden="1" customHeight="1">
      <c r="A55" s="46"/>
      <c r="B55" s="247" t="s">
        <v>50</v>
      </c>
      <c r="C55" s="248" t="s">
        <v>51</v>
      </c>
      <c r="D55" s="247" t="s">
        <v>55</v>
      </c>
      <c r="E55" s="249">
        <v>1</v>
      </c>
      <c r="F55" s="250">
        <v>0.02</v>
      </c>
      <c r="G55" s="16">
        <v>6042.12</v>
      </c>
      <c r="H55" s="251">
        <f t="shared" si="4"/>
        <v>0.1208424</v>
      </c>
      <c r="I55" s="16">
        <v>0</v>
      </c>
      <c r="J55" s="32"/>
      <c r="L55" s="25"/>
      <c r="M55" s="26"/>
      <c r="N55" s="27"/>
    </row>
    <row r="56" spans="1:22" ht="15.75" hidden="1" customHeight="1">
      <c r="A56" s="46">
        <v>15</v>
      </c>
      <c r="B56" s="247" t="s">
        <v>54</v>
      </c>
      <c r="C56" s="248" t="s">
        <v>37</v>
      </c>
      <c r="D56" s="247" t="s">
        <v>95</v>
      </c>
      <c r="E56" s="249">
        <v>36</v>
      </c>
      <c r="F56" s="250">
        <f>SUM(E56)*3</f>
        <v>108</v>
      </c>
      <c r="G56" s="16">
        <v>70.209999999999994</v>
      </c>
      <c r="H56" s="251">
        <f t="shared" si="4"/>
        <v>7.582679999999999</v>
      </c>
      <c r="I56" s="16">
        <f>E56*G56</f>
        <v>2527.56</v>
      </c>
      <c r="J56" s="32"/>
      <c r="L56" s="25"/>
      <c r="M56" s="26"/>
      <c r="N56" s="27"/>
    </row>
    <row r="57" spans="1:22" ht="15.75" customHeight="1">
      <c r="A57" s="231" t="s">
        <v>289</v>
      </c>
      <c r="B57" s="232"/>
      <c r="C57" s="232"/>
      <c r="D57" s="232"/>
      <c r="E57" s="232"/>
      <c r="F57" s="232"/>
      <c r="G57" s="232"/>
      <c r="H57" s="232"/>
      <c r="I57" s="233"/>
      <c r="J57" s="32"/>
      <c r="L57" s="25"/>
      <c r="M57" s="26"/>
      <c r="N57" s="27"/>
    </row>
    <row r="58" spans="1:22" ht="15.75" customHeight="1">
      <c r="A58" s="46"/>
      <c r="B58" s="268" t="s">
        <v>56</v>
      </c>
      <c r="C58" s="248"/>
      <c r="D58" s="247"/>
      <c r="E58" s="249"/>
      <c r="F58" s="250"/>
      <c r="G58" s="250"/>
      <c r="H58" s="251"/>
      <c r="I58" s="16"/>
      <c r="J58" s="32"/>
      <c r="L58" s="25"/>
      <c r="M58" s="26"/>
      <c r="N58" s="27"/>
    </row>
    <row r="59" spans="1:22" ht="31.5" customHeight="1">
      <c r="A59" s="46">
        <v>14</v>
      </c>
      <c r="B59" s="247" t="s">
        <v>231</v>
      </c>
      <c r="C59" s="248" t="s">
        <v>194</v>
      </c>
      <c r="D59" s="247" t="s">
        <v>96</v>
      </c>
      <c r="E59" s="256">
        <v>3.78</v>
      </c>
      <c r="F59" s="16">
        <f>E59*6/100</f>
        <v>0.2268</v>
      </c>
      <c r="G59" s="250">
        <v>1654.04</v>
      </c>
      <c r="H59" s="251">
        <f>SUM(F59*G59/1000)</f>
        <v>0.37513627199999999</v>
      </c>
      <c r="I59" s="16">
        <f>F59/6*G59</f>
        <v>62.522711999999999</v>
      </c>
      <c r="J59" s="32"/>
      <c r="L59" s="25"/>
      <c r="M59" s="26"/>
      <c r="N59" s="27"/>
    </row>
    <row r="60" spans="1:22" ht="31.5" customHeight="1">
      <c r="A60" s="46">
        <v>15</v>
      </c>
      <c r="B60" s="247" t="s">
        <v>219</v>
      </c>
      <c r="C60" s="248" t="s">
        <v>194</v>
      </c>
      <c r="D60" s="247" t="s">
        <v>96</v>
      </c>
      <c r="E60" s="249">
        <v>185.36</v>
      </c>
      <c r="F60" s="250">
        <f>E60*6/100</f>
        <v>11.121600000000001</v>
      </c>
      <c r="G60" s="257">
        <v>1654.04</v>
      </c>
      <c r="H60" s="251">
        <f>F60*G60/1000</f>
        <v>18.395571264000001</v>
      </c>
      <c r="I60" s="16">
        <f>F60/6*G60</f>
        <v>3065.9285440000003</v>
      </c>
      <c r="J60" s="32"/>
      <c r="L60" s="25"/>
    </row>
    <row r="61" spans="1:22" ht="15.75" customHeight="1">
      <c r="A61" s="46">
        <v>16</v>
      </c>
      <c r="B61" s="258" t="s">
        <v>168</v>
      </c>
      <c r="C61" s="248" t="s">
        <v>169</v>
      </c>
      <c r="D61" s="258" t="s">
        <v>55</v>
      </c>
      <c r="E61" s="259">
        <v>5</v>
      </c>
      <c r="F61" s="260">
        <v>10</v>
      </c>
      <c r="G61" s="257">
        <v>198.25</v>
      </c>
      <c r="H61" s="261">
        <v>0.99099999999999999</v>
      </c>
      <c r="I61" s="16">
        <f>F61/2*G61</f>
        <v>991.25</v>
      </c>
      <c r="J61" s="32"/>
      <c r="L61" s="25"/>
    </row>
    <row r="62" spans="1:22" ht="15.75" customHeight="1">
      <c r="A62" s="46"/>
      <c r="B62" s="269" t="s">
        <v>57</v>
      </c>
      <c r="C62" s="262"/>
      <c r="D62" s="258"/>
      <c r="E62" s="259"/>
      <c r="F62" s="260"/>
      <c r="G62" s="263"/>
      <c r="H62" s="261"/>
      <c r="I62" s="16"/>
    </row>
    <row r="63" spans="1:22" ht="15.75" hidden="1" customHeight="1">
      <c r="A63" s="46"/>
      <c r="B63" s="258" t="s">
        <v>58</v>
      </c>
      <c r="C63" s="262" t="s">
        <v>68</v>
      </c>
      <c r="D63" s="258" t="s">
        <v>69</v>
      </c>
      <c r="E63" s="259">
        <v>1752</v>
      </c>
      <c r="F63" s="260">
        <f>E63/100</f>
        <v>17.52</v>
      </c>
      <c r="G63" s="250">
        <v>848.37</v>
      </c>
      <c r="H63" s="261">
        <f>G63*F63/1000</f>
        <v>14.8634424</v>
      </c>
      <c r="I63" s="16">
        <v>0</v>
      </c>
    </row>
    <row r="64" spans="1:22" ht="15.75" customHeight="1">
      <c r="A64" s="46">
        <v>17</v>
      </c>
      <c r="B64" s="258" t="s">
        <v>159</v>
      </c>
      <c r="C64" s="262" t="s">
        <v>29</v>
      </c>
      <c r="D64" s="258" t="s">
        <v>249</v>
      </c>
      <c r="E64" s="259">
        <v>352</v>
      </c>
      <c r="F64" s="260">
        <f>E64*12</f>
        <v>4224</v>
      </c>
      <c r="G64" s="250">
        <v>2.6</v>
      </c>
      <c r="H64" s="261">
        <f>G64*F64/1000</f>
        <v>10.9824</v>
      </c>
      <c r="I64" s="16">
        <f>F64/12*G64</f>
        <v>915.2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0"/>
    </row>
    <row r="65" spans="1:21" ht="15.75" customHeight="1">
      <c r="A65" s="46"/>
      <c r="B65" s="269" t="s">
        <v>59</v>
      </c>
      <c r="C65" s="262"/>
      <c r="D65" s="258"/>
      <c r="E65" s="259"/>
      <c r="F65" s="260"/>
      <c r="G65" s="270"/>
      <c r="H65" s="261" t="s">
        <v>225</v>
      </c>
      <c r="I65" s="16"/>
      <c r="J65" s="37"/>
      <c r="K65" s="37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46">
        <v>19</v>
      </c>
      <c r="B66" s="18" t="s">
        <v>60</v>
      </c>
      <c r="C66" s="20" t="s">
        <v>218</v>
      </c>
      <c r="D66" s="18" t="s">
        <v>90</v>
      </c>
      <c r="E66" s="23">
        <v>10</v>
      </c>
      <c r="F66" s="250">
        <v>10</v>
      </c>
      <c r="G66" s="16">
        <v>237.74</v>
      </c>
      <c r="H66" s="244">
        <f t="shared" ref="H66:H80" si="5">SUM(F66*G66/1000)</f>
        <v>2.3774000000000002</v>
      </c>
      <c r="I66" s="16">
        <f>G66*3</f>
        <v>713.22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46"/>
      <c r="B67" s="18" t="s">
        <v>61</v>
      </c>
      <c r="C67" s="20" t="s">
        <v>218</v>
      </c>
      <c r="D67" s="18" t="s">
        <v>90</v>
      </c>
      <c r="E67" s="23">
        <v>5</v>
      </c>
      <c r="F67" s="250">
        <v>5</v>
      </c>
      <c r="G67" s="16">
        <v>81.510000000000005</v>
      </c>
      <c r="H67" s="244">
        <f t="shared" si="5"/>
        <v>0.40755000000000002</v>
      </c>
      <c r="I67" s="16">
        <v>0</v>
      </c>
      <c r="J67" s="5"/>
      <c r="K67" s="5"/>
      <c r="L67" s="5"/>
      <c r="M67" s="5"/>
      <c r="N67" s="5"/>
      <c r="O67" s="5"/>
      <c r="P67" s="5"/>
      <c r="Q67" s="5"/>
      <c r="R67" s="207"/>
      <c r="S67" s="207"/>
      <c r="T67" s="207"/>
      <c r="U67" s="207"/>
    </row>
    <row r="68" spans="1:21" ht="15.75" hidden="1" customHeight="1">
      <c r="A68" s="46"/>
      <c r="B68" s="18" t="s">
        <v>62</v>
      </c>
      <c r="C68" s="20" t="s">
        <v>220</v>
      </c>
      <c r="D68" s="18" t="s">
        <v>69</v>
      </c>
      <c r="E68" s="249">
        <v>23808</v>
      </c>
      <c r="F68" s="16">
        <f>SUM(E68/100)</f>
        <v>238.08</v>
      </c>
      <c r="G68" s="16">
        <v>226.79</v>
      </c>
      <c r="H68" s="244">
        <f t="shared" si="5"/>
        <v>53.994163200000003</v>
      </c>
      <c r="I68" s="16">
        <f>F68*G68</f>
        <v>53994.163200000003</v>
      </c>
    </row>
    <row r="69" spans="1:21" ht="15.75" hidden="1" customHeight="1">
      <c r="A69" s="46"/>
      <c r="B69" s="18" t="s">
        <v>63</v>
      </c>
      <c r="C69" s="20" t="s">
        <v>221</v>
      </c>
      <c r="D69" s="18"/>
      <c r="E69" s="249">
        <v>23808</v>
      </c>
      <c r="F69" s="16">
        <f>SUM(E69/1000)</f>
        <v>23.808</v>
      </c>
      <c r="G69" s="16">
        <v>176.61</v>
      </c>
      <c r="H69" s="244">
        <f t="shared" si="5"/>
        <v>4.2047308800000005</v>
      </c>
      <c r="I69" s="16">
        <f t="shared" ref="I69:I73" si="6">F69*G69</f>
        <v>4204.7308800000001</v>
      </c>
    </row>
    <row r="70" spans="1:21" ht="15.75" hidden="1" customHeight="1">
      <c r="A70" s="46"/>
      <c r="B70" s="18" t="s">
        <v>64</v>
      </c>
      <c r="C70" s="20" t="s">
        <v>101</v>
      </c>
      <c r="D70" s="18" t="s">
        <v>69</v>
      </c>
      <c r="E70" s="249">
        <v>3810</v>
      </c>
      <c r="F70" s="16">
        <f>SUM(E70/100)</f>
        <v>38.1</v>
      </c>
      <c r="G70" s="16">
        <v>2217.7800000000002</v>
      </c>
      <c r="H70" s="244">
        <f t="shared" si="5"/>
        <v>84.49741800000001</v>
      </c>
      <c r="I70" s="16">
        <f t="shared" si="6"/>
        <v>84497.418000000005</v>
      </c>
    </row>
    <row r="71" spans="1:21" ht="15.75" hidden="1" customHeight="1">
      <c r="A71" s="46"/>
      <c r="B71" s="264" t="s">
        <v>222</v>
      </c>
      <c r="C71" s="20" t="s">
        <v>40</v>
      </c>
      <c r="D71" s="18"/>
      <c r="E71" s="249">
        <v>23.4</v>
      </c>
      <c r="F71" s="16">
        <f>SUM(E71)</f>
        <v>23.4</v>
      </c>
      <c r="G71" s="16">
        <v>42.67</v>
      </c>
      <c r="H71" s="244">
        <f t="shared" si="5"/>
        <v>0.99847799999999998</v>
      </c>
      <c r="I71" s="16">
        <f t="shared" si="6"/>
        <v>998.47799999999995</v>
      </c>
    </row>
    <row r="72" spans="1:21" ht="15.75" hidden="1" customHeight="1">
      <c r="A72" s="46"/>
      <c r="B72" s="264" t="s">
        <v>232</v>
      </c>
      <c r="C72" s="20" t="s">
        <v>40</v>
      </c>
      <c r="D72" s="18"/>
      <c r="E72" s="249">
        <v>23.4</v>
      </c>
      <c r="F72" s="16">
        <f>SUM(E72)</f>
        <v>23.4</v>
      </c>
      <c r="G72" s="16">
        <v>39.81</v>
      </c>
      <c r="H72" s="244">
        <f t="shared" si="5"/>
        <v>0.93155399999999999</v>
      </c>
      <c r="I72" s="16">
        <f t="shared" si="6"/>
        <v>931.55399999999997</v>
      </c>
    </row>
    <row r="73" spans="1:21" ht="15.75" hidden="1" customHeight="1">
      <c r="A73" s="46"/>
      <c r="B73" s="18" t="s">
        <v>77</v>
      </c>
      <c r="C73" s="20" t="s">
        <v>78</v>
      </c>
      <c r="D73" s="18" t="s">
        <v>69</v>
      </c>
      <c r="E73" s="23">
        <v>5</v>
      </c>
      <c r="F73" s="250">
        <f>SUM(E73)</f>
        <v>5</v>
      </c>
      <c r="G73" s="16">
        <v>53.32</v>
      </c>
      <c r="H73" s="244">
        <f t="shared" si="5"/>
        <v>0.2666</v>
      </c>
      <c r="I73" s="16">
        <f t="shared" si="6"/>
        <v>266.60000000000002</v>
      </c>
    </row>
    <row r="74" spans="1:21" ht="15.75" customHeight="1">
      <c r="A74" s="46">
        <v>18</v>
      </c>
      <c r="B74" s="18" t="s">
        <v>233</v>
      </c>
      <c r="C74" s="20" t="s">
        <v>78</v>
      </c>
      <c r="D74" s="18" t="s">
        <v>36</v>
      </c>
      <c r="E74" s="23">
        <v>1</v>
      </c>
      <c r="F74" s="237">
        <v>12</v>
      </c>
      <c r="G74" s="16">
        <v>711</v>
      </c>
      <c r="H74" s="244">
        <v>8.5310000000000006</v>
      </c>
      <c r="I74" s="16">
        <f>F74/12*G74</f>
        <v>711</v>
      </c>
    </row>
    <row r="75" spans="1:21" ht="15.75" hidden="1" customHeight="1">
      <c r="A75" s="46"/>
      <c r="B75" s="198" t="s">
        <v>97</v>
      </c>
      <c r="C75" s="20"/>
      <c r="D75" s="18"/>
      <c r="E75" s="23"/>
      <c r="F75" s="16"/>
      <c r="G75" s="16"/>
      <c r="H75" s="244" t="s">
        <v>225</v>
      </c>
      <c r="I75" s="16"/>
    </row>
    <row r="76" spans="1:21" ht="15.75" hidden="1" customHeight="1">
      <c r="A76" s="46"/>
      <c r="B76" s="18" t="s">
        <v>98</v>
      </c>
      <c r="C76" s="20" t="s">
        <v>38</v>
      </c>
      <c r="D76" s="18" t="s">
        <v>90</v>
      </c>
      <c r="E76" s="23">
        <v>2</v>
      </c>
      <c r="F76" s="237">
        <v>0.2</v>
      </c>
      <c r="G76" s="16">
        <v>536.23</v>
      </c>
      <c r="H76" s="244">
        <v>0.107</v>
      </c>
      <c r="I76" s="16">
        <v>0</v>
      </c>
    </row>
    <row r="77" spans="1:21" ht="15.75" hidden="1" customHeight="1">
      <c r="A77" s="46"/>
      <c r="B77" s="18" t="s">
        <v>136</v>
      </c>
      <c r="C77" s="20" t="s">
        <v>37</v>
      </c>
      <c r="D77" s="18"/>
      <c r="E77" s="23">
        <v>1</v>
      </c>
      <c r="F77" s="250">
        <f>SUM(E77)</f>
        <v>1</v>
      </c>
      <c r="G77" s="16">
        <v>383.25</v>
      </c>
      <c r="H77" s="244">
        <f t="shared" si="5"/>
        <v>0.38324999999999998</v>
      </c>
      <c r="I77" s="16">
        <v>0</v>
      </c>
    </row>
    <row r="78" spans="1:21" ht="15.75" hidden="1" customHeight="1">
      <c r="A78" s="46"/>
      <c r="B78" s="18" t="s">
        <v>99</v>
      </c>
      <c r="C78" s="20" t="s">
        <v>37</v>
      </c>
      <c r="D78" s="18"/>
      <c r="E78" s="23">
        <v>1</v>
      </c>
      <c r="F78" s="16">
        <v>1</v>
      </c>
      <c r="G78" s="16">
        <v>911.85</v>
      </c>
      <c r="H78" s="244">
        <f>F78*G78/1000</f>
        <v>0.91185000000000005</v>
      </c>
      <c r="I78" s="16">
        <v>0</v>
      </c>
    </row>
    <row r="79" spans="1:21" ht="15.75" hidden="1" customHeight="1">
      <c r="A79" s="46"/>
      <c r="B79" s="265" t="s">
        <v>100</v>
      </c>
      <c r="C79" s="20"/>
      <c r="D79" s="18"/>
      <c r="E79" s="23"/>
      <c r="F79" s="16"/>
      <c r="G79" s="16" t="s">
        <v>225</v>
      </c>
      <c r="H79" s="244" t="s">
        <v>225</v>
      </c>
      <c r="I79" s="16"/>
    </row>
    <row r="80" spans="1:21" ht="15.75" hidden="1" customHeight="1">
      <c r="A80" s="46"/>
      <c r="B80" s="81" t="s">
        <v>226</v>
      </c>
      <c r="C80" s="20" t="s">
        <v>101</v>
      </c>
      <c r="D80" s="18"/>
      <c r="E80" s="23"/>
      <c r="F80" s="16">
        <v>0.6</v>
      </c>
      <c r="G80" s="16">
        <v>2949.85</v>
      </c>
      <c r="H80" s="244">
        <f t="shared" si="5"/>
        <v>1.7699099999999999</v>
      </c>
      <c r="I80" s="16">
        <v>0</v>
      </c>
      <c r="J80" s="5"/>
      <c r="K80" s="5"/>
      <c r="L80" s="5"/>
      <c r="M80" s="5"/>
      <c r="N80" s="5"/>
      <c r="O80" s="5"/>
      <c r="P80" s="5"/>
      <c r="Q80" s="5"/>
      <c r="R80" s="197"/>
      <c r="S80" s="197"/>
      <c r="T80" s="197"/>
      <c r="U80" s="197"/>
    </row>
    <row r="81" spans="1:21" ht="15.75" hidden="1" customHeight="1">
      <c r="A81" s="122"/>
      <c r="B81" s="198" t="s">
        <v>223</v>
      </c>
      <c r="C81" s="198"/>
      <c r="D81" s="198"/>
      <c r="E81" s="198"/>
      <c r="F81" s="198"/>
      <c r="G81" s="198"/>
      <c r="H81" s="198"/>
      <c r="I81" s="23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1:21" ht="15.75" hidden="1" customHeight="1">
      <c r="A82" s="46"/>
      <c r="B82" s="247" t="s">
        <v>224</v>
      </c>
      <c r="C82" s="20"/>
      <c r="D82" s="18"/>
      <c r="E82" s="238"/>
      <c r="F82" s="16">
        <v>1</v>
      </c>
      <c r="G82" s="16">
        <v>21062.799999999999</v>
      </c>
      <c r="H82" s="244">
        <f>G82*F82/1000</f>
        <v>21.062799999999999</v>
      </c>
      <c r="I82" s="16">
        <v>0</v>
      </c>
      <c r="J82" s="5"/>
      <c r="K82" s="5"/>
      <c r="L82" s="5"/>
      <c r="M82" s="5"/>
      <c r="N82" s="5"/>
      <c r="O82" s="5"/>
      <c r="P82" s="5"/>
      <c r="Q82" s="5"/>
      <c r="R82" s="197"/>
      <c r="S82" s="197"/>
      <c r="T82" s="197"/>
      <c r="U82" s="197"/>
    </row>
    <row r="83" spans="1:21" ht="15.75" customHeight="1">
      <c r="A83" s="234" t="s">
        <v>290</v>
      </c>
      <c r="B83" s="235"/>
      <c r="C83" s="235"/>
      <c r="D83" s="235"/>
      <c r="E83" s="235"/>
      <c r="F83" s="235"/>
      <c r="G83" s="235"/>
      <c r="H83" s="235"/>
      <c r="I83" s="236"/>
    </row>
    <row r="84" spans="1:21" ht="15.75" customHeight="1">
      <c r="A84" s="46">
        <v>19</v>
      </c>
      <c r="B84" s="247" t="s">
        <v>227</v>
      </c>
      <c r="C84" s="20" t="s">
        <v>73</v>
      </c>
      <c r="D84" s="266" t="s">
        <v>74</v>
      </c>
      <c r="E84" s="16">
        <v>5816.5</v>
      </c>
      <c r="F84" s="16">
        <f>SUM(E84*12)</f>
        <v>69798</v>
      </c>
      <c r="G84" s="16">
        <v>2.54</v>
      </c>
      <c r="H84" s="244">
        <f>SUM(F84*G84/1000)</f>
        <v>177.28692000000001</v>
      </c>
      <c r="I84" s="16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197"/>
      <c r="S84" s="197"/>
      <c r="T84" s="197"/>
      <c r="U84" s="197"/>
    </row>
    <row r="85" spans="1:21" ht="31.5" customHeight="1">
      <c r="A85" s="46">
        <v>20</v>
      </c>
      <c r="B85" s="18" t="s">
        <v>102</v>
      </c>
      <c r="C85" s="20"/>
      <c r="D85" s="266" t="s">
        <v>74</v>
      </c>
      <c r="E85" s="249">
        <f>E84</f>
        <v>5816.5</v>
      </c>
      <c r="F85" s="16">
        <f>E85*12</f>
        <v>69798</v>
      </c>
      <c r="G85" s="16">
        <v>2.0499999999999998</v>
      </c>
      <c r="H85" s="244">
        <f>F85*G85/1000</f>
        <v>143.08589999999998</v>
      </c>
      <c r="I85" s="16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197"/>
      <c r="S85" s="197"/>
      <c r="T85" s="197"/>
      <c r="U85" s="197"/>
    </row>
    <row r="86" spans="1:21" ht="15.75" customHeight="1">
      <c r="A86" s="122"/>
      <c r="B86" s="68" t="s">
        <v>108</v>
      </c>
      <c r="C86" s="70"/>
      <c r="D86" s="19"/>
      <c r="E86" s="19"/>
      <c r="F86" s="19"/>
      <c r="G86" s="23"/>
      <c r="H86" s="23"/>
      <c r="I86" s="53">
        <f>I16+I17+I18+I20+I21+I27+I28+I40+I41+I43+I44+I45+I46+I59+I60+I61+I64+I74+I84+I85</f>
        <v>100500.43825383332</v>
      </c>
    </row>
    <row r="87" spans="1:21" ht="15.75" customHeight="1">
      <c r="A87" s="122"/>
      <c r="B87" s="189" t="s">
        <v>80</v>
      </c>
      <c r="C87" s="189"/>
      <c r="D87" s="189"/>
      <c r="E87" s="189"/>
      <c r="F87" s="189"/>
      <c r="G87" s="189"/>
      <c r="H87" s="189"/>
      <c r="I87" s="189"/>
    </row>
    <row r="88" spans="1:21" ht="31.5" customHeight="1">
      <c r="A88" s="46">
        <v>21</v>
      </c>
      <c r="B88" s="138" t="s">
        <v>257</v>
      </c>
      <c r="C88" s="243" t="s">
        <v>49</v>
      </c>
      <c r="D88" s="267"/>
      <c r="E88" s="16"/>
      <c r="F88" s="16">
        <f>4/100</f>
        <v>0.04</v>
      </c>
      <c r="G88" s="16">
        <v>3397.65</v>
      </c>
      <c r="H88" s="244">
        <f>G88*F88/1000</f>
        <v>0.135906</v>
      </c>
      <c r="I88" s="16">
        <f>G88*0.02</f>
        <v>67.953000000000003</v>
      </c>
      <c r="J88" s="5"/>
      <c r="K88" s="5"/>
      <c r="L88" s="5"/>
      <c r="M88" s="5"/>
      <c r="N88" s="5"/>
      <c r="O88" s="5"/>
      <c r="P88" s="5"/>
      <c r="Q88" s="5"/>
      <c r="R88" s="197"/>
      <c r="S88" s="197"/>
      <c r="T88" s="197"/>
      <c r="U88" s="197"/>
    </row>
    <row r="89" spans="1:21" ht="15.75" customHeight="1">
      <c r="A89" s="46"/>
      <c r="B89" s="75" t="s">
        <v>66</v>
      </c>
      <c r="C89" s="71"/>
      <c r="D89" s="124"/>
      <c r="E89" s="71">
        <v>1</v>
      </c>
      <c r="F89" s="71"/>
      <c r="G89" s="71"/>
      <c r="H89" s="71"/>
      <c r="I89" s="53">
        <f>SUM(I88:I88)</f>
        <v>67.953000000000003</v>
      </c>
    </row>
    <row r="90" spans="1:21" ht="15.75" customHeight="1">
      <c r="A90" s="46"/>
      <c r="B90" s="81" t="s">
        <v>103</v>
      </c>
      <c r="C90" s="19"/>
      <c r="D90" s="19"/>
      <c r="E90" s="72"/>
      <c r="F90" s="72"/>
      <c r="G90" s="73"/>
      <c r="H90" s="73"/>
      <c r="I90" s="22">
        <v>0</v>
      </c>
    </row>
    <row r="91" spans="1:21" ht="15.75" customHeight="1">
      <c r="A91" s="125"/>
      <c r="B91" s="76" t="s">
        <v>67</v>
      </c>
      <c r="C91" s="59"/>
      <c r="D91" s="59"/>
      <c r="E91" s="59"/>
      <c r="F91" s="59"/>
      <c r="G91" s="59"/>
      <c r="H91" s="59"/>
      <c r="I91" s="74">
        <f>I86+I89</f>
        <v>100568.39125383331</v>
      </c>
    </row>
    <row r="92" spans="1:21" ht="15.75" customHeight="1">
      <c r="A92" s="223" t="s">
        <v>291</v>
      </c>
      <c r="B92" s="223"/>
      <c r="C92" s="223"/>
      <c r="D92" s="223"/>
      <c r="E92" s="223"/>
      <c r="F92" s="223"/>
      <c r="G92" s="223"/>
      <c r="H92" s="223"/>
      <c r="I92" s="223"/>
    </row>
    <row r="93" spans="1:21" ht="15.75" customHeight="1">
      <c r="A93" s="201"/>
      <c r="B93" s="224" t="s">
        <v>292</v>
      </c>
      <c r="C93" s="224"/>
      <c r="D93" s="224"/>
      <c r="E93" s="224"/>
      <c r="F93" s="224"/>
      <c r="G93" s="224"/>
      <c r="H93" s="241"/>
      <c r="I93" s="3"/>
    </row>
    <row r="94" spans="1:21" ht="15.75" customHeight="1">
      <c r="A94" s="197"/>
      <c r="B94" s="212" t="s">
        <v>7</v>
      </c>
      <c r="C94" s="212"/>
      <c r="D94" s="212"/>
      <c r="E94" s="212"/>
      <c r="F94" s="212"/>
      <c r="G94" s="212"/>
      <c r="H94" s="36"/>
      <c r="I94" s="5"/>
    </row>
    <row r="95" spans="1:21" ht="15.75" customHeight="1">
      <c r="A95" s="11"/>
      <c r="B95" s="11"/>
      <c r="C95" s="11"/>
      <c r="D95" s="11"/>
      <c r="E95" s="11"/>
      <c r="F95" s="11"/>
      <c r="G95" s="11"/>
      <c r="H95" s="11"/>
      <c r="I95" s="11"/>
    </row>
    <row r="96" spans="1:21" ht="15.75" customHeight="1">
      <c r="A96" s="225" t="s">
        <v>8</v>
      </c>
      <c r="B96" s="225"/>
      <c r="C96" s="225"/>
      <c r="D96" s="225"/>
      <c r="E96" s="225"/>
      <c r="F96" s="225"/>
      <c r="G96" s="225"/>
      <c r="H96" s="225"/>
      <c r="I96" s="225"/>
    </row>
    <row r="97" spans="1:9" ht="15.75" customHeight="1">
      <c r="A97" s="225" t="s">
        <v>9</v>
      </c>
      <c r="B97" s="225"/>
      <c r="C97" s="225"/>
      <c r="D97" s="225"/>
      <c r="E97" s="225"/>
      <c r="F97" s="225"/>
      <c r="G97" s="225"/>
      <c r="H97" s="225"/>
      <c r="I97" s="225"/>
    </row>
    <row r="98" spans="1:9" ht="15.75" customHeight="1">
      <c r="A98" s="221" t="s">
        <v>82</v>
      </c>
      <c r="B98" s="221"/>
      <c r="C98" s="221"/>
      <c r="D98" s="221"/>
      <c r="E98" s="221"/>
      <c r="F98" s="221"/>
      <c r="G98" s="221"/>
      <c r="H98" s="221"/>
      <c r="I98" s="221"/>
    </row>
    <row r="99" spans="1:9" ht="15.75" customHeight="1">
      <c r="A99" s="12"/>
    </row>
    <row r="100" spans="1:9" ht="15.75" customHeight="1">
      <c r="A100" s="222" t="s">
        <v>11</v>
      </c>
      <c r="B100" s="222"/>
      <c r="C100" s="222"/>
      <c r="D100" s="222"/>
      <c r="E100" s="222"/>
      <c r="F100" s="222"/>
      <c r="G100" s="222"/>
      <c r="H100" s="222"/>
      <c r="I100" s="222"/>
    </row>
    <row r="101" spans="1:9" ht="15.75" customHeight="1">
      <c r="A101" s="4"/>
    </row>
    <row r="102" spans="1:9" ht="15.75" customHeight="1">
      <c r="B102" s="200" t="s">
        <v>12</v>
      </c>
      <c r="C102" s="214" t="s">
        <v>142</v>
      </c>
      <c r="D102" s="214"/>
      <c r="E102" s="214"/>
      <c r="F102" s="239"/>
      <c r="I102" s="196"/>
    </row>
    <row r="103" spans="1:9" ht="15.75" customHeight="1">
      <c r="A103" s="197"/>
      <c r="C103" s="212" t="s">
        <v>13</v>
      </c>
      <c r="D103" s="212"/>
      <c r="E103" s="212"/>
      <c r="F103" s="36"/>
      <c r="I103" s="195" t="s">
        <v>14</v>
      </c>
    </row>
    <row r="104" spans="1:9" ht="15.75" customHeight="1">
      <c r="A104" s="37"/>
      <c r="C104" s="13"/>
      <c r="D104" s="13"/>
      <c r="G104" s="13"/>
      <c r="H104" s="13"/>
    </row>
    <row r="105" spans="1:9" ht="15.75" customHeight="1">
      <c r="B105" s="200" t="s">
        <v>15</v>
      </c>
      <c r="C105" s="213"/>
      <c r="D105" s="213"/>
      <c r="E105" s="213"/>
      <c r="F105" s="240"/>
      <c r="I105" s="196"/>
    </row>
    <row r="106" spans="1:9" ht="15.75" customHeight="1">
      <c r="A106" s="197"/>
      <c r="C106" s="207" t="s">
        <v>13</v>
      </c>
      <c r="D106" s="207"/>
      <c r="E106" s="207"/>
      <c r="F106" s="197"/>
      <c r="I106" s="195" t="s">
        <v>14</v>
      </c>
    </row>
    <row r="107" spans="1:9" ht="15.75" customHeight="1">
      <c r="A107" s="4" t="s">
        <v>16</v>
      </c>
    </row>
    <row r="108" spans="1:9" ht="15.75" customHeight="1">
      <c r="A108" s="220" t="s">
        <v>17</v>
      </c>
      <c r="B108" s="220"/>
      <c r="C108" s="220"/>
      <c r="D108" s="220"/>
      <c r="E108" s="220"/>
      <c r="F108" s="220"/>
      <c r="G108" s="220"/>
      <c r="H108" s="220"/>
      <c r="I108" s="220"/>
    </row>
    <row r="109" spans="1:9" ht="45" customHeight="1">
      <c r="A109" s="219" t="s">
        <v>18</v>
      </c>
      <c r="B109" s="219"/>
      <c r="C109" s="219"/>
      <c r="D109" s="219"/>
      <c r="E109" s="219"/>
      <c r="F109" s="219"/>
      <c r="G109" s="219"/>
      <c r="H109" s="219"/>
      <c r="I109" s="219"/>
    </row>
    <row r="110" spans="1:9" ht="30" customHeight="1">
      <c r="A110" s="219" t="s">
        <v>19</v>
      </c>
      <c r="B110" s="219"/>
      <c r="C110" s="219"/>
      <c r="D110" s="219"/>
      <c r="E110" s="219"/>
      <c r="F110" s="219"/>
      <c r="G110" s="219"/>
      <c r="H110" s="219"/>
      <c r="I110" s="219"/>
    </row>
    <row r="111" spans="1:9" ht="30" customHeight="1">
      <c r="A111" s="219" t="s">
        <v>24</v>
      </c>
      <c r="B111" s="219"/>
      <c r="C111" s="219"/>
      <c r="D111" s="219"/>
      <c r="E111" s="219"/>
      <c r="F111" s="219"/>
      <c r="G111" s="219"/>
      <c r="H111" s="219"/>
      <c r="I111" s="219"/>
    </row>
    <row r="112" spans="1:9" ht="15" customHeight="1">
      <c r="A112" s="219" t="s">
        <v>23</v>
      </c>
      <c r="B112" s="219"/>
      <c r="C112" s="219"/>
      <c r="D112" s="219"/>
      <c r="E112" s="219"/>
      <c r="F112" s="219"/>
      <c r="G112" s="219"/>
      <c r="H112" s="219"/>
      <c r="I112" s="219"/>
    </row>
  </sheetData>
  <autoFilter ref="I12:I62"/>
  <mergeCells count="28"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  <mergeCell ref="A92:I92"/>
    <mergeCell ref="B93:G93"/>
    <mergeCell ref="B94:G94"/>
    <mergeCell ref="A96:I96"/>
    <mergeCell ref="A97:I97"/>
    <mergeCell ref="A98:I98"/>
    <mergeCell ref="A15:I15"/>
    <mergeCell ref="A29:I29"/>
    <mergeCell ref="A47:I47"/>
    <mergeCell ref="A57:I57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1" t="s">
        <v>128</v>
      </c>
      <c r="I1" s="40"/>
      <c r="J1" s="1"/>
      <c r="K1" s="1"/>
      <c r="L1" s="1"/>
      <c r="M1" s="1"/>
    </row>
    <row r="2" spans="1:13" ht="15.75" customHeight="1">
      <c r="A2" s="42" t="s">
        <v>85</v>
      </c>
      <c r="J2" s="2"/>
      <c r="K2" s="2"/>
      <c r="L2" s="2"/>
      <c r="M2" s="2"/>
    </row>
    <row r="3" spans="1:13" ht="15.75" customHeight="1">
      <c r="A3" s="226" t="s">
        <v>293</v>
      </c>
      <c r="B3" s="226"/>
      <c r="C3" s="226"/>
      <c r="D3" s="226"/>
      <c r="E3" s="226"/>
      <c r="F3" s="226"/>
      <c r="G3" s="226"/>
      <c r="H3" s="226"/>
      <c r="I3" s="226"/>
      <c r="J3" s="3"/>
      <c r="K3" s="3"/>
      <c r="L3" s="3"/>
    </row>
    <row r="4" spans="1:13" ht="31.5" customHeight="1">
      <c r="A4" s="227" t="s">
        <v>228</v>
      </c>
      <c r="B4" s="227"/>
      <c r="C4" s="227"/>
      <c r="D4" s="227"/>
      <c r="E4" s="227"/>
      <c r="F4" s="227"/>
      <c r="G4" s="227"/>
      <c r="H4" s="227"/>
      <c r="I4" s="227"/>
    </row>
    <row r="5" spans="1:13" ht="15.75" customHeight="1">
      <c r="A5" s="226" t="s">
        <v>112</v>
      </c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5.75" customHeight="1">
      <c r="A6" s="2"/>
      <c r="B6" s="199"/>
      <c r="C6" s="199"/>
      <c r="D6" s="199"/>
      <c r="E6" s="199"/>
      <c r="F6" s="199"/>
      <c r="G6" s="199"/>
      <c r="H6" s="199"/>
      <c r="I6" s="51">
        <v>42490</v>
      </c>
      <c r="J6" s="2"/>
      <c r="K6" s="2"/>
      <c r="L6" s="2"/>
      <c r="M6" s="2"/>
    </row>
    <row r="7" spans="1:13" ht="15.75" customHeight="1">
      <c r="B7" s="200"/>
      <c r="C7" s="200"/>
      <c r="D7" s="20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5" t="s">
        <v>239</v>
      </c>
      <c r="B8" s="205"/>
      <c r="C8" s="205"/>
      <c r="D8" s="205"/>
      <c r="E8" s="205"/>
      <c r="F8" s="205"/>
      <c r="G8" s="205"/>
      <c r="H8" s="205"/>
      <c r="I8" s="20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06" t="s">
        <v>238</v>
      </c>
      <c r="B10" s="206"/>
      <c r="C10" s="206"/>
      <c r="D10" s="206"/>
      <c r="E10" s="206"/>
      <c r="F10" s="206"/>
      <c r="G10" s="206"/>
      <c r="H10" s="206"/>
      <c r="I10" s="20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29" t="s">
        <v>79</v>
      </c>
      <c r="B14" s="229"/>
      <c r="C14" s="229"/>
      <c r="D14" s="229"/>
      <c r="E14" s="229"/>
      <c r="F14" s="229"/>
      <c r="G14" s="229"/>
      <c r="H14" s="229"/>
      <c r="I14" s="229"/>
      <c r="J14" s="8"/>
      <c r="K14" s="8"/>
      <c r="L14" s="8"/>
      <c r="M14" s="8"/>
    </row>
    <row r="15" spans="1:13" ht="15.75" customHeight="1">
      <c r="A15" s="230" t="s">
        <v>4</v>
      </c>
      <c r="B15" s="230"/>
      <c r="C15" s="230"/>
      <c r="D15" s="230"/>
      <c r="E15" s="230"/>
      <c r="F15" s="230"/>
      <c r="G15" s="230"/>
      <c r="H15" s="230"/>
      <c r="I15" s="230"/>
      <c r="J15" s="8"/>
      <c r="K15" s="8"/>
      <c r="L15" s="8"/>
      <c r="M15" s="8"/>
    </row>
    <row r="16" spans="1:13" ht="15.75" customHeight="1">
      <c r="A16" s="46">
        <v>1</v>
      </c>
      <c r="B16" s="247" t="s">
        <v>130</v>
      </c>
      <c r="C16" s="248" t="s">
        <v>194</v>
      </c>
      <c r="D16" s="247" t="s">
        <v>195</v>
      </c>
      <c r="E16" s="249">
        <v>176.24</v>
      </c>
      <c r="F16" s="250">
        <f>SUM(E16*156/100)</f>
        <v>274.93440000000004</v>
      </c>
      <c r="G16" s="250">
        <v>187.48</v>
      </c>
      <c r="H16" s="251">
        <f t="shared" ref="H16:H26" si="0">SUM(F16*G16/1000)</f>
        <v>51.544701312000008</v>
      </c>
      <c r="I16" s="16">
        <f>F16/12*G16</f>
        <v>4295.3917760000004</v>
      </c>
      <c r="J16" s="8"/>
      <c r="K16" s="8"/>
      <c r="L16" s="8"/>
      <c r="M16" s="8"/>
    </row>
    <row r="17" spans="1:13" ht="15.75" customHeight="1">
      <c r="A17" s="46">
        <v>2</v>
      </c>
      <c r="B17" s="247" t="s">
        <v>151</v>
      </c>
      <c r="C17" s="248" t="s">
        <v>194</v>
      </c>
      <c r="D17" s="247" t="s">
        <v>196</v>
      </c>
      <c r="E17" s="249">
        <v>704.96</v>
      </c>
      <c r="F17" s="250">
        <f>SUM(E17*104/100)</f>
        <v>733.15839999999992</v>
      </c>
      <c r="G17" s="250">
        <v>187.48</v>
      </c>
      <c r="H17" s="251">
        <v>137.453</v>
      </c>
      <c r="I17" s="16">
        <f>F17/12*G17</f>
        <v>11454.378069333332</v>
      </c>
      <c r="J17" s="31"/>
      <c r="K17" s="8"/>
      <c r="L17" s="8"/>
      <c r="M17" s="8"/>
    </row>
    <row r="18" spans="1:13" ht="15.75" customHeight="1">
      <c r="A18" s="46">
        <v>3</v>
      </c>
      <c r="B18" s="247" t="s">
        <v>152</v>
      </c>
      <c r="C18" s="248" t="s">
        <v>194</v>
      </c>
      <c r="D18" s="247" t="s">
        <v>197</v>
      </c>
      <c r="E18" s="249">
        <f>SUM(E16+E17)</f>
        <v>881.2</v>
      </c>
      <c r="F18" s="250">
        <f>SUM(E18*24/100)</f>
        <v>211.48800000000003</v>
      </c>
      <c r="G18" s="250">
        <v>539.30999999999995</v>
      </c>
      <c r="H18" s="251">
        <f t="shared" si="0"/>
        <v>114.05759328000001</v>
      </c>
      <c r="I18" s="16">
        <f>F18/12*G18</f>
        <v>9504.7994400000007</v>
      </c>
      <c r="J18" s="31"/>
      <c r="K18" s="8"/>
      <c r="L18" s="8"/>
      <c r="M18" s="8"/>
    </row>
    <row r="19" spans="1:13" ht="15.75" hidden="1" customHeight="1">
      <c r="A19" s="46">
        <v>4</v>
      </c>
      <c r="B19" s="247" t="s">
        <v>198</v>
      </c>
      <c r="C19" s="248" t="s">
        <v>199</v>
      </c>
      <c r="D19" s="247" t="s">
        <v>200</v>
      </c>
      <c r="E19" s="249">
        <v>28.8</v>
      </c>
      <c r="F19" s="250">
        <f>SUM(E19/10)</f>
        <v>2.88</v>
      </c>
      <c r="G19" s="250">
        <v>181.91</v>
      </c>
      <c r="H19" s="251">
        <f t="shared" si="0"/>
        <v>0.52390080000000006</v>
      </c>
      <c r="I19" s="16">
        <v>0</v>
      </c>
      <c r="J19" s="31"/>
      <c r="K19" s="8"/>
      <c r="L19" s="8"/>
      <c r="M19" s="8"/>
    </row>
    <row r="20" spans="1:13" ht="15.75" customHeight="1">
      <c r="A20" s="46">
        <v>4</v>
      </c>
      <c r="B20" s="247" t="s">
        <v>164</v>
      </c>
      <c r="C20" s="248" t="s">
        <v>194</v>
      </c>
      <c r="D20" s="247" t="s">
        <v>36</v>
      </c>
      <c r="E20" s="249">
        <v>17.5</v>
      </c>
      <c r="F20" s="250">
        <f>SUM(E20*12/100)</f>
        <v>2.1</v>
      </c>
      <c r="G20" s="250">
        <v>232.92</v>
      </c>
      <c r="H20" s="251">
        <f t="shared" si="0"/>
        <v>0.48913200000000001</v>
      </c>
      <c r="I20" s="16">
        <f>F20/12*G20</f>
        <v>40.761000000000003</v>
      </c>
      <c r="J20" s="31"/>
      <c r="K20" s="8"/>
      <c r="L20" s="8"/>
      <c r="M20" s="8"/>
    </row>
    <row r="21" spans="1:13" ht="15.75" hidden="1" customHeight="1">
      <c r="A21" s="46">
        <v>5</v>
      </c>
      <c r="B21" s="247" t="s">
        <v>165</v>
      </c>
      <c r="C21" s="248" t="s">
        <v>194</v>
      </c>
      <c r="D21" s="247" t="s">
        <v>188</v>
      </c>
      <c r="E21" s="249">
        <v>5.94</v>
      </c>
      <c r="F21" s="250">
        <f>SUM(E21*6/100)</f>
        <v>0.35639999999999999</v>
      </c>
      <c r="G21" s="250">
        <v>231.03</v>
      </c>
      <c r="H21" s="251">
        <f t="shared" si="0"/>
        <v>8.2339091999999989E-2</v>
      </c>
      <c r="I21" s="16">
        <f>F21/6*G21</f>
        <v>13.723182</v>
      </c>
      <c r="J21" s="31"/>
      <c r="K21" s="8"/>
      <c r="L21" s="8"/>
      <c r="M21" s="8"/>
    </row>
    <row r="22" spans="1:13" ht="15.75" hidden="1" customHeight="1">
      <c r="A22" s="46">
        <v>7</v>
      </c>
      <c r="B22" s="247" t="s">
        <v>201</v>
      </c>
      <c r="C22" s="248" t="s">
        <v>68</v>
      </c>
      <c r="D22" s="247" t="s">
        <v>200</v>
      </c>
      <c r="E22" s="249">
        <v>376</v>
      </c>
      <c r="F22" s="250">
        <f>SUM(E22/100)</f>
        <v>3.76</v>
      </c>
      <c r="G22" s="250">
        <v>287.83999999999997</v>
      </c>
      <c r="H22" s="251">
        <f t="shared" si="0"/>
        <v>1.0822783999999999</v>
      </c>
      <c r="I22" s="16">
        <v>0</v>
      </c>
      <c r="J22" s="31"/>
      <c r="K22" s="8"/>
      <c r="L22" s="8"/>
      <c r="M22" s="8"/>
    </row>
    <row r="23" spans="1:13" ht="15.75" hidden="1" customHeight="1">
      <c r="A23" s="46">
        <v>8</v>
      </c>
      <c r="B23" s="247" t="s">
        <v>202</v>
      </c>
      <c r="C23" s="248" t="s">
        <v>68</v>
      </c>
      <c r="D23" s="247" t="s">
        <v>200</v>
      </c>
      <c r="E23" s="252">
        <v>60.4</v>
      </c>
      <c r="F23" s="250">
        <f>SUM(E23/100)</f>
        <v>0.60399999999999998</v>
      </c>
      <c r="G23" s="250">
        <v>47.34</v>
      </c>
      <c r="H23" s="251">
        <f t="shared" si="0"/>
        <v>2.8593360000000002E-2</v>
      </c>
      <c r="I23" s="16">
        <v>0</v>
      </c>
      <c r="J23" s="31"/>
      <c r="K23" s="8"/>
      <c r="L23" s="8"/>
      <c r="M23" s="8"/>
    </row>
    <row r="24" spans="1:13" ht="15.75" hidden="1" customHeight="1">
      <c r="A24" s="46">
        <v>9</v>
      </c>
      <c r="B24" s="247" t="s">
        <v>176</v>
      </c>
      <c r="C24" s="248" t="s">
        <v>68</v>
      </c>
      <c r="D24" s="247" t="s">
        <v>69</v>
      </c>
      <c r="E24" s="23">
        <v>25</v>
      </c>
      <c r="F24" s="253">
        <f>E24/100</f>
        <v>0.25</v>
      </c>
      <c r="G24" s="250">
        <v>416.62</v>
      </c>
      <c r="H24" s="251">
        <f>F24*G24/1000</f>
        <v>0.104155</v>
      </c>
      <c r="I24" s="16">
        <v>0</v>
      </c>
      <c r="J24" s="31"/>
      <c r="K24" s="8"/>
      <c r="L24" s="8"/>
      <c r="M24" s="8"/>
    </row>
    <row r="25" spans="1:13" ht="15.75" hidden="1" customHeight="1">
      <c r="A25" s="46">
        <v>10</v>
      </c>
      <c r="B25" s="247" t="s">
        <v>203</v>
      </c>
      <c r="C25" s="248" t="s">
        <v>68</v>
      </c>
      <c r="D25" s="247" t="s">
        <v>200</v>
      </c>
      <c r="E25" s="252">
        <v>23.75</v>
      </c>
      <c r="F25" s="250">
        <f>E25/100</f>
        <v>0.23749999999999999</v>
      </c>
      <c r="G25" s="250">
        <v>231.03</v>
      </c>
      <c r="H25" s="251">
        <f>F25*G25/1000</f>
        <v>5.4869624999999998E-2</v>
      </c>
      <c r="I25" s="16">
        <v>0</v>
      </c>
      <c r="J25" s="31"/>
      <c r="K25" s="8"/>
      <c r="L25" s="8"/>
      <c r="M25" s="8"/>
    </row>
    <row r="26" spans="1:13" ht="15.75" hidden="1" customHeight="1">
      <c r="A26" s="46">
        <v>11</v>
      </c>
      <c r="B26" s="247" t="s">
        <v>177</v>
      </c>
      <c r="C26" s="248" t="s">
        <v>68</v>
      </c>
      <c r="D26" s="247" t="s">
        <v>200</v>
      </c>
      <c r="E26" s="249">
        <v>10.63</v>
      </c>
      <c r="F26" s="250">
        <f>SUM(E26/100)</f>
        <v>0.10630000000000001</v>
      </c>
      <c r="G26" s="250">
        <v>556.74</v>
      </c>
      <c r="H26" s="251">
        <f t="shared" si="0"/>
        <v>5.9181462000000004E-2</v>
      </c>
      <c r="I26" s="16">
        <v>0</v>
      </c>
      <c r="J26" s="31"/>
      <c r="K26" s="8"/>
      <c r="L26" s="8"/>
      <c r="M26" s="8"/>
    </row>
    <row r="27" spans="1:13" ht="15.75" customHeight="1">
      <c r="A27" s="46">
        <v>5</v>
      </c>
      <c r="B27" s="247" t="s">
        <v>87</v>
      </c>
      <c r="C27" s="248" t="s">
        <v>40</v>
      </c>
      <c r="D27" s="247" t="s">
        <v>247</v>
      </c>
      <c r="E27" s="249">
        <v>0.1</v>
      </c>
      <c r="F27" s="250">
        <f>SUM(E27*365)</f>
        <v>36.5</v>
      </c>
      <c r="G27" s="250">
        <v>157.18</v>
      </c>
      <c r="H27" s="251">
        <f>SUM(F27*G27/1000)</f>
        <v>5.737070000000001</v>
      </c>
      <c r="I27" s="16">
        <f>F27/12*G27</f>
        <v>478.08916666666664</v>
      </c>
      <c r="J27" s="32"/>
    </row>
    <row r="28" spans="1:13" ht="15.75" customHeight="1">
      <c r="A28" s="46">
        <v>6</v>
      </c>
      <c r="B28" s="255" t="s">
        <v>26</v>
      </c>
      <c r="C28" s="248" t="s">
        <v>27</v>
      </c>
      <c r="D28" s="255" t="s">
        <v>247</v>
      </c>
      <c r="E28" s="249">
        <v>5816.5</v>
      </c>
      <c r="F28" s="250">
        <f>SUM(E28*12)</f>
        <v>69798</v>
      </c>
      <c r="G28" s="250">
        <v>4.72</v>
      </c>
      <c r="H28" s="251">
        <f>SUM(F28*G28/1000)</f>
        <v>329.44655999999998</v>
      </c>
      <c r="I28" s="16">
        <f>F28/12*G28</f>
        <v>27453.879999999997</v>
      </c>
      <c r="J28" s="32"/>
    </row>
    <row r="29" spans="1:13" ht="15.75" customHeight="1">
      <c r="A29" s="230" t="s">
        <v>122</v>
      </c>
      <c r="B29" s="230"/>
      <c r="C29" s="230"/>
      <c r="D29" s="230"/>
      <c r="E29" s="230"/>
      <c r="F29" s="230"/>
      <c r="G29" s="230"/>
      <c r="H29" s="230"/>
      <c r="I29" s="230"/>
      <c r="J29" s="31"/>
      <c r="K29" s="8"/>
      <c r="L29" s="8"/>
      <c r="M29" s="8"/>
    </row>
    <row r="30" spans="1:13" ht="15.75" hidden="1" customHeight="1">
      <c r="A30" s="46"/>
      <c r="B30" s="268" t="s">
        <v>34</v>
      </c>
      <c r="C30" s="248"/>
      <c r="D30" s="247"/>
      <c r="E30" s="249"/>
      <c r="F30" s="250"/>
      <c r="G30" s="250"/>
      <c r="H30" s="251"/>
      <c r="I30" s="16"/>
      <c r="J30" s="31"/>
      <c r="K30" s="8"/>
      <c r="L30" s="8"/>
      <c r="M30" s="8"/>
    </row>
    <row r="31" spans="1:13" ht="15.75" hidden="1" customHeight="1">
      <c r="A31" s="46">
        <v>7</v>
      </c>
      <c r="B31" s="247" t="s">
        <v>204</v>
      </c>
      <c r="C31" s="248" t="s">
        <v>205</v>
      </c>
      <c r="D31" s="247" t="s">
        <v>206</v>
      </c>
      <c r="E31" s="250">
        <v>357.22</v>
      </c>
      <c r="F31" s="250">
        <f>SUM(E31*52/1000)</f>
        <v>18.575440000000004</v>
      </c>
      <c r="G31" s="250">
        <v>166.65</v>
      </c>
      <c r="H31" s="251">
        <f t="shared" ref="H31:H38" si="1">SUM(F31*G31/1000)</f>
        <v>3.0955970760000011</v>
      </c>
      <c r="I31" s="16">
        <f>F31/6*G31</f>
        <v>515.93284600000015</v>
      </c>
      <c r="J31" s="31"/>
      <c r="K31" s="8"/>
      <c r="L31" s="8"/>
      <c r="M31" s="8"/>
    </row>
    <row r="32" spans="1:13" ht="31.5" hidden="1" customHeight="1">
      <c r="A32" s="46">
        <v>8</v>
      </c>
      <c r="B32" s="247" t="s">
        <v>281</v>
      </c>
      <c r="C32" s="248" t="s">
        <v>205</v>
      </c>
      <c r="D32" s="247" t="s">
        <v>208</v>
      </c>
      <c r="E32" s="250">
        <v>475.06</v>
      </c>
      <c r="F32" s="250">
        <f>SUM(E32*78/1000)</f>
        <v>37.054679999999998</v>
      </c>
      <c r="G32" s="250">
        <v>276.48</v>
      </c>
      <c r="H32" s="251">
        <f t="shared" si="1"/>
        <v>10.244877926400001</v>
      </c>
      <c r="I32" s="16">
        <f t="shared" ref="I32:I35" si="2">F32/6*G32</f>
        <v>1707.4796544000001</v>
      </c>
      <c r="J32" s="31"/>
      <c r="K32" s="8"/>
      <c r="L32" s="8"/>
      <c r="M32" s="8"/>
    </row>
    <row r="33" spans="1:14" ht="15.75" hidden="1" customHeight="1">
      <c r="A33" s="46">
        <v>16</v>
      </c>
      <c r="B33" s="247" t="s">
        <v>33</v>
      </c>
      <c r="C33" s="248" t="s">
        <v>205</v>
      </c>
      <c r="D33" s="247" t="s">
        <v>69</v>
      </c>
      <c r="E33" s="250">
        <v>357.22</v>
      </c>
      <c r="F33" s="250">
        <f>SUM(E33/1000)</f>
        <v>0.35722000000000004</v>
      </c>
      <c r="G33" s="250">
        <v>3228.73</v>
      </c>
      <c r="H33" s="251">
        <f t="shared" si="1"/>
        <v>1.1533669306000001</v>
      </c>
      <c r="I33" s="16">
        <f>F33*G33</f>
        <v>1153.3669306000002</v>
      </c>
      <c r="J33" s="31"/>
      <c r="K33" s="8"/>
      <c r="L33" s="8"/>
      <c r="M33" s="8"/>
    </row>
    <row r="34" spans="1:14" ht="15.75" hidden="1" customHeight="1">
      <c r="A34" s="46">
        <v>9</v>
      </c>
      <c r="B34" s="247" t="s">
        <v>245</v>
      </c>
      <c r="C34" s="248" t="s">
        <v>51</v>
      </c>
      <c r="D34" s="247" t="s">
        <v>246</v>
      </c>
      <c r="E34" s="250">
        <v>5</v>
      </c>
      <c r="F34" s="250">
        <f>E34*155/100</f>
        <v>7.75</v>
      </c>
      <c r="G34" s="250">
        <v>1391.86</v>
      </c>
      <c r="H34" s="251">
        <f>G34*F34/1000</f>
        <v>10.786914999999999</v>
      </c>
      <c r="I34" s="16">
        <f t="shared" si="2"/>
        <v>1797.8191666666667</v>
      </c>
      <c r="J34" s="31"/>
      <c r="K34" s="8"/>
      <c r="L34" s="8"/>
      <c r="M34" s="8"/>
    </row>
    <row r="35" spans="1:14" ht="15.75" hidden="1" customHeight="1">
      <c r="A35" s="46">
        <v>10</v>
      </c>
      <c r="B35" s="247" t="s">
        <v>210</v>
      </c>
      <c r="C35" s="248" t="s">
        <v>37</v>
      </c>
      <c r="D35" s="247" t="s">
        <v>86</v>
      </c>
      <c r="E35" s="254">
        <v>0.33333333333333331</v>
      </c>
      <c r="F35" s="250">
        <f>155/3</f>
        <v>51.666666666666664</v>
      </c>
      <c r="G35" s="250">
        <v>60.6</v>
      </c>
      <c r="H35" s="251">
        <f>SUM(G35*155/3/1000)</f>
        <v>3.1309999999999998</v>
      </c>
      <c r="I35" s="16">
        <f t="shared" si="2"/>
        <v>521.83333333333337</v>
      </c>
      <c r="J35" s="31"/>
      <c r="K35" s="8"/>
    </row>
    <row r="36" spans="1:14" ht="15.75" hidden="1" customHeight="1">
      <c r="A36" s="46"/>
      <c r="B36" s="247" t="s">
        <v>88</v>
      </c>
      <c r="C36" s="248" t="s">
        <v>40</v>
      </c>
      <c r="D36" s="247" t="s">
        <v>90</v>
      </c>
      <c r="E36" s="249"/>
      <c r="F36" s="250">
        <v>3</v>
      </c>
      <c r="G36" s="250">
        <v>204.52</v>
      </c>
      <c r="H36" s="251">
        <f t="shared" si="1"/>
        <v>0.61356000000000011</v>
      </c>
      <c r="I36" s="16">
        <v>0</v>
      </c>
      <c r="J36" s="32"/>
    </row>
    <row r="37" spans="1:14" ht="15.75" hidden="1" customHeight="1">
      <c r="A37" s="46"/>
      <c r="B37" s="247" t="s">
        <v>89</v>
      </c>
      <c r="C37" s="248" t="s">
        <v>39</v>
      </c>
      <c r="D37" s="247" t="s">
        <v>90</v>
      </c>
      <c r="E37" s="249"/>
      <c r="F37" s="250">
        <v>2</v>
      </c>
      <c r="G37" s="250">
        <v>1214.74</v>
      </c>
      <c r="H37" s="251">
        <f t="shared" si="1"/>
        <v>2.4294799999999999</v>
      </c>
      <c r="I37" s="16">
        <v>0</v>
      </c>
      <c r="J37" s="32"/>
    </row>
    <row r="38" spans="1:14" ht="15.75" hidden="1" customHeight="1">
      <c r="A38" s="46"/>
      <c r="B38" s="138" t="s">
        <v>248</v>
      </c>
      <c r="C38" s="243" t="s">
        <v>35</v>
      </c>
      <c r="D38" s="247"/>
      <c r="E38" s="249">
        <v>360.36</v>
      </c>
      <c r="F38" s="250">
        <f>E38*36/1000</f>
        <v>12.97296</v>
      </c>
      <c r="G38" s="250">
        <v>3228.73</v>
      </c>
      <c r="H38" s="251">
        <f t="shared" si="1"/>
        <v>41.886185140800002</v>
      </c>
      <c r="I38" s="16">
        <v>0</v>
      </c>
      <c r="J38" s="32"/>
    </row>
    <row r="39" spans="1:14" ht="15.75" customHeight="1">
      <c r="A39" s="46"/>
      <c r="B39" s="268" t="s">
        <v>5</v>
      </c>
      <c r="C39" s="248"/>
      <c r="D39" s="247"/>
      <c r="E39" s="249"/>
      <c r="F39" s="250"/>
      <c r="G39" s="250"/>
      <c r="H39" s="251" t="s">
        <v>225</v>
      </c>
      <c r="I39" s="16"/>
      <c r="J39" s="32"/>
    </row>
    <row r="40" spans="1:14" ht="15.75" customHeight="1">
      <c r="A40" s="46">
        <v>7</v>
      </c>
      <c r="B40" s="247" t="s">
        <v>31</v>
      </c>
      <c r="C40" s="248" t="s">
        <v>39</v>
      </c>
      <c r="D40" s="247"/>
      <c r="E40" s="249"/>
      <c r="F40" s="250">
        <v>10</v>
      </c>
      <c r="G40" s="250">
        <v>1632.6</v>
      </c>
      <c r="H40" s="251">
        <f t="shared" ref="H40:H46" si="3">SUM(F40*G40/1000)</f>
        <v>16.326000000000001</v>
      </c>
      <c r="I40" s="16">
        <f>F40/6*G40</f>
        <v>2721</v>
      </c>
      <c r="J40" s="32"/>
      <c r="L40" s="25"/>
      <c r="M40" s="26"/>
      <c r="N40" s="27"/>
    </row>
    <row r="41" spans="1:14" ht="15.75" customHeight="1">
      <c r="A41" s="46">
        <v>8</v>
      </c>
      <c r="B41" s="247" t="s">
        <v>91</v>
      </c>
      <c r="C41" s="248" t="s">
        <v>35</v>
      </c>
      <c r="D41" s="247" t="s">
        <v>211</v>
      </c>
      <c r="E41" s="250">
        <v>469.73</v>
      </c>
      <c r="F41" s="250">
        <f>SUM(E41*30/1000)</f>
        <v>14.091900000000001</v>
      </c>
      <c r="G41" s="250">
        <v>2247.8000000000002</v>
      </c>
      <c r="H41" s="251">
        <f t="shared" si="3"/>
        <v>31.675772820000006</v>
      </c>
      <c r="I41" s="16">
        <f>F41/6*G41</f>
        <v>5279.2954700000009</v>
      </c>
      <c r="J41" s="32"/>
      <c r="L41" s="25"/>
      <c r="M41" s="26"/>
      <c r="N41" s="27"/>
    </row>
    <row r="42" spans="1:14" ht="15.75" hidden="1" customHeight="1">
      <c r="A42" s="46"/>
      <c r="B42" s="247" t="s">
        <v>156</v>
      </c>
      <c r="C42" s="248" t="s">
        <v>229</v>
      </c>
      <c r="D42" s="247" t="s">
        <v>90</v>
      </c>
      <c r="E42" s="249"/>
      <c r="F42" s="250">
        <v>120</v>
      </c>
      <c r="G42" s="250">
        <v>213.2</v>
      </c>
      <c r="H42" s="251">
        <f t="shared" si="3"/>
        <v>25.584</v>
      </c>
      <c r="I42" s="16">
        <v>0</v>
      </c>
      <c r="J42" s="32"/>
      <c r="L42" s="25"/>
      <c r="M42" s="26"/>
      <c r="N42" s="27"/>
    </row>
    <row r="43" spans="1:14" ht="15.75" customHeight="1">
      <c r="A43" s="46">
        <v>9</v>
      </c>
      <c r="B43" s="247" t="s">
        <v>92</v>
      </c>
      <c r="C43" s="248" t="s">
        <v>35</v>
      </c>
      <c r="D43" s="247" t="s">
        <v>212</v>
      </c>
      <c r="E43" s="250">
        <v>475.06</v>
      </c>
      <c r="F43" s="250">
        <f>SUM(E43*155/1000)</f>
        <v>73.634299999999996</v>
      </c>
      <c r="G43" s="250">
        <v>374.95</v>
      </c>
      <c r="H43" s="251">
        <f t="shared" si="3"/>
        <v>27.609180784999996</v>
      </c>
      <c r="I43" s="16">
        <f>F43/6*G43</f>
        <v>4601.5301308333328</v>
      </c>
      <c r="J43" s="32"/>
      <c r="L43" s="25"/>
      <c r="M43" s="26"/>
      <c r="N43" s="27"/>
    </row>
    <row r="44" spans="1:14" ht="47.25" customHeight="1">
      <c r="A44" s="46">
        <v>10</v>
      </c>
      <c r="B44" s="247" t="s">
        <v>118</v>
      </c>
      <c r="C44" s="248" t="s">
        <v>205</v>
      </c>
      <c r="D44" s="247" t="s">
        <v>230</v>
      </c>
      <c r="E44" s="250">
        <v>40.6</v>
      </c>
      <c r="F44" s="250">
        <f>SUM(E44*35/1000)</f>
        <v>1.421</v>
      </c>
      <c r="G44" s="250">
        <v>6203.7</v>
      </c>
      <c r="H44" s="251">
        <f t="shared" si="3"/>
        <v>8.8154577000000014</v>
      </c>
      <c r="I44" s="16">
        <f>F44/6*G44</f>
        <v>1469.2429500000001</v>
      </c>
      <c r="J44" s="32"/>
      <c r="L44" s="25"/>
      <c r="M44" s="26"/>
      <c r="N44" s="27"/>
    </row>
    <row r="45" spans="1:14" ht="15.75" customHeight="1">
      <c r="A45" s="46">
        <v>11</v>
      </c>
      <c r="B45" s="247" t="s">
        <v>213</v>
      </c>
      <c r="C45" s="248" t="s">
        <v>205</v>
      </c>
      <c r="D45" s="247" t="s">
        <v>93</v>
      </c>
      <c r="E45" s="250">
        <v>167.03</v>
      </c>
      <c r="F45" s="250">
        <f>SUM(E45*45/1000)</f>
        <v>7.5163500000000001</v>
      </c>
      <c r="G45" s="250">
        <v>458.28</v>
      </c>
      <c r="H45" s="251">
        <f t="shared" si="3"/>
        <v>3.4445928779999999</v>
      </c>
      <c r="I45" s="16">
        <f>F45/6*G45</f>
        <v>574.09881299999995</v>
      </c>
      <c r="J45" s="32"/>
      <c r="L45" s="25"/>
      <c r="M45" s="26"/>
      <c r="N45" s="27"/>
    </row>
    <row r="46" spans="1:14" ht="15.75" customHeight="1">
      <c r="A46" s="46">
        <v>12</v>
      </c>
      <c r="B46" s="247" t="s">
        <v>94</v>
      </c>
      <c r="C46" s="248" t="s">
        <v>40</v>
      </c>
      <c r="D46" s="247"/>
      <c r="E46" s="249"/>
      <c r="F46" s="250">
        <v>1.2</v>
      </c>
      <c r="G46" s="250">
        <v>853.06</v>
      </c>
      <c r="H46" s="251">
        <f t="shared" si="3"/>
        <v>1.0236719999999999</v>
      </c>
      <c r="I46" s="16">
        <f>F46/6*G46</f>
        <v>170.61199999999997</v>
      </c>
      <c r="J46" s="32"/>
      <c r="L46" s="25"/>
      <c r="M46" s="26"/>
      <c r="N46" s="27"/>
    </row>
    <row r="47" spans="1:14" ht="15.75" customHeight="1">
      <c r="A47" s="231" t="s">
        <v>240</v>
      </c>
      <c r="B47" s="232"/>
      <c r="C47" s="232"/>
      <c r="D47" s="232"/>
      <c r="E47" s="232"/>
      <c r="F47" s="232"/>
      <c r="G47" s="232"/>
      <c r="H47" s="232"/>
      <c r="I47" s="233"/>
      <c r="J47" s="32"/>
      <c r="L47" s="25"/>
      <c r="M47" s="26"/>
      <c r="N47" s="27"/>
    </row>
    <row r="48" spans="1:14" ht="15.75" hidden="1" customHeight="1">
      <c r="A48" s="46"/>
      <c r="B48" s="247" t="s">
        <v>214</v>
      </c>
      <c r="C48" s="248" t="s">
        <v>205</v>
      </c>
      <c r="D48" s="247" t="s">
        <v>55</v>
      </c>
      <c r="E48" s="249">
        <v>1603.6</v>
      </c>
      <c r="F48" s="250">
        <f>SUM(E48*2/1000)</f>
        <v>3.2071999999999998</v>
      </c>
      <c r="G48" s="16">
        <v>908.11</v>
      </c>
      <c r="H48" s="251">
        <f t="shared" ref="H48:H56" si="4">SUM(F48*G48/1000)</f>
        <v>2.9124903919999996</v>
      </c>
      <c r="I48" s="16">
        <v>0</v>
      </c>
      <c r="J48" s="32"/>
      <c r="L48" s="25"/>
      <c r="M48" s="26"/>
      <c r="N48" s="27"/>
    </row>
    <row r="49" spans="1:22" ht="15.75" hidden="1" customHeight="1">
      <c r="A49" s="46"/>
      <c r="B49" s="247" t="s">
        <v>44</v>
      </c>
      <c r="C49" s="248" t="s">
        <v>205</v>
      </c>
      <c r="D49" s="247" t="s">
        <v>55</v>
      </c>
      <c r="E49" s="249">
        <v>65</v>
      </c>
      <c r="F49" s="250">
        <f>SUM(E49*2/1000)</f>
        <v>0.13</v>
      </c>
      <c r="G49" s="16">
        <v>619.46</v>
      </c>
      <c r="H49" s="251">
        <f t="shared" si="4"/>
        <v>8.0529800000000012E-2</v>
      </c>
      <c r="I49" s="16">
        <v>0</v>
      </c>
      <c r="J49" s="32"/>
      <c r="L49" s="25"/>
      <c r="M49" s="26"/>
      <c r="N49" s="27"/>
    </row>
    <row r="50" spans="1:22" ht="15.75" hidden="1" customHeight="1">
      <c r="A50" s="46"/>
      <c r="B50" s="247" t="s">
        <v>45</v>
      </c>
      <c r="C50" s="248" t="s">
        <v>205</v>
      </c>
      <c r="D50" s="247" t="s">
        <v>55</v>
      </c>
      <c r="E50" s="249">
        <v>1825.8</v>
      </c>
      <c r="F50" s="250">
        <f>SUM(E50*2/1000)</f>
        <v>3.6515999999999997</v>
      </c>
      <c r="G50" s="16">
        <v>619.46</v>
      </c>
      <c r="H50" s="251">
        <f t="shared" si="4"/>
        <v>2.2620201360000003</v>
      </c>
      <c r="I50" s="16">
        <v>0</v>
      </c>
      <c r="J50" s="32"/>
      <c r="L50" s="25"/>
      <c r="M50" s="26"/>
      <c r="N50" s="27"/>
    </row>
    <row r="51" spans="1:22" ht="15.75" hidden="1" customHeight="1">
      <c r="A51" s="46"/>
      <c r="B51" s="247" t="s">
        <v>46</v>
      </c>
      <c r="C51" s="248" t="s">
        <v>205</v>
      </c>
      <c r="D51" s="247" t="s">
        <v>55</v>
      </c>
      <c r="E51" s="249">
        <v>3163.96</v>
      </c>
      <c r="F51" s="250">
        <f>SUM(E51*2/1000)</f>
        <v>6.3279199999999998</v>
      </c>
      <c r="G51" s="16">
        <v>648.64</v>
      </c>
      <c r="H51" s="251">
        <f t="shared" si="4"/>
        <v>4.1045420287999992</v>
      </c>
      <c r="I51" s="16">
        <v>0</v>
      </c>
      <c r="J51" s="32"/>
      <c r="L51" s="25"/>
      <c r="M51" s="26"/>
      <c r="N51" s="27"/>
    </row>
    <row r="52" spans="1:22" ht="15.75" hidden="1" customHeight="1">
      <c r="A52" s="46">
        <v>13</v>
      </c>
      <c r="B52" s="247" t="s">
        <v>76</v>
      </c>
      <c r="C52" s="248" t="s">
        <v>205</v>
      </c>
      <c r="D52" s="247" t="s">
        <v>282</v>
      </c>
      <c r="E52" s="249">
        <v>1583</v>
      </c>
      <c r="F52" s="250">
        <f>SUM(E52*5/1000)</f>
        <v>7.915</v>
      </c>
      <c r="G52" s="16">
        <v>1297.28</v>
      </c>
      <c r="H52" s="251">
        <f t="shared" si="4"/>
        <v>10.2679712</v>
      </c>
      <c r="I52" s="16">
        <f>F52/5*G52</f>
        <v>2053.5942399999999</v>
      </c>
      <c r="J52" s="32"/>
      <c r="L52" s="25"/>
      <c r="M52" s="26"/>
      <c r="N52" s="27"/>
    </row>
    <row r="53" spans="1:22" ht="31.5" customHeight="1">
      <c r="A53" s="46">
        <v>13</v>
      </c>
      <c r="B53" s="247" t="s">
        <v>216</v>
      </c>
      <c r="C53" s="248" t="s">
        <v>205</v>
      </c>
      <c r="D53" s="247" t="s">
        <v>55</v>
      </c>
      <c r="E53" s="249">
        <v>1583</v>
      </c>
      <c r="F53" s="250">
        <f>SUM(E53*2/1000)</f>
        <v>3.1659999999999999</v>
      </c>
      <c r="G53" s="16">
        <v>1297.28</v>
      </c>
      <c r="H53" s="251">
        <f t="shared" si="4"/>
        <v>4.1071884799999996</v>
      </c>
      <c r="I53" s="16">
        <f>F53/2*G53</f>
        <v>2053.5942399999999</v>
      </c>
      <c r="J53" s="32"/>
      <c r="L53" s="25"/>
      <c r="M53" s="26"/>
      <c r="N53" s="27"/>
    </row>
    <row r="54" spans="1:22" ht="31.5" customHeight="1">
      <c r="A54" s="46">
        <v>14</v>
      </c>
      <c r="B54" s="247" t="s">
        <v>217</v>
      </c>
      <c r="C54" s="248" t="s">
        <v>49</v>
      </c>
      <c r="D54" s="247" t="s">
        <v>55</v>
      </c>
      <c r="E54" s="249">
        <v>25</v>
      </c>
      <c r="F54" s="250">
        <f>SUM(E54*2/100)</f>
        <v>0.5</v>
      </c>
      <c r="G54" s="16">
        <v>2918.89</v>
      </c>
      <c r="H54" s="251">
        <f t="shared" si="4"/>
        <v>1.4594449999999999</v>
      </c>
      <c r="I54" s="16">
        <f t="shared" ref="I54:I55" si="5">F54/2*G54</f>
        <v>729.72249999999997</v>
      </c>
      <c r="J54" s="32"/>
      <c r="L54" s="25"/>
      <c r="M54" s="26"/>
      <c r="N54" s="27"/>
    </row>
    <row r="55" spans="1:22" ht="15.75" customHeight="1">
      <c r="A55" s="46">
        <v>15</v>
      </c>
      <c r="B55" s="247" t="s">
        <v>50</v>
      </c>
      <c r="C55" s="248" t="s">
        <v>51</v>
      </c>
      <c r="D55" s="247" t="s">
        <v>55</v>
      </c>
      <c r="E55" s="249">
        <v>1</v>
      </c>
      <c r="F55" s="250">
        <v>0.02</v>
      </c>
      <c r="G55" s="16">
        <v>6042.12</v>
      </c>
      <c r="H55" s="251">
        <f t="shared" si="4"/>
        <v>0.1208424</v>
      </c>
      <c r="I55" s="16">
        <f t="shared" si="5"/>
        <v>60.421199999999999</v>
      </c>
      <c r="J55" s="32"/>
      <c r="L55" s="25"/>
      <c r="M55" s="26"/>
      <c r="N55" s="27"/>
    </row>
    <row r="56" spans="1:22" ht="15.75" customHeight="1">
      <c r="A56" s="46">
        <v>16</v>
      </c>
      <c r="B56" s="247" t="s">
        <v>54</v>
      </c>
      <c r="C56" s="248" t="s">
        <v>37</v>
      </c>
      <c r="D56" s="247" t="s">
        <v>95</v>
      </c>
      <c r="E56" s="249">
        <v>36</v>
      </c>
      <c r="F56" s="250">
        <f>SUM(E56)*3</f>
        <v>108</v>
      </c>
      <c r="G56" s="16">
        <v>70.209999999999994</v>
      </c>
      <c r="H56" s="251">
        <f t="shared" si="4"/>
        <v>7.582679999999999</v>
      </c>
      <c r="I56" s="16">
        <f>E56*G56</f>
        <v>2527.56</v>
      </c>
      <c r="J56" s="32"/>
      <c r="L56" s="25"/>
      <c r="M56" s="26"/>
      <c r="N56" s="27"/>
    </row>
    <row r="57" spans="1:22" ht="15.75" customHeight="1">
      <c r="A57" s="231" t="s">
        <v>241</v>
      </c>
      <c r="B57" s="232"/>
      <c r="C57" s="232"/>
      <c r="D57" s="232"/>
      <c r="E57" s="232"/>
      <c r="F57" s="232"/>
      <c r="G57" s="232"/>
      <c r="H57" s="232"/>
      <c r="I57" s="233"/>
      <c r="J57" s="32"/>
      <c r="L57" s="25"/>
      <c r="M57" s="26"/>
      <c r="N57" s="27"/>
    </row>
    <row r="58" spans="1:22" ht="15.75" customHeight="1">
      <c r="A58" s="46"/>
      <c r="B58" s="268" t="s">
        <v>56</v>
      </c>
      <c r="C58" s="248"/>
      <c r="D58" s="247"/>
      <c r="E58" s="249"/>
      <c r="F58" s="250"/>
      <c r="G58" s="250"/>
      <c r="H58" s="251"/>
      <c r="I58" s="16"/>
      <c r="J58" s="32"/>
      <c r="L58" s="25"/>
      <c r="M58" s="26"/>
      <c r="N58" s="27"/>
    </row>
    <row r="59" spans="1:22" ht="31.5" customHeight="1">
      <c r="A59" s="46">
        <v>17</v>
      </c>
      <c r="B59" s="247" t="s">
        <v>231</v>
      </c>
      <c r="C59" s="248" t="s">
        <v>194</v>
      </c>
      <c r="D59" s="247" t="s">
        <v>96</v>
      </c>
      <c r="E59" s="256">
        <v>3.78</v>
      </c>
      <c r="F59" s="16">
        <f>E59*6/100</f>
        <v>0.2268</v>
      </c>
      <c r="G59" s="250">
        <v>1654.04</v>
      </c>
      <c r="H59" s="251">
        <f>SUM(F59*G59/1000)</f>
        <v>0.37513627199999999</v>
      </c>
      <c r="I59" s="16">
        <f>F59/6*G59</f>
        <v>62.522711999999999</v>
      </c>
      <c r="J59" s="32"/>
      <c r="L59" s="25"/>
      <c r="M59" s="26"/>
      <c r="N59" s="27"/>
    </row>
    <row r="60" spans="1:22" ht="31.5" customHeight="1">
      <c r="A60" s="46">
        <v>18</v>
      </c>
      <c r="B60" s="247" t="s">
        <v>219</v>
      </c>
      <c r="C60" s="248" t="s">
        <v>194</v>
      </c>
      <c r="D60" s="247" t="s">
        <v>96</v>
      </c>
      <c r="E60" s="249">
        <v>185.36</v>
      </c>
      <c r="F60" s="250">
        <f>E60*6/100</f>
        <v>11.121600000000001</v>
      </c>
      <c r="G60" s="257">
        <v>1654.04</v>
      </c>
      <c r="H60" s="251">
        <f>F60*G60/1000</f>
        <v>18.395571264000001</v>
      </c>
      <c r="I60" s="16">
        <f>F60/6*G60</f>
        <v>3065.9285440000003</v>
      </c>
      <c r="J60" s="32"/>
      <c r="L60" s="25"/>
    </row>
    <row r="61" spans="1:22" ht="15.75" hidden="1" customHeight="1">
      <c r="A61" s="46"/>
      <c r="B61" s="258" t="s">
        <v>168</v>
      </c>
      <c r="C61" s="248" t="s">
        <v>169</v>
      </c>
      <c r="D61" s="258" t="s">
        <v>55</v>
      </c>
      <c r="E61" s="259">
        <v>5</v>
      </c>
      <c r="F61" s="260">
        <v>10</v>
      </c>
      <c r="G61" s="257">
        <v>198.25</v>
      </c>
      <c r="H61" s="261">
        <v>0.99099999999999999</v>
      </c>
      <c r="I61" s="16">
        <v>0</v>
      </c>
      <c r="J61" s="32"/>
      <c r="L61" s="25"/>
    </row>
    <row r="62" spans="1:22" ht="15.75" customHeight="1">
      <c r="A62" s="46"/>
      <c r="B62" s="269" t="s">
        <v>57</v>
      </c>
      <c r="C62" s="262"/>
      <c r="D62" s="258"/>
      <c r="E62" s="259"/>
      <c r="F62" s="260"/>
      <c r="G62" s="263"/>
      <c r="H62" s="261"/>
      <c r="I62" s="16"/>
    </row>
    <row r="63" spans="1:22" ht="15.75" hidden="1" customHeight="1">
      <c r="A63" s="46"/>
      <c r="B63" s="258" t="s">
        <v>58</v>
      </c>
      <c r="C63" s="262" t="s">
        <v>68</v>
      </c>
      <c r="D63" s="258" t="s">
        <v>69</v>
      </c>
      <c r="E63" s="259">
        <v>1752</v>
      </c>
      <c r="F63" s="260">
        <f>E63/100</f>
        <v>17.52</v>
      </c>
      <c r="G63" s="250">
        <v>848.37</v>
      </c>
      <c r="H63" s="261">
        <f>G63*F63/1000</f>
        <v>14.8634424</v>
      </c>
      <c r="I63" s="16">
        <v>0</v>
      </c>
    </row>
    <row r="64" spans="1:22" ht="15.75" customHeight="1">
      <c r="A64" s="46">
        <v>19</v>
      </c>
      <c r="B64" s="258" t="s">
        <v>159</v>
      </c>
      <c r="C64" s="262" t="s">
        <v>29</v>
      </c>
      <c r="D64" s="258" t="s">
        <v>249</v>
      </c>
      <c r="E64" s="259">
        <v>352</v>
      </c>
      <c r="F64" s="260">
        <f>E64*12</f>
        <v>4224</v>
      </c>
      <c r="G64" s="250">
        <v>2.6</v>
      </c>
      <c r="H64" s="261">
        <f>G64*F64/1000</f>
        <v>10.9824</v>
      </c>
      <c r="I64" s="16">
        <f>F64/12*G64</f>
        <v>915.2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0"/>
    </row>
    <row r="65" spans="1:21" ht="15.75" customHeight="1">
      <c r="A65" s="46"/>
      <c r="B65" s="269" t="s">
        <v>59</v>
      </c>
      <c r="C65" s="262"/>
      <c r="D65" s="258"/>
      <c r="E65" s="259"/>
      <c r="F65" s="260"/>
      <c r="G65" s="270"/>
      <c r="H65" s="261" t="s">
        <v>225</v>
      </c>
      <c r="I65" s="16"/>
      <c r="J65" s="37"/>
      <c r="K65" s="37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46">
        <v>19</v>
      </c>
      <c r="B66" s="18" t="s">
        <v>60</v>
      </c>
      <c r="C66" s="20" t="s">
        <v>218</v>
      </c>
      <c r="D66" s="18" t="s">
        <v>90</v>
      </c>
      <c r="E66" s="23">
        <v>10</v>
      </c>
      <c r="F66" s="250">
        <v>10</v>
      </c>
      <c r="G66" s="16">
        <v>237.74</v>
      </c>
      <c r="H66" s="244">
        <f t="shared" ref="H66:H80" si="6">SUM(F66*G66/1000)</f>
        <v>2.3774000000000002</v>
      </c>
      <c r="I66" s="16">
        <f>G66*3</f>
        <v>713.22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46"/>
      <c r="B67" s="18" t="s">
        <v>61</v>
      </c>
      <c r="C67" s="20" t="s">
        <v>218</v>
      </c>
      <c r="D67" s="18" t="s">
        <v>90</v>
      </c>
      <c r="E67" s="23">
        <v>5</v>
      </c>
      <c r="F67" s="250">
        <v>5</v>
      </c>
      <c r="G67" s="16">
        <v>81.510000000000005</v>
      </c>
      <c r="H67" s="244">
        <f t="shared" si="6"/>
        <v>0.40755000000000002</v>
      </c>
      <c r="I67" s="16">
        <v>0</v>
      </c>
      <c r="J67" s="5"/>
      <c r="K67" s="5"/>
      <c r="L67" s="5"/>
      <c r="M67" s="5"/>
      <c r="N67" s="5"/>
      <c r="O67" s="5"/>
      <c r="P67" s="5"/>
      <c r="Q67" s="5"/>
      <c r="R67" s="207"/>
      <c r="S67" s="207"/>
      <c r="T67" s="207"/>
      <c r="U67" s="207"/>
    </row>
    <row r="68" spans="1:21" ht="15.75" hidden="1" customHeight="1">
      <c r="A68" s="46"/>
      <c r="B68" s="18" t="s">
        <v>62</v>
      </c>
      <c r="C68" s="20" t="s">
        <v>220</v>
      </c>
      <c r="D68" s="18" t="s">
        <v>69</v>
      </c>
      <c r="E68" s="249">
        <v>23808</v>
      </c>
      <c r="F68" s="16">
        <f>SUM(E68/100)</f>
        <v>238.08</v>
      </c>
      <c r="G68" s="16">
        <v>226.79</v>
      </c>
      <c r="H68" s="244">
        <f t="shared" si="6"/>
        <v>53.994163200000003</v>
      </c>
      <c r="I68" s="16">
        <f>F68*G68</f>
        <v>53994.163200000003</v>
      </c>
    </row>
    <row r="69" spans="1:21" ht="15.75" hidden="1" customHeight="1">
      <c r="A69" s="46"/>
      <c r="B69" s="18" t="s">
        <v>63</v>
      </c>
      <c r="C69" s="20" t="s">
        <v>221</v>
      </c>
      <c r="D69" s="18"/>
      <c r="E69" s="249">
        <v>23808</v>
      </c>
      <c r="F69" s="16">
        <f>SUM(E69/1000)</f>
        <v>23.808</v>
      </c>
      <c r="G69" s="16">
        <v>176.61</v>
      </c>
      <c r="H69" s="244">
        <f t="shared" si="6"/>
        <v>4.2047308800000005</v>
      </c>
      <c r="I69" s="16">
        <f t="shared" ref="I69:I73" si="7">F69*G69</f>
        <v>4204.7308800000001</v>
      </c>
    </row>
    <row r="70" spans="1:21" ht="15.75" hidden="1" customHeight="1">
      <c r="A70" s="46"/>
      <c r="B70" s="18" t="s">
        <v>64</v>
      </c>
      <c r="C70" s="20" t="s">
        <v>101</v>
      </c>
      <c r="D70" s="18" t="s">
        <v>69</v>
      </c>
      <c r="E70" s="249">
        <v>3810</v>
      </c>
      <c r="F70" s="16">
        <f>SUM(E70/100)</f>
        <v>38.1</v>
      </c>
      <c r="G70" s="16">
        <v>2217.7800000000002</v>
      </c>
      <c r="H70" s="244">
        <f t="shared" si="6"/>
        <v>84.49741800000001</v>
      </c>
      <c r="I70" s="16">
        <f t="shared" si="7"/>
        <v>84497.418000000005</v>
      </c>
    </row>
    <row r="71" spans="1:21" ht="15.75" hidden="1" customHeight="1">
      <c r="A71" s="46"/>
      <c r="B71" s="264" t="s">
        <v>222</v>
      </c>
      <c r="C71" s="20" t="s">
        <v>40</v>
      </c>
      <c r="D71" s="18"/>
      <c r="E71" s="249">
        <v>23.4</v>
      </c>
      <c r="F71" s="16">
        <f>SUM(E71)</f>
        <v>23.4</v>
      </c>
      <c r="G71" s="16">
        <v>42.67</v>
      </c>
      <c r="H71" s="244">
        <f t="shared" si="6"/>
        <v>0.99847799999999998</v>
      </c>
      <c r="I71" s="16">
        <f t="shared" si="7"/>
        <v>998.47799999999995</v>
      </c>
    </row>
    <row r="72" spans="1:21" ht="15.75" hidden="1" customHeight="1">
      <c r="A72" s="46"/>
      <c r="B72" s="264" t="s">
        <v>232</v>
      </c>
      <c r="C72" s="20" t="s">
        <v>40</v>
      </c>
      <c r="D72" s="18"/>
      <c r="E72" s="249">
        <v>23.4</v>
      </c>
      <c r="F72" s="16">
        <f>SUM(E72)</f>
        <v>23.4</v>
      </c>
      <c r="G72" s="16">
        <v>39.81</v>
      </c>
      <c r="H72" s="244">
        <f t="shared" si="6"/>
        <v>0.93155399999999999</v>
      </c>
      <c r="I72" s="16">
        <f t="shared" si="7"/>
        <v>931.55399999999997</v>
      </c>
    </row>
    <row r="73" spans="1:21" ht="15.75" hidden="1" customHeight="1">
      <c r="A73" s="46"/>
      <c r="B73" s="18" t="s">
        <v>77</v>
      </c>
      <c r="C73" s="20" t="s">
        <v>78</v>
      </c>
      <c r="D73" s="18" t="s">
        <v>69</v>
      </c>
      <c r="E73" s="23">
        <v>5</v>
      </c>
      <c r="F73" s="250">
        <f>SUM(E73)</f>
        <v>5</v>
      </c>
      <c r="G73" s="16">
        <v>53.32</v>
      </c>
      <c r="H73" s="244">
        <f t="shared" si="6"/>
        <v>0.2666</v>
      </c>
      <c r="I73" s="16">
        <f t="shared" si="7"/>
        <v>266.60000000000002</v>
      </c>
    </row>
    <row r="74" spans="1:21" ht="15.75" customHeight="1">
      <c r="A74" s="46">
        <v>20</v>
      </c>
      <c r="B74" s="18" t="s">
        <v>233</v>
      </c>
      <c r="C74" s="20" t="s">
        <v>78</v>
      </c>
      <c r="D74" s="18" t="s">
        <v>36</v>
      </c>
      <c r="E74" s="23">
        <v>1</v>
      </c>
      <c r="F74" s="237">
        <v>12</v>
      </c>
      <c r="G74" s="16">
        <v>711</v>
      </c>
      <c r="H74" s="244">
        <v>8.5310000000000006</v>
      </c>
      <c r="I74" s="16">
        <f>F74/12*G74</f>
        <v>711</v>
      </c>
    </row>
    <row r="75" spans="1:21" ht="15.75" hidden="1" customHeight="1">
      <c r="A75" s="46"/>
      <c r="B75" s="198" t="s">
        <v>97</v>
      </c>
      <c r="C75" s="20"/>
      <c r="D75" s="18"/>
      <c r="E75" s="23"/>
      <c r="F75" s="16"/>
      <c r="G75" s="16"/>
      <c r="H75" s="244" t="s">
        <v>225</v>
      </c>
      <c r="I75" s="16"/>
    </row>
    <row r="76" spans="1:21" ht="15.75" hidden="1" customHeight="1">
      <c r="A76" s="46"/>
      <c r="B76" s="18" t="s">
        <v>98</v>
      </c>
      <c r="C76" s="20" t="s">
        <v>38</v>
      </c>
      <c r="D76" s="18" t="s">
        <v>90</v>
      </c>
      <c r="E76" s="23">
        <v>2</v>
      </c>
      <c r="F76" s="237">
        <v>0.2</v>
      </c>
      <c r="G76" s="16">
        <v>536.23</v>
      </c>
      <c r="H76" s="244">
        <v>0.107</v>
      </c>
      <c r="I76" s="16">
        <v>0</v>
      </c>
    </row>
    <row r="77" spans="1:21" ht="15.75" hidden="1" customHeight="1">
      <c r="A77" s="46"/>
      <c r="B77" s="18" t="s">
        <v>136</v>
      </c>
      <c r="C77" s="20" t="s">
        <v>37</v>
      </c>
      <c r="D77" s="18"/>
      <c r="E77" s="23">
        <v>1</v>
      </c>
      <c r="F77" s="250">
        <f>SUM(E77)</f>
        <v>1</v>
      </c>
      <c r="G77" s="16">
        <v>383.25</v>
      </c>
      <c r="H77" s="244">
        <f t="shared" si="6"/>
        <v>0.38324999999999998</v>
      </c>
      <c r="I77" s="16">
        <v>0</v>
      </c>
    </row>
    <row r="78" spans="1:21" ht="15.75" hidden="1" customHeight="1">
      <c r="A78" s="46"/>
      <c r="B78" s="18" t="s">
        <v>99</v>
      </c>
      <c r="C78" s="20" t="s">
        <v>37</v>
      </c>
      <c r="D78" s="18"/>
      <c r="E78" s="23">
        <v>1</v>
      </c>
      <c r="F78" s="16">
        <v>1</v>
      </c>
      <c r="G78" s="16">
        <v>911.85</v>
      </c>
      <c r="H78" s="244">
        <f>F78*G78/1000</f>
        <v>0.91185000000000005</v>
      </c>
      <c r="I78" s="16">
        <v>0</v>
      </c>
    </row>
    <row r="79" spans="1:21" ht="15.75" hidden="1" customHeight="1">
      <c r="A79" s="46"/>
      <c r="B79" s="265" t="s">
        <v>100</v>
      </c>
      <c r="C79" s="20"/>
      <c r="D79" s="18"/>
      <c r="E79" s="23"/>
      <c r="F79" s="16"/>
      <c r="G79" s="16" t="s">
        <v>225</v>
      </c>
      <c r="H79" s="244" t="s">
        <v>225</v>
      </c>
      <c r="I79" s="16"/>
    </row>
    <row r="80" spans="1:21" ht="15.75" hidden="1" customHeight="1">
      <c r="A80" s="46"/>
      <c r="B80" s="81" t="s">
        <v>226</v>
      </c>
      <c r="C80" s="20" t="s">
        <v>101</v>
      </c>
      <c r="D80" s="18"/>
      <c r="E80" s="23"/>
      <c r="F80" s="16">
        <v>0.6</v>
      </c>
      <c r="G80" s="16">
        <v>2949.85</v>
      </c>
      <c r="H80" s="244">
        <f t="shared" si="6"/>
        <v>1.7699099999999999</v>
      </c>
      <c r="I80" s="16">
        <v>0</v>
      </c>
      <c r="J80" s="5"/>
      <c r="K80" s="5"/>
      <c r="L80" s="5"/>
      <c r="M80" s="5"/>
      <c r="N80" s="5"/>
      <c r="O80" s="5"/>
      <c r="P80" s="5"/>
      <c r="Q80" s="5"/>
      <c r="R80" s="197"/>
      <c r="S80" s="197"/>
      <c r="T80" s="197"/>
      <c r="U80" s="197"/>
    </row>
    <row r="81" spans="1:21" ht="15.75" hidden="1" customHeight="1">
      <c r="A81" s="122"/>
      <c r="B81" s="198" t="s">
        <v>223</v>
      </c>
      <c r="C81" s="198"/>
      <c r="D81" s="198"/>
      <c r="E81" s="198"/>
      <c r="F81" s="198"/>
      <c r="G81" s="198"/>
      <c r="H81" s="198"/>
      <c r="I81" s="23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1:21" ht="15.75" hidden="1" customHeight="1">
      <c r="A82" s="46"/>
      <c r="B82" s="247" t="s">
        <v>224</v>
      </c>
      <c r="C82" s="20"/>
      <c r="D82" s="18"/>
      <c r="E82" s="238"/>
      <c r="F82" s="16">
        <v>1</v>
      </c>
      <c r="G82" s="16">
        <v>21062.799999999999</v>
      </c>
      <c r="H82" s="244">
        <f>G82*F82/1000</f>
        <v>21.062799999999999</v>
      </c>
      <c r="I82" s="16">
        <v>0</v>
      </c>
      <c r="J82" s="5"/>
      <c r="K82" s="5"/>
      <c r="L82" s="5"/>
      <c r="M82" s="5"/>
      <c r="N82" s="5"/>
      <c r="O82" s="5"/>
      <c r="P82" s="5"/>
      <c r="Q82" s="5"/>
      <c r="R82" s="197"/>
      <c r="S82" s="197"/>
      <c r="T82" s="197"/>
      <c r="U82" s="197"/>
    </row>
    <row r="83" spans="1:21" ht="15.75" customHeight="1">
      <c r="A83" s="234" t="s">
        <v>242</v>
      </c>
      <c r="B83" s="235"/>
      <c r="C83" s="235"/>
      <c r="D83" s="235"/>
      <c r="E83" s="235"/>
      <c r="F83" s="235"/>
      <c r="G83" s="235"/>
      <c r="H83" s="235"/>
      <c r="I83" s="236"/>
    </row>
    <row r="84" spans="1:21" ht="15.75" customHeight="1">
      <c r="A84" s="46">
        <v>21</v>
      </c>
      <c r="B84" s="247" t="s">
        <v>227</v>
      </c>
      <c r="C84" s="20" t="s">
        <v>73</v>
      </c>
      <c r="D84" s="266" t="s">
        <v>74</v>
      </c>
      <c r="E84" s="16">
        <v>5816.5</v>
      </c>
      <c r="F84" s="16">
        <f>SUM(E84*12)</f>
        <v>69798</v>
      </c>
      <c r="G84" s="16">
        <v>2.54</v>
      </c>
      <c r="H84" s="244">
        <f>SUM(F84*G84/1000)</f>
        <v>177.28692000000001</v>
      </c>
      <c r="I84" s="16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197"/>
      <c r="S84" s="197"/>
      <c r="T84" s="197"/>
      <c r="U84" s="197"/>
    </row>
    <row r="85" spans="1:21" ht="31.5" customHeight="1">
      <c r="A85" s="46">
        <v>22</v>
      </c>
      <c r="B85" s="18" t="s">
        <v>102</v>
      </c>
      <c r="C85" s="20"/>
      <c r="D85" s="266" t="s">
        <v>74</v>
      </c>
      <c r="E85" s="249">
        <f>E84</f>
        <v>5816.5</v>
      </c>
      <c r="F85" s="16">
        <f>E85*12</f>
        <v>69798</v>
      </c>
      <c r="G85" s="16">
        <v>2.0499999999999998</v>
      </c>
      <c r="H85" s="244">
        <f>F85*G85/1000</f>
        <v>143.08589999999998</v>
      </c>
      <c r="I85" s="16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197"/>
      <c r="S85" s="197"/>
      <c r="T85" s="197"/>
      <c r="U85" s="197"/>
    </row>
    <row r="86" spans="1:21" ht="15.75" customHeight="1">
      <c r="A86" s="122"/>
      <c r="B86" s="68" t="s">
        <v>108</v>
      </c>
      <c r="C86" s="70"/>
      <c r="D86" s="19"/>
      <c r="E86" s="19"/>
      <c r="F86" s="19"/>
      <c r="G86" s="23"/>
      <c r="H86" s="23"/>
      <c r="I86" s="53">
        <f>I16+I17+I18+I20+I27+I28+I40+I41+I43+I44+I45+I46+I53+I54+I55+I56+I59+I60+I64+I74+I84+I85</f>
        <v>104866.76301183332</v>
      </c>
    </row>
    <row r="87" spans="1:21" ht="15.75" customHeight="1">
      <c r="A87" s="122"/>
      <c r="B87" s="189" t="s">
        <v>80</v>
      </c>
      <c r="C87" s="189"/>
      <c r="D87" s="189"/>
      <c r="E87" s="189"/>
      <c r="F87" s="189"/>
      <c r="G87" s="189"/>
      <c r="H87" s="189"/>
      <c r="I87" s="189"/>
    </row>
    <row r="88" spans="1:21" ht="15.75" customHeight="1">
      <c r="A88" s="46">
        <v>23</v>
      </c>
      <c r="B88" s="138" t="s">
        <v>251</v>
      </c>
      <c r="C88" s="243" t="s">
        <v>119</v>
      </c>
      <c r="D88" s="81"/>
      <c r="E88" s="16"/>
      <c r="F88" s="16">
        <v>7</v>
      </c>
      <c r="G88" s="16">
        <v>185.81</v>
      </c>
      <c r="H88" s="244">
        <f t="shared" ref="H88:H89" si="8">G88*F88/1000</f>
        <v>1.30067</v>
      </c>
      <c r="I88" s="16">
        <f>G88*1</f>
        <v>185.81</v>
      </c>
      <c r="J88" s="5"/>
      <c r="K88" s="5"/>
      <c r="L88" s="5"/>
      <c r="M88" s="5"/>
      <c r="N88" s="5"/>
      <c r="O88" s="5"/>
      <c r="P88" s="5"/>
      <c r="Q88" s="5"/>
      <c r="R88" s="197"/>
      <c r="S88" s="197"/>
      <c r="T88" s="197"/>
      <c r="U88" s="197"/>
    </row>
    <row r="89" spans="1:21" ht="31.5" customHeight="1">
      <c r="A89" s="46">
        <v>24</v>
      </c>
      <c r="B89" s="242" t="s">
        <v>252</v>
      </c>
      <c r="C89" s="46" t="s">
        <v>253</v>
      </c>
      <c r="D89" s="81"/>
      <c r="E89" s="16"/>
      <c r="F89" s="16">
        <v>4</v>
      </c>
      <c r="G89" s="16">
        <v>1835.8</v>
      </c>
      <c r="H89" s="244">
        <f t="shared" si="8"/>
        <v>7.3431999999999995</v>
      </c>
      <c r="I89" s="16">
        <f>G89</f>
        <v>1835.8</v>
      </c>
      <c r="J89" s="5"/>
      <c r="K89" s="5"/>
      <c r="L89" s="5"/>
      <c r="M89" s="5"/>
      <c r="N89" s="5"/>
      <c r="O89" s="5"/>
      <c r="P89" s="5"/>
      <c r="Q89" s="5"/>
      <c r="R89" s="197"/>
      <c r="S89" s="197"/>
      <c r="T89" s="197"/>
      <c r="U89" s="197"/>
    </row>
    <row r="90" spans="1:21" ht="15.75" customHeight="1">
      <c r="A90" s="46">
        <v>25</v>
      </c>
      <c r="B90" s="138" t="s">
        <v>258</v>
      </c>
      <c r="C90" s="243" t="s">
        <v>149</v>
      </c>
      <c r="D90" s="267"/>
      <c r="E90" s="16"/>
      <c r="F90" s="16">
        <v>1</v>
      </c>
      <c r="G90" s="16">
        <f>735.26+(282.5/2)</f>
        <v>876.51</v>
      </c>
      <c r="H90" s="244">
        <f>G90*F90/1000</f>
        <v>0.87651000000000001</v>
      </c>
      <c r="I90" s="16">
        <f>G90</f>
        <v>876.51</v>
      </c>
      <c r="J90" s="5"/>
      <c r="K90" s="5"/>
      <c r="L90" s="5"/>
      <c r="M90" s="5"/>
      <c r="N90" s="5"/>
      <c r="O90" s="5"/>
      <c r="P90" s="5"/>
      <c r="Q90" s="5"/>
      <c r="R90" s="197"/>
      <c r="S90" s="197"/>
      <c r="T90" s="197"/>
      <c r="U90" s="197"/>
    </row>
    <row r="91" spans="1:21" ht="15.75" customHeight="1">
      <c r="A91" s="46">
        <v>26</v>
      </c>
      <c r="B91" s="192" t="s">
        <v>121</v>
      </c>
      <c r="C91" s="243" t="s">
        <v>218</v>
      </c>
      <c r="D91" s="267"/>
      <c r="E91" s="16"/>
      <c r="F91" s="16">
        <v>5</v>
      </c>
      <c r="G91" s="16">
        <v>179.96</v>
      </c>
      <c r="H91" s="244">
        <f>G91*F91/1000</f>
        <v>0.89980000000000004</v>
      </c>
      <c r="I91" s="16">
        <f>G91*2</f>
        <v>359.92</v>
      </c>
      <c r="J91" s="5"/>
      <c r="K91" s="5"/>
      <c r="L91" s="5"/>
      <c r="M91" s="5"/>
      <c r="N91" s="5"/>
      <c r="O91" s="5"/>
      <c r="P91" s="5"/>
      <c r="Q91" s="5"/>
      <c r="R91" s="197"/>
      <c r="S91" s="197"/>
      <c r="T91" s="197"/>
      <c r="U91" s="197"/>
    </row>
    <row r="92" spans="1:21" ht="47.25" customHeight="1">
      <c r="A92" s="46">
        <v>27</v>
      </c>
      <c r="B92" s="138" t="s">
        <v>259</v>
      </c>
      <c r="C92" s="193" t="s">
        <v>260</v>
      </c>
      <c r="D92" s="81"/>
      <c r="E92" s="16"/>
      <c r="F92" s="16">
        <v>2</v>
      </c>
      <c r="G92" s="16">
        <v>4408.12</v>
      </c>
      <c r="H92" s="244">
        <f t="shared" ref="H92" si="9">G92*F92/1000</f>
        <v>8.8162400000000005</v>
      </c>
      <c r="I92" s="16">
        <f>G92*2</f>
        <v>8816.24</v>
      </c>
      <c r="J92" s="5"/>
      <c r="K92" s="5"/>
      <c r="L92" s="5"/>
      <c r="M92" s="5"/>
      <c r="N92" s="5"/>
      <c r="O92" s="5"/>
      <c r="P92" s="5"/>
      <c r="Q92" s="5"/>
      <c r="R92" s="197"/>
      <c r="S92" s="197"/>
      <c r="T92" s="197"/>
      <c r="U92" s="197"/>
    </row>
    <row r="93" spans="1:21" ht="15.75" customHeight="1">
      <c r="A93" s="46"/>
      <c r="B93" s="75" t="s">
        <v>66</v>
      </c>
      <c r="C93" s="71"/>
      <c r="D93" s="124"/>
      <c r="E93" s="71">
        <v>1</v>
      </c>
      <c r="F93" s="71"/>
      <c r="G93" s="71"/>
      <c r="H93" s="71"/>
      <c r="I93" s="53">
        <f>SUM(I88:I92)</f>
        <v>12074.279999999999</v>
      </c>
    </row>
    <row r="94" spans="1:21" ht="15.75" customHeight="1">
      <c r="A94" s="46"/>
      <c r="B94" s="81" t="s">
        <v>103</v>
      </c>
      <c r="C94" s="19"/>
      <c r="D94" s="19"/>
      <c r="E94" s="72"/>
      <c r="F94" s="72"/>
      <c r="G94" s="73"/>
      <c r="H94" s="73"/>
      <c r="I94" s="22">
        <v>0</v>
      </c>
    </row>
    <row r="95" spans="1:21" ht="15.75" customHeight="1">
      <c r="A95" s="125"/>
      <c r="B95" s="76" t="s">
        <v>67</v>
      </c>
      <c r="C95" s="59"/>
      <c r="D95" s="59"/>
      <c r="E95" s="59"/>
      <c r="F95" s="59"/>
      <c r="G95" s="59"/>
      <c r="H95" s="59"/>
      <c r="I95" s="74">
        <f>I86+I93</f>
        <v>116941.04301183332</v>
      </c>
    </row>
    <row r="96" spans="1:21" ht="15.75" customHeight="1">
      <c r="A96" s="223" t="s">
        <v>294</v>
      </c>
      <c r="B96" s="223"/>
      <c r="C96" s="223"/>
      <c r="D96" s="223"/>
      <c r="E96" s="223"/>
      <c r="F96" s="223"/>
      <c r="G96" s="223"/>
      <c r="H96" s="223"/>
      <c r="I96" s="223"/>
    </row>
    <row r="97" spans="1:9" ht="15.75" customHeight="1">
      <c r="A97" s="201"/>
      <c r="B97" s="224" t="s">
        <v>295</v>
      </c>
      <c r="C97" s="224"/>
      <c r="D97" s="224"/>
      <c r="E97" s="224"/>
      <c r="F97" s="224"/>
      <c r="G97" s="224"/>
      <c r="H97" s="241"/>
      <c r="I97" s="3"/>
    </row>
    <row r="98" spans="1:9" ht="15.75" customHeight="1">
      <c r="A98" s="197"/>
      <c r="B98" s="212" t="s">
        <v>7</v>
      </c>
      <c r="C98" s="212"/>
      <c r="D98" s="212"/>
      <c r="E98" s="212"/>
      <c r="F98" s="212"/>
      <c r="G98" s="212"/>
      <c r="H98" s="36"/>
      <c r="I98" s="5"/>
    </row>
    <row r="99" spans="1:9" ht="15.75" customHeight="1">
      <c r="A99" s="11"/>
      <c r="B99" s="11"/>
      <c r="C99" s="11"/>
      <c r="D99" s="11"/>
      <c r="E99" s="11"/>
      <c r="F99" s="11"/>
      <c r="G99" s="11"/>
      <c r="H99" s="11"/>
      <c r="I99" s="11"/>
    </row>
    <row r="100" spans="1:9" ht="15.75" customHeight="1">
      <c r="A100" s="225" t="s">
        <v>8</v>
      </c>
      <c r="B100" s="225"/>
      <c r="C100" s="225"/>
      <c r="D100" s="225"/>
      <c r="E100" s="225"/>
      <c r="F100" s="225"/>
      <c r="G100" s="225"/>
      <c r="H100" s="225"/>
      <c r="I100" s="225"/>
    </row>
    <row r="101" spans="1:9" ht="15.75" customHeight="1">
      <c r="A101" s="225" t="s">
        <v>9</v>
      </c>
      <c r="B101" s="225"/>
      <c r="C101" s="225"/>
      <c r="D101" s="225"/>
      <c r="E101" s="225"/>
      <c r="F101" s="225"/>
      <c r="G101" s="225"/>
      <c r="H101" s="225"/>
      <c r="I101" s="225"/>
    </row>
    <row r="102" spans="1:9" ht="15.75" customHeight="1">
      <c r="A102" s="221" t="s">
        <v>82</v>
      </c>
      <c r="B102" s="221"/>
      <c r="C102" s="221"/>
      <c r="D102" s="221"/>
      <c r="E102" s="221"/>
      <c r="F102" s="221"/>
      <c r="G102" s="221"/>
      <c r="H102" s="221"/>
      <c r="I102" s="221"/>
    </row>
    <row r="103" spans="1:9" ht="15.75" customHeight="1">
      <c r="A103" s="12"/>
    </row>
    <row r="104" spans="1:9" ht="15.75" customHeight="1">
      <c r="A104" s="222" t="s">
        <v>11</v>
      </c>
      <c r="B104" s="222"/>
      <c r="C104" s="222"/>
      <c r="D104" s="222"/>
      <c r="E104" s="222"/>
      <c r="F104" s="222"/>
      <c r="G104" s="222"/>
      <c r="H104" s="222"/>
      <c r="I104" s="222"/>
    </row>
    <row r="105" spans="1:9" ht="15.75" customHeight="1">
      <c r="A105" s="4"/>
    </row>
    <row r="106" spans="1:9" ht="15.75" customHeight="1">
      <c r="B106" s="200" t="s">
        <v>12</v>
      </c>
      <c r="C106" s="214" t="s">
        <v>142</v>
      </c>
      <c r="D106" s="214"/>
      <c r="E106" s="214"/>
      <c r="F106" s="239"/>
      <c r="I106" s="196"/>
    </row>
    <row r="107" spans="1:9" ht="15.75" customHeight="1">
      <c r="A107" s="197"/>
      <c r="C107" s="212" t="s">
        <v>13</v>
      </c>
      <c r="D107" s="212"/>
      <c r="E107" s="212"/>
      <c r="F107" s="36"/>
      <c r="I107" s="195" t="s">
        <v>14</v>
      </c>
    </row>
    <row r="108" spans="1:9" ht="15.75" customHeight="1">
      <c r="A108" s="37"/>
      <c r="C108" s="13"/>
      <c r="D108" s="13"/>
      <c r="G108" s="13"/>
      <c r="H108" s="13"/>
    </row>
    <row r="109" spans="1:9" ht="15.75" customHeight="1">
      <c r="B109" s="200" t="s">
        <v>15</v>
      </c>
      <c r="C109" s="213"/>
      <c r="D109" s="213"/>
      <c r="E109" s="213"/>
      <c r="F109" s="240"/>
      <c r="I109" s="196"/>
    </row>
    <row r="110" spans="1:9" ht="15.75" customHeight="1">
      <c r="A110" s="197"/>
      <c r="C110" s="207" t="s">
        <v>13</v>
      </c>
      <c r="D110" s="207"/>
      <c r="E110" s="207"/>
      <c r="F110" s="197"/>
      <c r="I110" s="195" t="s">
        <v>14</v>
      </c>
    </row>
    <row r="111" spans="1:9" ht="15.75" customHeight="1">
      <c r="A111" s="4" t="s">
        <v>16</v>
      </c>
    </row>
    <row r="112" spans="1:9" ht="15.75" customHeight="1">
      <c r="A112" s="220" t="s">
        <v>17</v>
      </c>
      <c r="B112" s="220"/>
      <c r="C112" s="220"/>
      <c r="D112" s="220"/>
      <c r="E112" s="220"/>
      <c r="F112" s="220"/>
      <c r="G112" s="220"/>
      <c r="H112" s="220"/>
      <c r="I112" s="220"/>
    </row>
    <row r="113" spans="1:9" ht="45" customHeight="1">
      <c r="A113" s="219" t="s">
        <v>18</v>
      </c>
      <c r="B113" s="219"/>
      <c r="C113" s="219"/>
      <c r="D113" s="219"/>
      <c r="E113" s="219"/>
      <c r="F113" s="219"/>
      <c r="G113" s="219"/>
      <c r="H113" s="219"/>
      <c r="I113" s="219"/>
    </row>
    <row r="114" spans="1:9" ht="30" customHeight="1">
      <c r="A114" s="219" t="s">
        <v>19</v>
      </c>
      <c r="B114" s="219"/>
      <c r="C114" s="219"/>
      <c r="D114" s="219"/>
      <c r="E114" s="219"/>
      <c r="F114" s="219"/>
      <c r="G114" s="219"/>
      <c r="H114" s="219"/>
      <c r="I114" s="219"/>
    </row>
    <row r="115" spans="1:9" ht="30" customHeight="1">
      <c r="A115" s="219" t="s">
        <v>24</v>
      </c>
      <c r="B115" s="219"/>
      <c r="C115" s="219"/>
      <c r="D115" s="219"/>
      <c r="E115" s="219"/>
      <c r="F115" s="219"/>
      <c r="G115" s="219"/>
      <c r="H115" s="219"/>
      <c r="I115" s="219"/>
    </row>
    <row r="116" spans="1:9" ht="15" customHeight="1">
      <c r="A116" s="219" t="s">
        <v>23</v>
      </c>
      <c r="B116" s="219"/>
      <c r="C116" s="219"/>
      <c r="D116" s="219"/>
      <c r="E116" s="219"/>
      <c r="F116" s="219"/>
      <c r="G116" s="219"/>
      <c r="H116" s="219"/>
      <c r="I116" s="219"/>
    </row>
  </sheetData>
  <autoFilter ref="I12:I62"/>
  <mergeCells count="28"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  <mergeCell ref="A96:I96"/>
    <mergeCell ref="B97:G97"/>
    <mergeCell ref="B98:G98"/>
    <mergeCell ref="A100:I100"/>
    <mergeCell ref="A101:I101"/>
    <mergeCell ref="A102:I102"/>
    <mergeCell ref="A15:I15"/>
    <mergeCell ref="A29:I29"/>
    <mergeCell ref="A47:I47"/>
    <mergeCell ref="A57:I57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1" t="s">
        <v>128</v>
      </c>
      <c r="I1" s="40"/>
      <c r="J1" s="1"/>
      <c r="K1" s="1"/>
      <c r="L1" s="1"/>
      <c r="M1" s="1"/>
    </row>
    <row r="2" spans="1:13" ht="15.75" customHeight="1">
      <c r="A2" s="42" t="s">
        <v>85</v>
      </c>
      <c r="J2" s="2"/>
      <c r="K2" s="2"/>
      <c r="L2" s="2"/>
      <c r="M2" s="2"/>
    </row>
    <row r="3" spans="1:13" ht="15.75" customHeight="1">
      <c r="A3" s="226" t="s">
        <v>296</v>
      </c>
      <c r="B3" s="226"/>
      <c r="C3" s="226"/>
      <c r="D3" s="226"/>
      <c r="E3" s="226"/>
      <c r="F3" s="226"/>
      <c r="G3" s="226"/>
      <c r="H3" s="226"/>
      <c r="I3" s="226"/>
      <c r="J3" s="3"/>
      <c r="K3" s="3"/>
      <c r="L3" s="3"/>
    </row>
    <row r="4" spans="1:13" ht="31.5" customHeight="1">
      <c r="A4" s="227" t="s">
        <v>228</v>
      </c>
      <c r="B4" s="227"/>
      <c r="C4" s="227"/>
      <c r="D4" s="227"/>
      <c r="E4" s="227"/>
      <c r="F4" s="227"/>
      <c r="G4" s="227"/>
      <c r="H4" s="227"/>
      <c r="I4" s="227"/>
    </row>
    <row r="5" spans="1:13" ht="15.75" customHeight="1">
      <c r="A5" s="226" t="s">
        <v>114</v>
      </c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5.75" customHeight="1">
      <c r="A6" s="2"/>
      <c r="B6" s="199"/>
      <c r="C6" s="199"/>
      <c r="D6" s="199"/>
      <c r="E6" s="199"/>
      <c r="F6" s="199"/>
      <c r="G6" s="199"/>
      <c r="H6" s="199"/>
      <c r="I6" s="51">
        <v>42521</v>
      </c>
      <c r="J6" s="2"/>
      <c r="K6" s="2"/>
      <c r="L6" s="2"/>
      <c r="M6" s="2"/>
    </row>
    <row r="7" spans="1:13" ht="15.75" customHeight="1">
      <c r="B7" s="200"/>
      <c r="C7" s="200"/>
      <c r="D7" s="20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5" t="s">
        <v>239</v>
      </c>
      <c r="B8" s="205"/>
      <c r="C8" s="205"/>
      <c r="D8" s="205"/>
      <c r="E8" s="205"/>
      <c r="F8" s="205"/>
      <c r="G8" s="205"/>
      <c r="H8" s="205"/>
      <c r="I8" s="20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06" t="s">
        <v>238</v>
      </c>
      <c r="B10" s="206"/>
      <c r="C10" s="206"/>
      <c r="D10" s="206"/>
      <c r="E10" s="206"/>
      <c r="F10" s="206"/>
      <c r="G10" s="206"/>
      <c r="H10" s="206"/>
      <c r="I10" s="20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29" t="s">
        <v>79</v>
      </c>
      <c r="B14" s="229"/>
      <c r="C14" s="229"/>
      <c r="D14" s="229"/>
      <c r="E14" s="229"/>
      <c r="F14" s="229"/>
      <c r="G14" s="229"/>
      <c r="H14" s="229"/>
      <c r="I14" s="229"/>
      <c r="J14" s="8"/>
      <c r="K14" s="8"/>
      <c r="L14" s="8"/>
      <c r="M14" s="8"/>
    </row>
    <row r="15" spans="1:13" ht="15.75" customHeight="1">
      <c r="A15" s="230" t="s">
        <v>4</v>
      </c>
      <c r="B15" s="230"/>
      <c r="C15" s="230"/>
      <c r="D15" s="230"/>
      <c r="E15" s="230"/>
      <c r="F15" s="230"/>
      <c r="G15" s="230"/>
      <c r="H15" s="230"/>
      <c r="I15" s="230"/>
      <c r="J15" s="8"/>
      <c r="K15" s="8"/>
      <c r="L15" s="8"/>
      <c r="M15" s="8"/>
    </row>
    <row r="16" spans="1:13" ht="15.75" customHeight="1">
      <c r="A16" s="46">
        <v>1</v>
      </c>
      <c r="B16" s="247" t="s">
        <v>130</v>
      </c>
      <c r="C16" s="248" t="s">
        <v>194</v>
      </c>
      <c r="D16" s="247" t="s">
        <v>195</v>
      </c>
      <c r="E16" s="249">
        <v>176.24</v>
      </c>
      <c r="F16" s="250">
        <f>SUM(E16*156/100)</f>
        <v>274.93440000000004</v>
      </c>
      <c r="G16" s="250">
        <v>187.48</v>
      </c>
      <c r="H16" s="251">
        <f t="shared" ref="H16:H26" si="0">SUM(F16*G16/1000)</f>
        <v>51.544701312000008</v>
      </c>
      <c r="I16" s="16">
        <f>F16/12*G16</f>
        <v>4295.3917760000004</v>
      </c>
      <c r="J16" s="8"/>
      <c r="K16" s="8"/>
      <c r="L16" s="8"/>
      <c r="M16" s="8"/>
    </row>
    <row r="17" spans="1:13" ht="15.75" customHeight="1">
      <c r="A17" s="46">
        <v>2</v>
      </c>
      <c r="B17" s="247" t="s">
        <v>151</v>
      </c>
      <c r="C17" s="248" t="s">
        <v>194</v>
      </c>
      <c r="D17" s="247" t="s">
        <v>196</v>
      </c>
      <c r="E17" s="249">
        <v>704.96</v>
      </c>
      <c r="F17" s="250">
        <f>SUM(E17*104/100)</f>
        <v>733.15839999999992</v>
      </c>
      <c r="G17" s="250">
        <v>187.48</v>
      </c>
      <c r="H17" s="251">
        <v>137.453</v>
      </c>
      <c r="I17" s="16">
        <f>F17/12*G17</f>
        <v>11454.378069333332</v>
      </c>
      <c r="J17" s="31"/>
      <c r="K17" s="8"/>
      <c r="L17" s="8"/>
      <c r="M17" s="8"/>
    </row>
    <row r="18" spans="1:13" ht="15.75" customHeight="1">
      <c r="A18" s="46">
        <v>3</v>
      </c>
      <c r="B18" s="247" t="s">
        <v>152</v>
      </c>
      <c r="C18" s="248" t="s">
        <v>194</v>
      </c>
      <c r="D18" s="247" t="s">
        <v>197</v>
      </c>
      <c r="E18" s="249">
        <f>SUM(E16+E17)</f>
        <v>881.2</v>
      </c>
      <c r="F18" s="250">
        <f>SUM(E18*24/100)</f>
        <v>211.48800000000003</v>
      </c>
      <c r="G18" s="250">
        <v>539.30999999999995</v>
      </c>
      <c r="H18" s="251">
        <f t="shared" si="0"/>
        <v>114.05759328000001</v>
      </c>
      <c r="I18" s="16">
        <f>F18/12*G18</f>
        <v>9504.7994400000007</v>
      </c>
      <c r="J18" s="31"/>
      <c r="K18" s="8"/>
      <c r="L18" s="8"/>
      <c r="M18" s="8"/>
    </row>
    <row r="19" spans="1:13" ht="15.75" customHeight="1">
      <c r="A19" s="46">
        <v>4</v>
      </c>
      <c r="B19" s="247" t="s">
        <v>198</v>
      </c>
      <c r="C19" s="248" t="s">
        <v>199</v>
      </c>
      <c r="D19" s="247" t="s">
        <v>200</v>
      </c>
      <c r="E19" s="249">
        <v>28.8</v>
      </c>
      <c r="F19" s="250">
        <f>SUM(E19/10)</f>
        <v>2.88</v>
      </c>
      <c r="G19" s="250">
        <v>181.91</v>
      </c>
      <c r="H19" s="251">
        <f t="shared" si="0"/>
        <v>0.52390080000000006</v>
      </c>
      <c r="I19" s="16">
        <f>F19/2*G19</f>
        <v>261.9504</v>
      </c>
      <c r="J19" s="31"/>
      <c r="K19" s="8"/>
      <c r="L19" s="8"/>
      <c r="M19" s="8"/>
    </row>
    <row r="20" spans="1:13" ht="15.75" customHeight="1">
      <c r="A20" s="46">
        <v>5</v>
      </c>
      <c r="B20" s="247" t="s">
        <v>164</v>
      </c>
      <c r="C20" s="248" t="s">
        <v>194</v>
      </c>
      <c r="D20" s="247" t="s">
        <v>36</v>
      </c>
      <c r="E20" s="249">
        <v>17.5</v>
      </c>
      <c r="F20" s="250">
        <f>SUM(E20*12/100)</f>
        <v>2.1</v>
      </c>
      <c r="G20" s="250">
        <v>232.92</v>
      </c>
      <c r="H20" s="251">
        <f t="shared" si="0"/>
        <v>0.48913200000000001</v>
      </c>
      <c r="I20" s="16">
        <f>F20/12*G20</f>
        <v>40.761000000000003</v>
      </c>
      <c r="J20" s="31"/>
      <c r="K20" s="8"/>
      <c r="L20" s="8"/>
      <c r="M20" s="8"/>
    </row>
    <row r="21" spans="1:13" ht="15.75" customHeight="1">
      <c r="A21" s="46">
        <v>6</v>
      </c>
      <c r="B21" s="247" t="s">
        <v>165</v>
      </c>
      <c r="C21" s="248" t="s">
        <v>194</v>
      </c>
      <c r="D21" s="247" t="s">
        <v>188</v>
      </c>
      <c r="E21" s="249">
        <v>5.94</v>
      </c>
      <c r="F21" s="250">
        <f>SUM(E21*6/100)</f>
        <v>0.35639999999999999</v>
      </c>
      <c r="G21" s="250">
        <v>231.03</v>
      </c>
      <c r="H21" s="251">
        <f t="shared" si="0"/>
        <v>8.2339091999999989E-2</v>
      </c>
      <c r="I21" s="16">
        <f>F21/6*G21</f>
        <v>13.723182</v>
      </c>
      <c r="J21" s="31"/>
      <c r="K21" s="8"/>
      <c r="L21" s="8"/>
      <c r="M21" s="8"/>
    </row>
    <row r="22" spans="1:13" ht="15.75" customHeight="1">
      <c r="A22" s="46">
        <v>7</v>
      </c>
      <c r="B22" s="247" t="s">
        <v>201</v>
      </c>
      <c r="C22" s="248" t="s">
        <v>68</v>
      </c>
      <c r="D22" s="247" t="s">
        <v>200</v>
      </c>
      <c r="E22" s="249">
        <v>376</v>
      </c>
      <c r="F22" s="250">
        <f>SUM(E22/100)</f>
        <v>3.76</v>
      </c>
      <c r="G22" s="250">
        <v>287.83999999999997</v>
      </c>
      <c r="H22" s="251">
        <f t="shared" si="0"/>
        <v>1.0822783999999999</v>
      </c>
      <c r="I22" s="16">
        <f>F22*G22</f>
        <v>1082.2783999999999</v>
      </c>
      <c r="J22" s="31"/>
      <c r="K22" s="8"/>
      <c r="L22" s="8"/>
      <c r="M22" s="8"/>
    </row>
    <row r="23" spans="1:13" ht="15.75" customHeight="1">
      <c r="A23" s="46">
        <v>8</v>
      </c>
      <c r="B23" s="247" t="s">
        <v>202</v>
      </c>
      <c r="C23" s="248" t="s">
        <v>68</v>
      </c>
      <c r="D23" s="247" t="s">
        <v>200</v>
      </c>
      <c r="E23" s="252">
        <v>60.4</v>
      </c>
      <c r="F23" s="250">
        <f>SUM(E23/100)</f>
        <v>0.60399999999999998</v>
      </c>
      <c r="G23" s="250">
        <v>47.34</v>
      </c>
      <c r="H23" s="251">
        <f t="shared" si="0"/>
        <v>2.8593360000000002E-2</v>
      </c>
      <c r="I23" s="16">
        <f t="shared" ref="I23:I26" si="1">F23*G23</f>
        <v>28.593360000000001</v>
      </c>
      <c r="J23" s="31"/>
      <c r="K23" s="8"/>
      <c r="L23" s="8"/>
      <c r="M23" s="8"/>
    </row>
    <row r="24" spans="1:13" ht="15.75" customHeight="1">
      <c r="A24" s="46">
        <v>9</v>
      </c>
      <c r="B24" s="247" t="s">
        <v>176</v>
      </c>
      <c r="C24" s="248" t="s">
        <v>68</v>
      </c>
      <c r="D24" s="247" t="s">
        <v>69</v>
      </c>
      <c r="E24" s="23">
        <v>25</v>
      </c>
      <c r="F24" s="253">
        <f>E24/100</f>
        <v>0.25</v>
      </c>
      <c r="G24" s="250">
        <v>416.62</v>
      </c>
      <c r="H24" s="251">
        <f>F24*G24/1000</f>
        <v>0.104155</v>
      </c>
      <c r="I24" s="16">
        <f t="shared" si="1"/>
        <v>104.155</v>
      </c>
      <c r="J24" s="31"/>
      <c r="K24" s="8"/>
      <c r="L24" s="8"/>
      <c r="M24" s="8"/>
    </row>
    <row r="25" spans="1:13" ht="15.75" customHeight="1">
      <c r="A25" s="46">
        <v>10</v>
      </c>
      <c r="B25" s="247" t="s">
        <v>203</v>
      </c>
      <c r="C25" s="248" t="s">
        <v>68</v>
      </c>
      <c r="D25" s="247" t="s">
        <v>200</v>
      </c>
      <c r="E25" s="252">
        <v>23.75</v>
      </c>
      <c r="F25" s="250">
        <f>E25/100</f>
        <v>0.23749999999999999</v>
      </c>
      <c r="G25" s="250">
        <v>231.03</v>
      </c>
      <c r="H25" s="251">
        <f>F25*G25/1000</f>
        <v>5.4869624999999998E-2</v>
      </c>
      <c r="I25" s="16">
        <f t="shared" si="1"/>
        <v>54.869624999999999</v>
      </c>
      <c r="J25" s="31"/>
      <c r="K25" s="8"/>
      <c r="L25" s="8"/>
      <c r="M25" s="8"/>
    </row>
    <row r="26" spans="1:13" ht="15.75" customHeight="1">
      <c r="A26" s="46">
        <v>11</v>
      </c>
      <c r="B26" s="247" t="s">
        <v>177</v>
      </c>
      <c r="C26" s="248" t="s">
        <v>68</v>
      </c>
      <c r="D26" s="247" t="s">
        <v>200</v>
      </c>
      <c r="E26" s="249">
        <v>10.63</v>
      </c>
      <c r="F26" s="250">
        <f>SUM(E26/100)</f>
        <v>0.10630000000000001</v>
      </c>
      <c r="G26" s="250">
        <v>556.74</v>
      </c>
      <c r="H26" s="251">
        <f t="shared" si="0"/>
        <v>5.9181462000000004E-2</v>
      </c>
      <c r="I26" s="16">
        <f t="shared" si="1"/>
        <v>59.181462000000003</v>
      </c>
      <c r="J26" s="31"/>
      <c r="K26" s="8"/>
      <c r="L26" s="8"/>
      <c r="M26" s="8"/>
    </row>
    <row r="27" spans="1:13" ht="15.75" customHeight="1">
      <c r="A27" s="46">
        <v>12</v>
      </c>
      <c r="B27" s="247" t="s">
        <v>87</v>
      </c>
      <c r="C27" s="248" t="s">
        <v>40</v>
      </c>
      <c r="D27" s="247" t="s">
        <v>247</v>
      </c>
      <c r="E27" s="249">
        <v>0.1</v>
      </c>
      <c r="F27" s="250">
        <f>SUM(E27*365)</f>
        <v>36.5</v>
      </c>
      <c r="G27" s="250">
        <v>157.18</v>
      </c>
      <c r="H27" s="251">
        <f>SUM(F27*G27/1000)</f>
        <v>5.737070000000001</v>
      </c>
      <c r="I27" s="16">
        <f>F27/12*G27</f>
        <v>478.08916666666664</v>
      </c>
      <c r="J27" s="32"/>
    </row>
    <row r="28" spans="1:13" ht="15.75" customHeight="1">
      <c r="A28" s="46">
        <v>13</v>
      </c>
      <c r="B28" s="255" t="s">
        <v>26</v>
      </c>
      <c r="C28" s="248" t="s">
        <v>27</v>
      </c>
      <c r="D28" s="255" t="s">
        <v>247</v>
      </c>
      <c r="E28" s="249">
        <v>5816.5</v>
      </c>
      <c r="F28" s="250">
        <f>SUM(E28*12)</f>
        <v>69798</v>
      </c>
      <c r="G28" s="250">
        <v>4.72</v>
      </c>
      <c r="H28" s="251">
        <f>SUM(F28*G28/1000)</f>
        <v>329.44655999999998</v>
      </c>
      <c r="I28" s="16">
        <f>F28/12*G28</f>
        <v>27453.879999999997</v>
      </c>
      <c r="J28" s="32"/>
    </row>
    <row r="29" spans="1:13" ht="15.75" customHeight="1">
      <c r="A29" s="230" t="s">
        <v>122</v>
      </c>
      <c r="B29" s="230"/>
      <c r="C29" s="230"/>
      <c r="D29" s="230"/>
      <c r="E29" s="230"/>
      <c r="F29" s="230"/>
      <c r="G29" s="230"/>
      <c r="H29" s="230"/>
      <c r="I29" s="230"/>
      <c r="J29" s="31"/>
      <c r="K29" s="8"/>
      <c r="L29" s="8"/>
      <c r="M29" s="8"/>
    </row>
    <row r="30" spans="1:13" ht="15.75" customHeight="1">
      <c r="A30" s="46"/>
      <c r="B30" s="268" t="s">
        <v>34</v>
      </c>
      <c r="C30" s="248"/>
      <c r="D30" s="247"/>
      <c r="E30" s="249"/>
      <c r="F30" s="250"/>
      <c r="G30" s="250"/>
      <c r="H30" s="251"/>
      <c r="I30" s="16"/>
      <c r="J30" s="31"/>
      <c r="K30" s="8"/>
      <c r="L30" s="8"/>
      <c r="M30" s="8"/>
    </row>
    <row r="31" spans="1:13" ht="15.75" customHeight="1">
      <c r="A31" s="46">
        <v>14</v>
      </c>
      <c r="B31" s="247" t="s">
        <v>204</v>
      </c>
      <c r="C31" s="248" t="s">
        <v>205</v>
      </c>
      <c r="D31" s="247" t="s">
        <v>206</v>
      </c>
      <c r="E31" s="250">
        <v>357.22</v>
      </c>
      <c r="F31" s="250">
        <f>SUM(E31*52/1000)</f>
        <v>18.575440000000004</v>
      </c>
      <c r="G31" s="250">
        <v>166.65</v>
      </c>
      <c r="H31" s="251">
        <f t="shared" ref="H31:H38" si="2">SUM(F31*G31/1000)</f>
        <v>3.0955970760000011</v>
      </c>
      <c r="I31" s="16">
        <f>F31/6*G31</f>
        <v>515.93284600000015</v>
      </c>
      <c r="J31" s="31"/>
      <c r="K31" s="8"/>
      <c r="L31" s="8"/>
      <c r="M31" s="8"/>
    </row>
    <row r="32" spans="1:13" ht="31.5" customHeight="1">
      <c r="A32" s="46">
        <v>15</v>
      </c>
      <c r="B32" s="247" t="s">
        <v>281</v>
      </c>
      <c r="C32" s="248" t="s">
        <v>205</v>
      </c>
      <c r="D32" s="247" t="s">
        <v>208</v>
      </c>
      <c r="E32" s="250">
        <v>475.06</v>
      </c>
      <c r="F32" s="250">
        <f>SUM(E32*78/1000)</f>
        <v>37.054679999999998</v>
      </c>
      <c r="G32" s="250">
        <v>276.48</v>
      </c>
      <c r="H32" s="251">
        <f t="shared" si="2"/>
        <v>10.244877926400001</v>
      </c>
      <c r="I32" s="16">
        <f t="shared" ref="I32:I35" si="3">F32/6*G32</f>
        <v>1707.4796544000001</v>
      </c>
      <c r="J32" s="31"/>
      <c r="K32" s="8"/>
      <c r="L32" s="8"/>
      <c r="M32" s="8"/>
    </row>
    <row r="33" spans="1:14" ht="15.75" customHeight="1">
      <c r="A33" s="46">
        <v>16</v>
      </c>
      <c r="B33" s="247" t="s">
        <v>33</v>
      </c>
      <c r="C33" s="248" t="s">
        <v>205</v>
      </c>
      <c r="D33" s="247" t="s">
        <v>69</v>
      </c>
      <c r="E33" s="250">
        <v>357.22</v>
      </c>
      <c r="F33" s="250">
        <f>SUM(E33/1000)</f>
        <v>0.35722000000000004</v>
      </c>
      <c r="G33" s="250">
        <v>3228.73</v>
      </c>
      <c r="H33" s="251">
        <f t="shared" si="2"/>
        <v>1.1533669306000001</v>
      </c>
      <c r="I33" s="16">
        <f>F33*G33</f>
        <v>1153.3669306000002</v>
      </c>
      <c r="J33" s="31"/>
      <c r="K33" s="8"/>
      <c r="L33" s="8"/>
      <c r="M33" s="8"/>
    </row>
    <row r="34" spans="1:14" ht="15.75" customHeight="1">
      <c r="A34" s="46">
        <v>17</v>
      </c>
      <c r="B34" s="247" t="s">
        <v>245</v>
      </c>
      <c r="C34" s="248" t="s">
        <v>51</v>
      </c>
      <c r="D34" s="247" t="s">
        <v>246</v>
      </c>
      <c r="E34" s="250">
        <v>5</v>
      </c>
      <c r="F34" s="250">
        <f>E34*155/100</f>
        <v>7.75</v>
      </c>
      <c r="G34" s="250">
        <v>1391.86</v>
      </c>
      <c r="H34" s="251">
        <f>G34*F34/1000</f>
        <v>10.786914999999999</v>
      </c>
      <c r="I34" s="16">
        <f t="shared" si="3"/>
        <v>1797.8191666666667</v>
      </c>
      <c r="J34" s="31"/>
      <c r="K34" s="8"/>
      <c r="L34" s="8"/>
      <c r="M34" s="8"/>
    </row>
    <row r="35" spans="1:14" ht="15.75" customHeight="1">
      <c r="A35" s="46">
        <v>18</v>
      </c>
      <c r="B35" s="247" t="s">
        <v>210</v>
      </c>
      <c r="C35" s="248" t="s">
        <v>37</v>
      </c>
      <c r="D35" s="247" t="s">
        <v>86</v>
      </c>
      <c r="E35" s="254">
        <v>0.33333333333333331</v>
      </c>
      <c r="F35" s="250">
        <f>155/3</f>
        <v>51.666666666666664</v>
      </c>
      <c r="G35" s="250">
        <v>60.6</v>
      </c>
      <c r="H35" s="251">
        <f>SUM(G35*155/3/1000)</f>
        <v>3.1309999999999998</v>
      </c>
      <c r="I35" s="16">
        <f t="shared" si="3"/>
        <v>521.83333333333337</v>
      </c>
      <c r="J35" s="31"/>
      <c r="K35" s="8"/>
    </row>
    <row r="36" spans="1:14" ht="15.75" hidden="1" customHeight="1">
      <c r="A36" s="46"/>
      <c r="B36" s="247" t="s">
        <v>88</v>
      </c>
      <c r="C36" s="248" t="s">
        <v>40</v>
      </c>
      <c r="D36" s="247" t="s">
        <v>90</v>
      </c>
      <c r="E36" s="249"/>
      <c r="F36" s="250">
        <v>3</v>
      </c>
      <c r="G36" s="250">
        <v>204.52</v>
      </c>
      <c r="H36" s="251">
        <f t="shared" si="2"/>
        <v>0.61356000000000011</v>
      </c>
      <c r="I36" s="16">
        <v>0</v>
      </c>
      <c r="J36" s="32"/>
    </row>
    <row r="37" spans="1:14" ht="15.75" hidden="1" customHeight="1">
      <c r="A37" s="46"/>
      <c r="B37" s="247" t="s">
        <v>89</v>
      </c>
      <c r="C37" s="248" t="s">
        <v>39</v>
      </c>
      <c r="D37" s="247" t="s">
        <v>90</v>
      </c>
      <c r="E37" s="249"/>
      <c r="F37" s="250">
        <v>2</v>
      </c>
      <c r="G37" s="250">
        <v>1214.74</v>
      </c>
      <c r="H37" s="251">
        <f t="shared" si="2"/>
        <v>2.4294799999999999</v>
      </c>
      <c r="I37" s="16">
        <v>0</v>
      </c>
      <c r="J37" s="32"/>
    </row>
    <row r="38" spans="1:14" ht="15.75" hidden="1" customHeight="1">
      <c r="A38" s="46"/>
      <c r="B38" s="138" t="s">
        <v>248</v>
      </c>
      <c r="C38" s="243" t="s">
        <v>35</v>
      </c>
      <c r="D38" s="247"/>
      <c r="E38" s="249">
        <v>360.36</v>
      </c>
      <c r="F38" s="250">
        <f>E38*36/1000</f>
        <v>12.97296</v>
      </c>
      <c r="G38" s="250">
        <v>3228.73</v>
      </c>
      <c r="H38" s="251">
        <f t="shared" si="2"/>
        <v>41.886185140800002</v>
      </c>
      <c r="I38" s="16">
        <v>0</v>
      </c>
      <c r="J38" s="32"/>
    </row>
    <row r="39" spans="1:14" ht="15.75" hidden="1" customHeight="1">
      <c r="A39" s="46"/>
      <c r="B39" s="268" t="s">
        <v>5</v>
      </c>
      <c r="C39" s="248"/>
      <c r="D39" s="247"/>
      <c r="E39" s="249"/>
      <c r="F39" s="250"/>
      <c r="G39" s="250"/>
      <c r="H39" s="251" t="s">
        <v>225</v>
      </c>
      <c r="I39" s="16"/>
      <c r="J39" s="32"/>
    </row>
    <row r="40" spans="1:14" ht="15.75" hidden="1" customHeight="1">
      <c r="A40" s="46">
        <v>8</v>
      </c>
      <c r="B40" s="247" t="s">
        <v>31</v>
      </c>
      <c r="C40" s="248" t="s">
        <v>39</v>
      </c>
      <c r="D40" s="247"/>
      <c r="E40" s="249"/>
      <c r="F40" s="250">
        <v>10</v>
      </c>
      <c r="G40" s="250">
        <v>1632.6</v>
      </c>
      <c r="H40" s="251">
        <f t="shared" ref="H40:H46" si="4">SUM(F40*G40/1000)</f>
        <v>16.326000000000001</v>
      </c>
      <c r="I40" s="16">
        <f>F40/6*G40</f>
        <v>2721</v>
      </c>
      <c r="J40" s="32"/>
      <c r="L40" s="25"/>
      <c r="M40" s="26"/>
      <c r="N40" s="27"/>
    </row>
    <row r="41" spans="1:14" ht="15.75" hidden="1" customHeight="1">
      <c r="A41" s="46">
        <v>9</v>
      </c>
      <c r="B41" s="247" t="s">
        <v>91</v>
      </c>
      <c r="C41" s="248" t="s">
        <v>35</v>
      </c>
      <c r="D41" s="247" t="s">
        <v>211</v>
      </c>
      <c r="E41" s="250">
        <v>469.73</v>
      </c>
      <c r="F41" s="250">
        <f>SUM(E41*30/1000)</f>
        <v>14.091900000000001</v>
      </c>
      <c r="G41" s="250">
        <v>2247.8000000000002</v>
      </c>
      <c r="H41" s="251">
        <f t="shared" si="4"/>
        <v>31.675772820000006</v>
      </c>
      <c r="I41" s="16">
        <f>F41/6*G41</f>
        <v>5279.2954700000009</v>
      </c>
      <c r="J41" s="32"/>
      <c r="L41" s="25"/>
      <c r="M41" s="26"/>
      <c r="N41" s="27"/>
    </row>
    <row r="42" spans="1:14" ht="15.75" hidden="1" customHeight="1">
      <c r="A42" s="46"/>
      <c r="B42" s="247" t="s">
        <v>156</v>
      </c>
      <c r="C42" s="248" t="s">
        <v>229</v>
      </c>
      <c r="D42" s="247" t="s">
        <v>90</v>
      </c>
      <c r="E42" s="249"/>
      <c r="F42" s="250">
        <v>120</v>
      </c>
      <c r="G42" s="250">
        <v>213.2</v>
      </c>
      <c r="H42" s="251">
        <f t="shared" si="4"/>
        <v>25.584</v>
      </c>
      <c r="I42" s="16">
        <v>0</v>
      </c>
      <c r="J42" s="32"/>
      <c r="L42" s="25"/>
      <c r="M42" s="26"/>
      <c r="N42" s="27"/>
    </row>
    <row r="43" spans="1:14" ht="15.75" hidden="1" customHeight="1">
      <c r="A43" s="46">
        <v>10</v>
      </c>
      <c r="B43" s="247" t="s">
        <v>92</v>
      </c>
      <c r="C43" s="248" t="s">
        <v>35</v>
      </c>
      <c r="D43" s="247" t="s">
        <v>212</v>
      </c>
      <c r="E43" s="250">
        <v>475.06</v>
      </c>
      <c r="F43" s="250">
        <f>SUM(E43*155/1000)</f>
        <v>73.634299999999996</v>
      </c>
      <c r="G43" s="250">
        <v>374.95</v>
      </c>
      <c r="H43" s="251">
        <f t="shared" si="4"/>
        <v>27.609180784999996</v>
      </c>
      <c r="I43" s="16">
        <f>F43/6*G43</f>
        <v>4601.5301308333328</v>
      </c>
      <c r="J43" s="32"/>
      <c r="L43" s="25"/>
      <c r="M43" s="26"/>
      <c r="N43" s="27"/>
    </row>
    <row r="44" spans="1:14" ht="47.25" hidden="1" customHeight="1">
      <c r="A44" s="46">
        <v>11</v>
      </c>
      <c r="B44" s="247" t="s">
        <v>118</v>
      </c>
      <c r="C44" s="248" t="s">
        <v>205</v>
      </c>
      <c r="D44" s="247" t="s">
        <v>230</v>
      </c>
      <c r="E44" s="250">
        <v>40.6</v>
      </c>
      <c r="F44" s="250">
        <f>SUM(E44*35/1000)</f>
        <v>1.421</v>
      </c>
      <c r="G44" s="250">
        <v>6203.7</v>
      </c>
      <c r="H44" s="251">
        <f t="shared" si="4"/>
        <v>8.8154577000000014</v>
      </c>
      <c r="I44" s="16">
        <f>F44/6*G44</f>
        <v>1469.2429500000001</v>
      </c>
      <c r="J44" s="32"/>
      <c r="L44" s="25"/>
      <c r="M44" s="26"/>
      <c r="N44" s="27"/>
    </row>
    <row r="45" spans="1:14" ht="15.75" hidden="1" customHeight="1">
      <c r="A45" s="46">
        <v>12</v>
      </c>
      <c r="B45" s="247" t="s">
        <v>213</v>
      </c>
      <c r="C45" s="248" t="s">
        <v>205</v>
      </c>
      <c r="D45" s="247" t="s">
        <v>93</v>
      </c>
      <c r="E45" s="250">
        <v>167.03</v>
      </c>
      <c r="F45" s="250">
        <f>SUM(E45*45/1000)</f>
        <v>7.5163500000000001</v>
      </c>
      <c r="G45" s="250">
        <v>458.28</v>
      </c>
      <c r="H45" s="251">
        <f t="shared" si="4"/>
        <v>3.4445928779999999</v>
      </c>
      <c r="I45" s="16">
        <f>F45/6*G45</f>
        <v>574.09881299999995</v>
      </c>
      <c r="J45" s="32"/>
      <c r="L45" s="25"/>
      <c r="M45" s="26"/>
      <c r="N45" s="27"/>
    </row>
    <row r="46" spans="1:14" ht="15.75" hidden="1" customHeight="1">
      <c r="A46" s="46">
        <v>13</v>
      </c>
      <c r="B46" s="247" t="s">
        <v>94</v>
      </c>
      <c r="C46" s="248" t="s">
        <v>40</v>
      </c>
      <c r="D46" s="247"/>
      <c r="E46" s="249"/>
      <c r="F46" s="250">
        <v>1.2</v>
      </c>
      <c r="G46" s="250">
        <v>853.06</v>
      </c>
      <c r="H46" s="251">
        <f t="shared" si="4"/>
        <v>1.0236719999999999</v>
      </c>
      <c r="I46" s="16">
        <f>F46/6*G46</f>
        <v>170.61199999999997</v>
      </c>
      <c r="J46" s="32"/>
      <c r="L46" s="25"/>
      <c r="M46" s="26"/>
      <c r="N46" s="27"/>
    </row>
    <row r="47" spans="1:14" ht="15.75" customHeight="1">
      <c r="A47" s="231" t="s">
        <v>240</v>
      </c>
      <c r="B47" s="232"/>
      <c r="C47" s="232"/>
      <c r="D47" s="232"/>
      <c r="E47" s="232"/>
      <c r="F47" s="232"/>
      <c r="G47" s="232"/>
      <c r="H47" s="232"/>
      <c r="I47" s="233"/>
      <c r="J47" s="32"/>
      <c r="L47" s="25"/>
      <c r="M47" s="26"/>
      <c r="N47" s="27"/>
    </row>
    <row r="48" spans="1:14" ht="15.75" customHeight="1">
      <c r="A48" s="46">
        <v>19</v>
      </c>
      <c r="B48" s="247" t="s">
        <v>214</v>
      </c>
      <c r="C48" s="248" t="s">
        <v>205</v>
      </c>
      <c r="D48" s="247" t="s">
        <v>55</v>
      </c>
      <c r="E48" s="249">
        <v>1603.6</v>
      </c>
      <c r="F48" s="250">
        <f>SUM(E48*2/1000)</f>
        <v>3.2071999999999998</v>
      </c>
      <c r="G48" s="16">
        <v>908.11</v>
      </c>
      <c r="H48" s="251">
        <f t="shared" ref="H48:H56" si="5">SUM(F48*G48/1000)</f>
        <v>2.9124903919999996</v>
      </c>
      <c r="I48" s="16">
        <f t="shared" ref="I48:I50" si="6">F48/2*G48</f>
        <v>1456.2451959999999</v>
      </c>
      <c r="J48" s="32"/>
      <c r="L48" s="25"/>
      <c r="M48" s="26"/>
      <c r="N48" s="27"/>
    </row>
    <row r="49" spans="1:22" ht="15.75" customHeight="1">
      <c r="A49" s="46">
        <v>20</v>
      </c>
      <c r="B49" s="247" t="s">
        <v>44</v>
      </c>
      <c r="C49" s="248" t="s">
        <v>205</v>
      </c>
      <c r="D49" s="247" t="s">
        <v>55</v>
      </c>
      <c r="E49" s="249">
        <v>65</v>
      </c>
      <c r="F49" s="250">
        <f>SUM(E49*2/1000)</f>
        <v>0.13</v>
      </c>
      <c r="G49" s="16">
        <v>619.46</v>
      </c>
      <c r="H49" s="251">
        <f t="shared" si="5"/>
        <v>8.0529800000000012E-2</v>
      </c>
      <c r="I49" s="16">
        <f t="shared" si="6"/>
        <v>40.264900000000004</v>
      </c>
      <c r="J49" s="32"/>
      <c r="L49" s="25"/>
      <c r="M49" s="26"/>
      <c r="N49" s="27"/>
    </row>
    <row r="50" spans="1:22" ht="15.75" customHeight="1">
      <c r="A50" s="46">
        <v>21</v>
      </c>
      <c r="B50" s="247" t="s">
        <v>45</v>
      </c>
      <c r="C50" s="248" t="s">
        <v>205</v>
      </c>
      <c r="D50" s="247" t="s">
        <v>55</v>
      </c>
      <c r="E50" s="249">
        <v>1825.8</v>
      </c>
      <c r="F50" s="250">
        <f>SUM(E50*2/1000)</f>
        <v>3.6515999999999997</v>
      </c>
      <c r="G50" s="16">
        <v>619.46</v>
      </c>
      <c r="H50" s="251">
        <f t="shared" si="5"/>
        <v>2.2620201360000003</v>
      </c>
      <c r="I50" s="16">
        <f t="shared" si="6"/>
        <v>1131.010068</v>
      </c>
      <c r="J50" s="32"/>
      <c r="L50" s="25"/>
      <c r="M50" s="26"/>
      <c r="N50" s="27"/>
    </row>
    <row r="51" spans="1:22" ht="15.75" customHeight="1">
      <c r="A51" s="46">
        <v>22</v>
      </c>
      <c r="B51" s="247" t="s">
        <v>46</v>
      </c>
      <c r="C51" s="248" t="s">
        <v>205</v>
      </c>
      <c r="D51" s="247" t="s">
        <v>55</v>
      </c>
      <c r="E51" s="249">
        <v>3163.96</v>
      </c>
      <c r="F51" s="250">
        <f>SUM(E51*2/1000)</f>
        <v>6.3279199999999998</v>
      </c>
      <c r="G51" s="16">
        <v>648.64</v>
      </c>
      <c r="H51" s="251">
        <f t="shared" si="5"/>
        <v>4.1045420287999992</v>
      </c>
      <c r="I51" s="16">
        <f>F51/2*G51</f>
        <v>2052.2710143999998</v>
      </c>
      <c r="J51" s="32"/>
      <c r="L51" s="25"/>
      <c r="M51" s="26"/>
      <c r="N51" s="27"/>
    </row>
    <row r="52" spans="1:22" ht="15.75" customHeight="1">
      <c r="A52" s="46">
        <v>23</v>
      </c>
      <c r="B52" s="247" t="s">
        <v>76</v>
      </c>
      <c r="C52" s="248" t="s">
        <v>205</v>
      </c>
      <c r="D52" s="247" t="s">
        <v>282</v>
      </c>
      <c r="E52" s="249">
        <v>1583</v>
      </c>
      <c r="F52" s="250">
        <f>SUM(E52*5/1000)</f>
        <v>7.915</v>
      </c>
      <c r="G52" s="16">
        <v>1297.28</v>
      </c>
      <c r="H52" s="251">
        <f t="shared" si="5"/>
        <v>10.2679712</v>
      </c>
      <c r="I52" s="16">
        <f>F52/5*G52</f>
        <v>2053.5942399999999</v>
      </c>
      <c r="J52" s="32"/>
      <c r="L52" s="25"/>
      <c r="M52" s="26"/>
      <c r="N52" s="27"/>
    </row>
    <row r="53" spans="1:22" ht="31.5" hidden="1" customHeight="1">
      <c r="A53" s="46"/>
      <c r="B53" s="247" t="s">
        <v>216</v>
      </c>
      <c r="C53" s="248" t="s">
        <v>205</v>
      </c>
      <c r="D53" s="247" t="s">
        <v>55</v>
      </c>
      <c r="E53" s="249">
        <v>1583</v>
      </c>
      <c r="F53" s="250">
        <f>SUM(E53*2/1000)</f>
        <v>3.1659999999999999</v>
      </c>
      <c r="G53" s="16">
        <v>1297.28</v>
      </c>
      <c r="H53" s="251">
        <f t="shared" si="5"/>
        <v>4.1071884799999996</v>
      </c>
      <c r="I53" s="16">
        <v>0</v>
      </c>
      <c r="J53" s="32"/>
      <c r="L53" s="25"/>
      <c r="M53" s="26"/>
      <c r="N53" s="27"/>
    </row>
    <row r="54" spans="1:22" ht="31.5" hidden="1" customHeight="1">
      <c r="A54" s="46"/>
      <c r="B54" s="247" t="s">
        <v>217</v>
      </c>
      <c r="C54" s="248" t="s">
        <v>49</v>
      </c>
      <c r="D54" s="247" t="s">
        <v>55</v>
      </c>
      <c r="E54" s="249">
        <v>25</v>
      </c>
      <c r="F54" s="250">
        <f>SUM(E54*2/100)</f>
        <v>0.5</v>
      </c>
      <c r="G54" s="16">
        <v>2918.89</v>
      </c>
      <c r="H54" s="251">
        <f t="shared" si="5"/>
        <v>1.4594449999999999</v>
      </c>
      <c r="I54" s="16">
        <v>0</v>
      </c>
      <c r="J54" s="32"/>
      <c r="L54" s="25"/>
      <c r="M54" s="26"/>
      <c r="N54" s="27"/>
    </row>
    <row r="55" spans="1:22" ht="15.75" hidden="1" customHeight="1">
      <c r="A55" s="46"/>
      <c r="B55" s="247" t="s">
        <v>50</v>
      </c>
      <c r="C55" s="248" t="s">
        <v>51</v>
      </c>
      <c r="D55" s="247" t="s">
        <v>55</v>
      </c>
      <c r="E55" s="249">
        <v>1</v>
      </c>
      <c r="F55" s="250">
        <v>0.02</v>
      </c>
      <c r="G55" s="16">
        <v>6042.12</v>
      </c>
      <c r="H55" s="251">
        <f t="shared" si="5"/>
        <v>0.1208424</v>
      </c>
      <c r="I55" s="16">
        <v>0</v>
      </c>
      <c r="J55" s="32"/>
      <c r="L55" s="25"/>
      <c r="M55" s="26"/>
      <c r="N55" s="27"/>
    </row>
    <row r="56" spans="1:22" ht="15.75" hidden="1" customHeight="1">
      <c r="A56" s="46">
        <v>15</v>
      </c>
      <c r="B56" s="247" t="s">
        <v>54</v>
      </c>
      <c r="C56" s="248" t="s">
        <v>37</v>
      </c>
      <c r="D56" s="247" t="s">
        <v>95</v>
      </c>
      <c r="E56" s="249">
        <v>36</v>
      </c>
      <c r="F56" s="250">
        <f>SUM(E56)*3</f>
        <v>108</v>
      </c>
      <c r="G56" s="16">
        <v>70.209999999999994</v>
      </c>
      <c r="H56" s="251">
        <f t="shared" si="5"/>
        <v>7.582679999999999</v>
      </c>
      <c r="I56" s="16">
        <f>E56*G56</f>
        <v>2527.56</v>
      </c>
      <c r="J56" s="32"/>
      <c r="L56" s="25"/>
      <c r="M56" s="26"/>
      <c r="N56" s="27"/>
    </row>
    <row r="57" spans="1:22" ht="15.75" customHeight="1">
      <c r="A57" s="231" t="s">
        <v>241</v>
      </c>
      <c r="B57" s="232"/>
      <c r="C57" s="232"/>
      <c r="D57" s="232"/>
      <c r="E57" s="232"/>
      <c r="F57" s="232"/>
      <c r="G57" s="232"/>
      <c r="H57" s="232"/>
      <c r="I57" s="233"/>
      <c r="J57" s="32"/>
      <c r="L57" s="25"/>
      <c r="M57" s="26"/>
      <c r="N57" s="27"/>
    </row>
    <row r="58" spans="1:22" ht="15.75" hidden="1" customHeight="1">
      <c r="A58" s="46"/>
      <c r="B58" s="268" t="s">
        <v>56</v>
      </c>
      <c r="C58" s="248"/>
      <c r="D58" s="247"/>
      <c r="E58" s="249"/>
      <c r="F58" s="250"/>
      <c r="G58" s="250"/>
      <c r="H58" s="251"/>
      <c r="I58" s="16"/>
      <c r="J58" s="32"/>
      <c r="L58" s="25"/>
      <c r="M58" s="26"/>
      <c r="N58" s="27"/>
    </row>
    <row r="59" spans="1:22" ht="31.5" hidden="1" customHeight="1">
      <c r="A59" s="46">
        <v>16</v>
      </c>
      <c r="B59" s="247" t="s">
        <v>231</v>
      </c>
      <c r="C59" s="248" t="s">
        <v>194</v>
      </c>
      <c r="D59" s="247" t="s">
        <v>96</v>
      </c>
      <c r="E59" s="256">
        <v>3.78</v>
      </c>
      <c r="F59" s="16">
        <f>E59*6/100</f>
        <v>0.2268</v>
      </c>
      <c r="G59" s="250">
        <v>1654.04</v>
      </c>
      <c r="H59" s="251">
        <f>SUM(F59*G59/1000)</f>
        <v>0.37513627199999999</v>
      </c>
      <c r="I59" s="16">
        <f>F59/6*G59</f>
        <v>62.522711999999999</v>
      </c>
      <c r="J59" s="32"/>
      <c r="L59" s="25"/>
      <c r="M59" s="26"/>
      <c r="N59" s="27"/>
    </row>
    <row r="60" spans="1:22" ht="31.5" hidden="1" customHeight="1">
      <c r="A60" s="46">
        <v>17</v>
      </c>
      <c r="B60" s="247" t="s">
        <v>219</v>
      </c>
      <c r="C60" s="248" t="s">
        <v>194</v>
      </c>
      <c r="D60" s="247" t="s">
        <v>96</v>
      </c>
      <c r="E60" s="249">
        <v>185.36</v>
      </c>
      <c r="F60" s="250">
        <f>E60*6/100</f>
        <v>11.121600000000001</v>
      </c>
      <c r="G60" s="257">
        <v>1654.04</v>
      </c>
      <c r="H60" s="251">
        <f>F60*G60/1000</f>
        <v>18.395571264000001</v>
      </c>
      <c r="I60" s="16">
        <f>F60/6*G60</f>
        <v>3065.9285440000003</v>
      </c>
      <c r="J60" s="32"/>
      <c r="L60" s="25"/>
    </row>
    <row r="61" spans="1:22" ht="15.75" hidden="1" customHeight="1">
      <c r="A61" s="46"/>
      <c r="B61" s="258" t="s">
        <v>168</v>
      </c>
      <c r="C61" s="248" t="s">
        <v>169</v>
      </c>
      <c r="D61" s="258" t="s">
        <v>55</v>
      </c>
      <c r="E61" s="259">
        <v>5</v>
      </c>
      <c r="F61" s="260">
        <v>10</v>
      </c>
      <c r="G61" s="257">
        <v>198.25</v>
      </c>
      <c r="H61" s="261">
        <v>0.99099999999999999</v>
      </c>
      <c r="I61" s="16">
        <v>0</v>
      </c>
      <c r="J61" s="32"/>
      <c r="L61" s="25"/>
    </row>
    <row r="62" spans="1:22" ht="15.75" customHeight="1">
      <c r="A62" s="46"/>
      <c r="B62" s="269" t="s">
        <v>57</v>
      </c>
      <c r="C62" s="262"/>
      <c r="D62" s="258"/>
      <c r="E62" s="259"/>
      <c r="F62" s="260"/>
      <c r="G62" s="263"/>
      <c r="H62" s="261"/>
      <c r="I62" s="16"/>
    </row>
    <row r="63" spans="1:22" ht="15.75" hidden="1" customHeight="1">
      <c r="A63" s="46"/>
      <c r="B63" s="258" t="s">
        <v>58</v>
      </c>
      <c r="C63" s="262" t="s">
        <v>68</v>
      </c>
      <c r="D63" s="258" t="s">
        <v>69</v>
      </c>
      <c r="E63" s="259">
        <v>1752</v>
      </c>
      <c r="F63" s="260">
        <f>E63/100</f>
        <v>17.52</v>
      </c>
      <c r="G63" s="250">
        <v>848.37</v>
      </c>
      <c r="H63" s="261">
        <f>G63*F63/1000</f>
        <v>14.8634424</v>
      </c>
      <c r="I63" s="16">
        <v>0</v>
      </c>
    </row>
    <row r="64" spans="1:22" ht="15.75" customHeight="1">
      <c r="A64" s="46">
        <v>24</v>
      </c>
      <c r="B64" s="258" t="s">
        <v>159</v>
      </c>
      <c r="C64" s="262" t="s">
        <v>29</v>
      </c>
      <c r="D64" s="258" t="s">
        <v>249</v>
      </c>
      <c r="E64" s="259">
        <v>352</v>
      </c>
      <c r="F64" s="260">
        <f>E64*12</f>
        <v>4224</v>
      </c>
      <c r="G64" s="250">
        <v>2.6</v>
      </c>
      <c r="H64" s="261">
        <f>G64*F64/1000</f>
        <v>10.9824</v>
      </c>
      <c r="I64" s="16">
        <f>F64/12*G64</f>
        <v>915.2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0"/>
    </row>
    <row r="65" spans="1:21" ht="15.75" customHeight="1">
      <c r="A65" s="46"/>
      <c r="B65" s="269" t="s">
        <v>59</v>
      </c>
      <c r="C65" s="262"/>
      <c r="D65" s="258"/>
      <c r="E65" s="259"/>
      <c r="F65" s="260"/>
      <c r="G65" s="270"/>
      <c r="H65" s="261" t="s">
        <v>225</v>
      </c>
      <c r="I65" s="16"/>
      <c r="J65" s="37"/>
      <c r="K65" s="37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46">
        <v>19</v>
      </c>
      <c r="B66" s="18" t="s">
        <v>60</v>
      </c>
      <c r="C66" s="20" t="s">
        <v>218</v>
      </c>
      <c r="D66" s="18" t="s">
        <v>90</v>
      </c>
      <c r="E66" s="23">
        <v>10</v>
      </c>
      <c r="F66" s="250">
        <v>10</v>
      </c>
      <c r="G66" s="16">
        <v>237.74</v>
      </c>
      <c r="H66" s="244">
        <f t="shared" ref="H66:H80" si="7">SUM(F66*G66/1000)</f>
        <v>2.3774000000000002</v>
      </c>
      <c r="I66" s="16">
        <f>G66*3</f>
        <v>713.22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46"/>
      <c r="B67" s="18" t="s">
        <v>61</v>
      </c>
      <c r="C67" s="20" t="s">
        <v>218</v>
      </c>
      <c r="D67" s="18" t="s">
        <v>90</v>
      </c>
      <c r="E67" s="23">
        <v>5</v>
      </c>
      <c r="F67" s="250">
        <v>5</v>
      </c>
      <c r="G67" s="16">
        <v>81.510000000000005</v>
      </c>
      <c r="H67" s="244">
        <f t="shared" si="7"/>
        <v>0.40755000000000002</v>
      </c>
      <c r="I67" s="16">
        <v>0</v>
      </c>
      <c r="J67" s="5"/>
      <c r="K67" s="5"/>
      <c r="L67" s="5"/>
      <c r="M67" s="5"/>
      <c r="N67" s="5"/>
      <c r="O67" s="5"/>
      <c r="P67" s="5"/>
      <c r="Q67" s="5"/>
      <c r="R67" s="207"/>
      <c r="S67" s="207"/>
      <c r="T67" s="207"/>
      <c r="U67" s="207"/>
    </row>
    <row r="68" spans="1:21" ht="15.75" customHeight="1">
      <c r="A68" s="46">
        <v>25</v>
      </c>
      <c r="B68" s="18" t="s">
        <v>62</v>
      </c>
      <c r="C68" s="20" t="s">
        <v>220</v>
      </c>
      <c r="D68" s="18" t="s">
        <v>69</v>
      </c>
      <c r="E68" s="249">
        <v>23808</v>
      </c>
      <c r="F68" s="16">
        <f>SUM(E68/100)</f>
        <v>238.08</v>
      </c>
      <c r="G68" s="16">
        <v>226.79</v>
      </c>
      <c r="H68" s="244">
        <f t="shared" si="7"/>
        <v>53.994163200000003</v>
      </c>
      <c r="I68" s="16">
        <f>F68*G68</f>
        <v>53994.163200000003</v>
      </c>
    </row>
    <row r="69" spans="1:21" ht="15.75" customHeight="1">
      <c r="A69" s="46">
        <v>26</v>
      </c>
      <c r="B69" s="18" t="s">
        <v>63</v>
      </c>
      <c r="C69" s="20" t="s">
        <v>221</v>
      </c>
      <c r="D69" s="18"/>
      <c r="E69" s="249">
        <v>23808</v>
      </c>
      <c r="F69" s="16">
        <f>SUM(E69/1000)</f>
        <v>23.808</v>
      </c>
      <c r="G69" s="16">
        <v>176.61</v>
      </c>
      <c r="H69" s="244">
        <f t="shared" si="7"/>
        <v>4.2047308800000005</v>
      </c>
      <c r="I69" s="16">
        <f t="shared" ref="I69:I73" si="8">F69*G69</f>
        <v>4204.7308800000001</v>
      </c>
    </row>
    <row r="70" spans="1:21" ht="15.75" customHeight="1">
      <c r="A70" s="46">
        <v>27</v>
      </c>
      <c r="B70" s="18" t="s">
        <v>64</v>
      </c>
      <c r="C70" s="20" t="s">
        <v>101</v>
      </c>
      <c r="D70" s="18" t="s">
        <v>69</v>
      </c>
      <c r="E70" s="249">
        <v>3810</v>
      </c>
      <c r="F70" s="16">
        <f>SUM(E70/100)</f>
        <v>38.1</v>
      </c>
      <c r="G70" s="16">
        <v>2217.7800000000002</v>
      </c>
      <c r="H70" s="244">
        <f t="shared" si="7"/>
        <v>84.49741800000001</v>
      </c>
      <c r="I70" s="16">
        <f t="shared" si="8"/>
        <v>84497.418000000005</v>
      </c>
    </row>
    <row r="71" spans="1:21" ht="15.75" customHeight="1">
      <c r="A71" s="46">
        <v>28</v>
      </c>
      <c r="B71" s="264" t="s">
        <v>222</v>
      </c>
      <c r="C71" s="20" t="s">
        <v>40</v>
      </c>
      <c r="D71" s="18"/>
      <c r="E71" s="249">
        <v>23.4</v>
      </c>
      <c r="F71" s="16">
        <f>SUM(E71)</f>
        <v>23.4</v>
      </c>
      <c r="G71" s="16">
        <v>42.67</v>
      </c>
      <c r="H71" s="244">
        <f t="shared" si="7"/>
        <v>0.99847799999999998</v>
      </c>
      <c r="I71" s="16">
        <f t="shared" si="8"/>
        <v>998.47799999999995</v>
      </c>
    </row>
    <row r="72" spans="1:21" ht="15.75" customHeight="1">
      <c r="A72" s="46">
        <v>29</v>
      </c>
      <c r="B72" s="264" t="s">
        <v>232</v>
      </c>
      <c r="C72" s="20" t="s">
        <v>40</v>
      </c>
      <c r="D72" s="18"/>
      <c r="E72" s="249">
        <v>23.4</v>
      </c>
      <c r="F72" s="16">
        <f>SUM(E72)</f>
        <v>23.4</v>
      </c>
      <c r="G72" s="16">
        <v>39.81</v>
      </c>
      <c r="H72" s="244">
        <f t="shared" si="7"/>
        <v>0.93155399999999999</v>
      </c>
      <c r="I72" s="16">
        <f t="shared" si="8"/>
        <v>931.55399999999997</v>
      </c>
    </row>
    <row r="73" spans="1:21" ht="15.75" hidden="1" customHeight="1">
      <c r="A73" s="46"/>
      <c r="B73" s="18" t="s">
        <v>77</v>
      </c>
      <c r="C73" s="20" t="s">
        <v>78</v>
      </c>
      <c r="D73" s="18" t="s">
        <v>69</v>
      </c>
      <c r="E73" s="23">
        <v>5</v>
      </c>
      <c r="F73" s="250">
        <f>SUM(E73)</f>
        <v>5</v>
      </c>
      <c r="G73" s="16">
        <v>53.32</v>
      </c>
      <c r="H73" s="244">
        <f t="shared" si="7"/>
        <v>0.2666</v>
      </c>
      <c r="I73" s="16">
        <f t="shared" si="8"/>
        <v>266.60000000000002</v>
      </c>
    </row>
    <row r="74" spans="1:21" ht="15.75" customHeight="1">
      <c r="A74" s="46">
        <v>30</v>
      </c>
      <c r="B74" s="18" t="s">
        <v>233</v>
      </c>
      <c r="C74" s="20" t="s">
        <v>78</v>
      </c>
      <c r="D74" s="18" t="s">
        <v>36</v>
      </c>
      <c r="E74" s="23">
        <v>1</v>
      </c>
      <c r="F74" s="237">
        <v>12</v>
      </c>
      <c r="G74" s="16">
        <v>711</v>
      </c>
      <c r="H74" s="244">
        <v>8.5310000000000006</v>
      </c>
      <c r="I74" s="16">
        <f>F74/12*G74</f>
        <v>711</v>
      </c>
    </row>
    <row r="75" spans="1:21" ht="15.75" hidden="1" customHeight="1">
      <c r="A75" s="46"/>
      <c r="B75" s="198" t="s">
        <v>97</v>
      </c>
      <c r="C75" s="20"/>
      <c r="D75" s="18"/>
      <c r="E75" s="23"/>
      <c r="F75" s="16"/>
      <c r="G75" s="16"/>
      <c r="H75" s="244" t="s">
        <v>225</v>
      </c>
      <c r="I75" s="16"/>
    </row>
    <row r="76" spans="1:21" ht="15.75" hidden="1" customHeight="1">
      <c r="A76" s="46"/>
      <c r="B76" s="18" t="s">
        <v>98</v>
      </c>
      <c r="C76" s="20" t="s">
        <v>38</v>
      </c>
      <c r="D76" s="18" t="s">
        <v>90</v>
      </c>
      <c r="E76" s="23">
        <v>2</v>
      </c>
      <c r="F76" s="237">
        <v>0.2</v>
      </c>
      <c r="G76" s="16">
        <v>536.23</v>
      </c>
      <c r="H76" s="244">
        <v>0.107</v>
      </c>
      <c r="I76" s="16">
        <v>0</v>
      </c>
    </row>
    <row r="77" spans="1:21" ht="15.75" hidden="1" customHeight="1">
      <c r="A77" s="46"/>
      <c r="B77" s="18" t="s">
        <v>136</v>
      </c>
      <c r="C77" s="20" t="s">
        <v>37</v>
      </c>
      <c r="D77" s="18"/>
      <c r="E77" s="23">
        <v>1</v>
      </c>
      <c r="F77" s="250">
        <f>SUM(E77)</f>
        <v>1</v>
      </c>
      <c r="G77" s="16">
        <v>383.25</v>
      </c>
      <c r="H77" s="244">
        <f t="shared" si="7"/>
        <v>0.38324999999999998</v>
      </c>
      <c r="I77" s="16">
        <v>0</v>
      </c>
    </row>
    <row r="78" spans="1:21" ht="15.75" hidden="1" customHeight="1">
      <c r="A78" s="46"/>
      <c r="B78" s="18" t="s">
        <v>99</v>
      </c>
      <c r="C78" s="20" t="s">
        <v>37</v>
      </c>
      <c r="D78" s="18"/>
      <c r="E78" s="23">
        <v>1</v>
      </c>
      <c r="F78" s="16">
        <v>1</v>
      </c>
      <c r="G78" s="16">
        <v>911.85</v>
      </c>
      <c r="H78" s="244">
        <f>F78*G78/1000</f>
        <v>0.91185000000000005</v>
      </c>
      <c r="I78" s="16">
        <v>0</v>
      </c>
    </row>
    <row r="79" spans="1:21" ht="15.75" hidden="1" customHeight="1">
      <c r="A79" s="46"/>
      <c r="B79" s="265" t="s">
        <v>100</v>
      </c>
      <c r="C79" s="20"/>
      <c r="D79" s="18"/>
      <c r="E79" s="23"/>
      <c r="F79" s="16"/>
      <c r="G79" s="16" t="s">
        <v>225</v>
      </c>
      <c r="H79" s="244" t="s">
        <v>225</v>
      </c>
      <c r="I79" s="16"/>
    </row>
    <row r="80" spans="1:21" ht="15.75" hidden="1" customHeight="1">
      <c r="A80" s="46"/>
      <c r="B80" s="81" t="s">
        <v>226</v>
      </c>
      <c r="C80" s="20" t="s">
        <v>101</v>
      </c>
      <c r="D80" s="18"/>
      <c r="E80" s="23"/>
      <c r="F80" s="16">
        <v>0.6</v>
      </c>
      <c r="G80" s="16">
        <v>2949.85</v>
      </c>
      <c r="H80" s="244">
        <f t="shared" si="7"/>
        <v>1.7699099999999999</v>
      </c>
      <c r="I80" s="16">
        <v>0</v>
      </c>
      <c r="J80" s="5"/>
      <c r="K80" s="5"/>
      <c r="L80" s="5"/>
      <c r="M80" s="5"/>
      <c r="N80" s="5"/>
      <c r="O80" s="5"/>
      <c r="P80" s="5"/>
      <c r="Q80" s="5"/>
      <c r="R80" s="197"/>
      <c r="S80" s="197"/>
      <c r="T80" s="197"/>
      <c r="U80" s="197"/>
    </row>
    <row r="81" spans="1:21" ht="15.75" hidden="1" customHeight="1">
      <c r="A81" s="122"/>
      <c r="B81" s="198" t="s">
        <v>223</v>
      </c>
      <c r="C81" s="198"/>
      <c r="D81" s="198"/>
      <c r="E81" s="198"/>
      <c r="F81" s="198"/>
      <c r="G81" s="198"/>
      <c r="H81" s="198"/>
      <c r="I81" s="23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1:21" ht="15.75" hidden="1" customHeight="1">
      <c r="A82" s="46"/>
      <c r="B82" s="247" t="s">
        <v>224</v>
      </c>
      <c r="C82" s="20"/>
      <c r="D82" s="18"/>
      <c r="E82" s="238"/>
      <c r="F82" s="16">
        <v>1</v>
      </c>
      <c r="G82" s="16">
        <v>21062.799999999999</v>
      </c>
      <c r="H82" s="244">
        <f>G82*F82/1000</f>
        <v>21.062799999999999</v>
      </c>
      <c r="I82" s="16">
        <v>0</v>
      </c>
      <c r="J82" s="5"/>
      <c r="K82" s="5"/>
      <c r="L82" s="5"/>
      <c r="M82" s="5"/>
      <c r="N82" s="5"/>
      <c r="O82" s="5"/>
      <c r="P82" s="5"/>
      <c r="Q82" s="5"/>
      <c r="R82" s="197"/>
      <c r="S82" s="197"/>
      <c r="T82" s="197"/>
      <c r="U82" s="197"/>
    </row>
    <row r="83" spans="1:21" ht="15.75" customHeight="1">
      <c r="A83" s="234" t="s">
        <v>242</v>
      </c>
      <c r="B83" s="235"/>
      <c r="C83" s="235"/>
      <c r="D83" s="235"/>
      <c r="E83" s="235"/>
      <c r="F83" s="235"/>
      <c r="G83" s="235"/>
      <c r="H83" s="235"/>
      <c r="I83" s="236"/>
    </row>
    <row r="84" spans="1:21" ht="15.75" customHeight="1">
      <c r="A84" s="46">
        <v>31</v>
      </c>
      <c r="B84" s="247" t="s">
        <v>227</v>
      </c>
      <c r="C84" s="20" t="s">
        <v>73</v>
      </c>
      <c r="D84" s="266" t="s">
        <v>74</v>
      </c>
      <c r="E84" s="16">
        <v>5816.5</v>
      </c>
      <c r="F84" s="16">
        <f>SUM(E84*12)</f>
        <v>69798</v>
      </c>
      <c r="G84" s="16">
        <v>2.54</v>
      </c>
      <c r="H84" s="244">
        <f>SUM(F84*G84/1000)</f>
        <v>177.28692000000001</v>
      </c>
      <c r="I84" s="16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197"/>
      <c r="S84" s="197"/>
      <c r="T84" s="197"/>
      <c r="U84" s="197"/>
    </row>
    <row r="85" spans="1:21" ht="31.5" customHeight="1">
      <c r="A85" s="46">
        <v>32</v>
      </c>
      <c r="B85" s="18" t="s">
        <v>102</v>
      </c>
      <c r="C85" s="20"/>
      <c r="D85" s="266" t="s">
        <v>74</v>
      </c>
      <c r="E85" s="249">
        <f>E84</f>
        <v>5816.5</v>
      </c>
      <c r="F85" s="16">
        <f>E85*12</f>
        <v>69798</v>
      </c>
      <c r="G85" s="16">
        <v>2.0499999999999998</v>
      </c>
      <c r="H85" s="244">
        <f>F85*G85/1000</f>
        <v>143.08589999999998</v>
      </c>
      <c r="I85" s="16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197"/>
      <c r="S85" s="197"/>
      <c r="T85" s="197"/>
      <c r="U85" s="197"/>
    </row>
    <row r="86" spans="1:21" ht="15.75" customHeight="1">
      <c r="A86" s="122"/>
      <c r="B86" s="68" t="s">
        <v>108</v>
      </c>
      <c r="C86" s="70"/>
      <c r="D86" s="19"/>
      <c r="E86" s="19"/>
      <c r="F86" s="19"/>
      <c r="G86" s="23"/>
      <c r="H86" s="23"/>
      <c r="I86" s="53">
        <f>I16+I17+I18+I19+I20+I21+I22+I23+I24+I25+I26+I27+I28+I31+I32+I33+I34+I35+I48+I49+I50+I51+I52+I64+I68+I69+I70+I71+I72+I74+I84+I85</f>
        <v>240212.14731040006</v>
      </c>
    </row>
    <row r="87" spans="1:21" ht="15.75" customHeight="1">
      <c r="A87" s="122"/>
      <c r="B87" s="189" t="s">
        <v>80</v>
      </c>
      <c r="C87" s="189"/>
      <c r="D87" s="189"/>
      <c r="E87" s="189"/>
      <c r="F87" s="189"/>
      <c r="G87" s="189"/>
      <c r="H87" s="189"/>
      <c r="I87" s="189"/>
    </row>
    <row r="88" spans="1:21" ht="15.75" customHeight="1">
      <c r="A88" s="46">
        <v>33</v>
      </c>
      <c r="B88" s="138" t="s">
        <v>251</v>
      </c>
      <c r="C88" s="243" t="s">
        <v>119</v>
      </c>
      <c r="D88" s="81"/>
      <c r="E88" s="16"/>
      <c r="F88" s="16">
        <v>7</v>
      </c>
      <c r="G88" s="16">
        <v>185.81</v>
      </c>
      <c r="H88" s="244">
        <f t="shared" ref="H88" si="9">G88*F88/1000</f>
        <v>1.30067</v>
      </c>
      <c r="I88" s="16">
        <f>G88*1</f>
        <v>185.81</v>
      </c>
      <c r="J88" s="5"/>
      <c r="K88" s="5"/>
      <c r="L88" s="5"/>
      <c r="M88" s="5"/>
      <c r="N88" s="5"/>
      <c r="O88" s="5"/>
      <c r="P88" s="5"/>
      <c r="Q88" s="5"/>
      <c r="R88" s="197"/>
      <c r="S88" s="197"/>
      <c r="T88" s="197"/>
      <c r="U88" s="197"/>
    </row>
    <row r="89" spans="1:21" ht="15.75" customHeight="1">
      <c r="A89" s="46">
        <v>34</v>
      </c>
      <c r="B89" s="138" t="s">
        <v>254</v>
      </c>
      <c r="C89" s="243" t="s">
        <v>110</v>
      </c>
      <c r="D89" s="81"/>
      <c r="E89" s="16"/>
      <c r="F89" s="16">
        <v>3.5</v>
      </c>
      <c r="G89" s="16">
        <v>2057</v>
      </c>
      <c r="H89" s="244">
        <f>G89*F89/1000</f>
        <v>7.1994999999999996</v>
      </c>
      <c r="I89" s="16">
        <f>G89*0.5</f>
        <v>1028.5</v>
      </c>
      <c r="J89" s="5"/>
      <c r="K89" s="5"/>
      <c r="L89" s="5"/>
      <c r="M89" s="5"/>
      <c r="N89" s="5"/>
      <c r="O89" s="5"/>
      <c r="P89" s="5"/>
      <c r="Q89" s="5"/>
      <c r="R89" s="197"/>
      <c r="S89" s="197"/>
      <c r="T89" s="197"/>
      <c r="U89" s="197"/>
    </row>
    <row r="90" spans="1:21" ht="15.75" customHeight="1">
      <c r="A90" s="46">
        <v>35</v>
      </c>
      <c r="B90" s="138" t="s">
        <v>261</v>
      </c>
      <c r="C90" s="243" t="s">
        <v>262</v>
      </c>
      <c r="D90" s="81"/>
      <c r="E90" s="16"/>
      <c r="F90" s="16">
        <f>1/100</f>
        <v>0.01</v>
      </c>
      <c r="G90" s="16">
        <v>7033.13</v>
      </c>
      <c r="H90" s="244">
        <f t="shared" ref="H90:H91" si="10">G90*F90/1000</f>
        <v>7.0331299999999999E-2</v>
      </c>
      <c r="I90" s="16">
        <f>G90*0.01</f>
        <v>70.331299999999999</v>
      </c>
      <c r="J90" s="5"/>
      <c r="K90" s="5"/>
      <c r="L90" s="5"/>
      <c r="M90" s="5"/>
      <c r="N90" s="5"/>
      <c r="O90" s="5"/>
      <c r="P90" s="5"/>
      <c r="Q90" s="5"/>
      <c r="R90" s="197"/>
      <c r="S90" s="197"/>
      <c r="T90" s="197"/>
      <c r="U90" s="197"/>
    </row>
    <row r="91" spans="1:21" ht="15.75" customHeight="1">
      <c r="A91" s="46">
        <v>36</v>
      </c>
      <c r="B91" s="138" t="s">
        <v>263</v>
      </c>
      <c r="C91" s="243" t="s">
        <v>264</v>
      </c>
      <c r="D91" s="81"/>
      <c r="E91" s="16"/>
      <c r="F91" s="16">
        <v>1</v>
      </c>
      <c r="G91" s="16">
        <v>730</v>
      </c>
      <c r="H91" s="244">
        <f t="shared" si="10"/>
        <v>0.73</v>
      </c>
      <c r="I91" s="16">
        <f>G91</f>
        <v>730</v>
      </c>
      <c r="J91" s="5"/>
      <c r="K91" s="5"/>
      <c r="L91" s="5"/>
      <c r="M91" s="5"/>
      <c r="N91" s="5"/>
      <c r="O91" s="5"/>
      <c r="P91" s="5"/>
      <c r="Q91" s="5"/>
      <c r="R91" s="197"/>
      <c r="S91" s="197"/>
      <c r="T91" s="197"/>
      <c r="U91" s="197"/>
    </row>
    <row r="92" spans="1:21" ht="15.75" customHeight="1">
      <c r="A92" s="46"/>
      <c r="B92" s="75" t="s">
        <v>66</v>
      </c>
      <c r="C92" s="71"/>
      <c r="D92" s="124"/>
      <c r="E92" s="71">
        <v>1</v>
      </c>
      <c r="F92" s="71"/>
      <c r="G92" s="71"/>
      <c r="H92" s="71"/>
      <c r="I92" s="53">
        <f>SUM(I88:I91)</f>
        <v>2014.6413</v>
      </c>
    </row>
    <row r="93" spans="1:21" ht="15.75" customHeight="1">
      <c r="A93" s="46"/>
      <c r="B93" s="81" t="s">
        <v>103</v>
      </c>
      <c r="C93" s="19"/>
      <c r="D93" s="19"/>
      <c r="E93" s="72"/>
      <c r="F93" s="72"/>
      <c r="G93" s="73"/>
      <c r="H93" s="73"/>
      <c r="I93" s="22">
        <v>0</v>
      </c>
    </row>
    <row r="94" spans="1:21" ht="15.75" customHeight="1">
      <c r="A94" s="125"/>
      <c r="B94" s="76" t="s">
        <v>67</v>
      </c>
      <c r="C94" s="59"/>
      <c r="D94" s="59"/>
      <c r="E94" s="59"/>
      <c r="F94" s="59"/>
      <c r="G94" s="59"/>
      <c r="H94" s="59"/>
      <c r="I94" s="74">
        <f>I86+I92</f>
        <v>242226.78861040005</v>
      </c>
    </row>
    <row r="95" spans="1:21" ht="15.75" customHeight="1">
      <c r="A95" s="223" t="s">
        <v>297</v>
      </c>
      <c r="B95" s="223"/>
      <c r="C95" s="223"/>
      <c r="D95" s="223"/>
      <c r="E95" s="223"/>
      <c r="F95" s="223"/>
      <c r="G95" s="223"/>
      <c r="H95" s="223"/>
      <c r="I95" s="223"/>
    </row>
    <row r="96" spans="1:21" ht="15.75" customHeight="1">
      <c r="A96" s="201"/>
      <c r="B96" s="224" t="s">
        <v>298</v>
      </c>
      <c r="C96" s="224"/>
      <c r="D96" s="224"/>
      <c r="E96" s="224"/>
      <c r="F96" s="224"/>
      <c r="G96" s="224"/>
      <c r="H96" s="241"/>
      <c r="I96" s="3"/>
    </row>
    <row r="97" spans="1:9" ht="15.75" customHeight="1">
      <c r="A97" s="197"/>
      <c r="B97" s="212" t="s">
        <v>7</v>
      </c>
      <c r="C97" s="212"/>
      <c r="D97" s="212"/>
      <c r="E97" s="212"/>
      <c r="F97" s="212"/>
      <c r="G97" s="212"/>
      <c r="H97" s="36"/>
      <c r="I97" s="5"/>
    </row>
    <row r="98" spans="1:9" ht="15.75" customHeight="1">
      <c r="A98" s="11"/>
      <c r="B98" s="11"/>
      <c r="C98" s="11"/>
      <c r="D98" s="11"/>
      <c r="E98" s="11"/>
      <c r="F98" s="11"/>
      <c r="G98" s="11"/>
      <c r="H98" s="11"/>
      <c r="I98" s="11"/>
    </row>
    <row r="99" spans="1:9" ht="15.75" customHeight="1">
      <c r="A99" s="225" t="s">
        <v>8</v>
      </c>
      <c r="B99" s="225"/>
      <c r="C99" s="225"/>
      <c r="D99" s="225"/>
      <c r="E99" s="225"/>
      <c r="F99" s="225"/>
      <c r="G99" s="225"/>
      <c r="H99" s="225"/>
      <c r="I99" s="225"/>
    </row>
    <row r="100" spans="1:9" ht="15.75" customHeight="1">
      <c r="A100" s="225" t="s">
        <v>9</v>
      </c>
      <c r="B100" s="225"/>
      <c r="C100" s="225"/>
      <c r="D100" s="225"/>
      <c r="E100" s="225"/>
      <c r="F100" s="225"/>
      <c r="G100" s="225"/>
      <c r="H100" s="225"/>
      <c r="I100" s="225"/>
    </row>
    <row r="101" spans="1:9" ht="15.75" customHeight="1">
      <c r="A101" s="221" t="s">
        <v>82</v>
      </c>
      <c r="B101" s="221"/>
      <c r="C101" s="221"/>
      <c r="D101" s="221"/>
      <c r="E101" s="221"/>
      <c r="F101" s="221"/>
      <c r="G101" s="221"/>
      <c r="H101" s="221"/>
      <c r="I101" s="221"/>
    </row>
    <row r="102" spans="1:9" ht="15.75" customHeight="1">
      <c r="A102" s="12"/>
    </row>
    <row r="103" spans="1:9" ht="15.75" customHeight="1">
      <c r="A103" s="222" t="s">
        <v>11</v>
      </c>
      <c r="B103" s="222"/>
      <c r="C103" s="222"/>
      <c r="D103" s="222"/>
      <c r="E103" s="222"/>
      <c r="F103" s="222"/>
      <c r="G103" s="222"/>
      <c r="H103" s="222"/>
      <c r="I103" s="222"/>
    </row>
    <row r="104" spans="1:9" ht="15.75" customHeight="1">
      <c r="A104" s="4"/>
    </row>
    <row r="105" spans="1:9" ht="15.75" customHeight="1">
      <c r="B105" s="200" t="s">
        <v>12</v>
      </c>
      <c r="C105" s="214" t="s">
        <v>142</v>
      </c>
      <c r="D105" s="214"/>
      <c r="E105" s="214"/>
      <c r="F105" s="239"/>
      <c r="I105" s="196"/>
    </row>
    <row r="106" spans="1:9" ht="15.75" customHeight="1">
      <c r="A106" s="197"/>
      <c r="C106" s="212" t="s">
        <v>13</v>
      </c>
      <c r="D106" s="212"/>
      <c r="E106" s="212"/>
      <c r="F106" s="36"/>
      <c r="I106" s="195" t="s">
        <v>14</v>
      </c>
    </row>
    <row r="107" spans="1:9" ht="15.75" customHeight="1">
      <c r="A107" s="37"/>
      <c r="C107" s="13"/>
      <c r="D107" s="13"/>
      <c r="G107" s="13"/>
      <c r="H107" s="13"/>
    </row>
    <row r="108" spans="1:9" ht="15.75" customHeight="1">
      <c r="B108" s="200" t="s">
        <v>15</v>
      </c>
      <c r="C108" s="213"/>
      <c r="D108" s="213"/>
      <c r="E108" s="213"/>
      <c r="F108" s="240"/>
      <c r="I108" s="196"/>
    </row>
    <row r="109" spans="1:9" ht="15.75" customHeight="1">
      <c r="A109" s="197"/>
      <c r="C109" s="207" t="s">
        <v>13</v>
      </c>
      <c r="D109" s="207"/>
      <c r="E109" s="207"/>
      <c r="F109" s="197"/>
      <c r="I109" s="195" t="s">
        <v>14</v>
      </c>
    </row>
    <row r="110" spans="1:9" ht="15.75" customHeight="1">
      <c r="A110" s="4" t="s">
        <v>16</v>
      </c>
    </row>
    <row r="111" spans="1:9" ht="15.75" customHeight="1">
      <c r="A111" s="220" t="s">
        <v>17</v>
      </c>
      <c r="B111" s="220"/>
      <c r="C111" s="220"/>
      <c r="D111" s="220"/>
      <c r="E111" s="220"/>
      <c r="F111" s="220"/>
      <c r="G111" s="220"/>
      <c r="H111" s="220"/>
      <c r="I111" s="220"/>
    </row>
    <row r="112" spans="1:9" ht="45" customHeight="1">
      <c r="A112" s="219" t="s">
        <v>18</v>
      </c>
      <c r="B112" s="219"/>
      <c r="C112" s="219"/>
      <c r="D112" s="219"/>
      <c r="E112" s="219"/>
      <c r="F112" s="219"/>
      <c r="G112" s="219"/>
      <c r="H112" s="219"/>
      <c r="I112" s="219"/>
    </row>
    <row r="113" spans="1:9" ht="30" customHeight="1">
      <c r="A113" s="219" t="s">
        <v>19</v>
      </c>
      <c r="B113" s="219"/>
      <c r="C113" s="219"/>
      <c r="D113" s="219"/>
      <c r="E113" s="219"/>
      <c r="F113" s="219"/>
      <c r="G113" s="219"/>
      <c r="H113" s="219"/>
      <c r="I113" s="219"/>
    </row>
    <row r="114" spans="1:9" ht="30" customHeight="1">
      <c r="A114" s="219" t="s">
        <v>24</v>
      </c>
      <c r="B114" s="219"/>
      <c r="C114" s="219"/>
      <c r="D114" s="219"/>
      <c r="E114" s="219"/>
      <c r="F114" s="219"/>
      <c r="G114" s="219"/>
      <c r="H114" s="219"/>
      <c r="I114" s="219"/>
    </row>
    <row r="115" spans="1:9" ht="15" customHeight="1">
      <c r="A115" s="219" t="s">
        <v>23</v>
      </c>
      <c r="B115" s="219"/>
      <c r="C115" s="219"/>
      <c r="D115" s="219"/>
      <c r="E115" s="219"/>
      <c r="F115" s="219"/>
      <c r="G115" s="219"/>
      <c r="H115" s="219"/>
      <c r="I115" s="219"/>
    </row>
  </sheetData>
  <autoFilter ref="I12:I62"/>
  <mergeCells count="28"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  <mergeCell ref="A95:I95"/>
    <mergeCell ref="B96:G96"/>
    <mergeCell ref="B97:G97"/>
    <mergeCell ref="A99:I99"/>
    <mergeCell ref="A100:I100"/>
    <mergeCell ref="A101:I101"/>
    <mergeCell ref="A15:I15"/>
    <mergeCell ref="A29:I29"/>
    <mergeCell ref="A47:I47"/>
    <mergeCell ref="A57:I57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1" t="s">
        <v>128</v>
      </c>
      <c r="I1" s="40"/>
      <c r="J1" s="1"/>
      <c r="K1" s="1"/>
      <c r="L1" s="1"/>
      <c r="M1" s="1"/>
    </row>
    <row r="2" spans="1:13" ht="15.75" customHeight="1">
      <c r="A2" s="42" t="s">
        <v>85</v>
      </c>
      <c r="J2" s="2"/>
      <c r="K2" s="2"/>
      <c r="L2" s="2"/>
      <c r="M2" s="2"/>
    </row>
    <row r="3" spans="1:13" ht="15.75" customHeight="1">
      <c r="A3" s="226" t="s">
        <v>299</v>
      </c>
      <c r="B3" s="226"/>
      <c r="C3" s="226"/>
      <c r="D3" s="226"/>
      <c r="E3" s="226"/>
      <c r="F3" s="226"/>
      <c r="G3" s="226"/>
      <c r="H3" s="226"/>
      <c r="I3" s="226"/>
      <c r="J3" s="3"/>
      <c r="K3" s="3"/>
      <c r="L3" s="3"/>
    </row>
    <row r="4" spans="1:13" ht="31.5" customHeight="1">
      <c r="A4" s="227" t="s">
        <v>228</v>
      </c>
      <c r="B4" s="227"/>
      <c r="C4" s="227"/>
      <c r="D4" s="227"/>
      <c r="E4" s="227"/>
      <c r="F4" s="227"/>
      <c r="G4" s="227"/>
      <c r="H4" s="227"/>
      <c r="I4" s="227"/>
    </row>
    <row r="5" spans="1:13" ht="15.75" customHeight="1">
      <c r="A5" s="226" t="s">
        <v>75</v>
      </c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5.75" customHeight="1">
      <c r="A6" s="2"/>
      <c r="B6" s="199"/>
      <c r="C6" s="199"/>
      <c r="D6" s="199"/>
      <c r="E6" s="199"/>
      <c r="F6" s="199"/>
      <c r="G6" s="199"/>
      <c r="H6" s="199"/>
      <c r="I6" s="51">
        <v>42551</v>
      </c>
      <c r="J6" s="2"/>
      <c r="K6" s="2"/>
      <c r="L6" s="2"/>
      <c r="M6" s="2"/>
    </row>
    <row r="7" spans="1:13" ht="15.75" customHeight="1">
      <c r="B7" s="200"/>
      <c r="C7" s="200"/>
      <c r="D7" s="20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5" t="s">
        <v>239</v>
      </c>
      <c r="B8" s="205"/>
      <c r="C8" s="205"/>
      <c r="D8" s="205"/>
      <c r="E8" s="205"/>
      <c r="F8" s="205"/>
      <c r="G8" s="205"/>
      <c r="H8" s="205"/>
      <c r="I8" s="20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06" t="s">
        <v>238</v>
      </c>
      <c r="B10" s="206"/>
      <c r="C10" s="206"/>
      <c r="D10" s="206"/>
      <c r="E10" s="206"/>
      <c r="F10" s="206"/>
      <c r="G10" s="206"/>
      <c r="H10" s="206"/>
      <c r="I10" s="20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29" t="s">
        <v>79</v>
      </c>
      <c r="B14" s="229"/>
      <c r="C14" s="229"/>
      <c r="D14" s="229"/>
      <c r="E14" s="229"/>
      <c r="F14" s="229"/>
      <c r="G14" s="229"/>
      <c r="H14" s="229"/>
      <c r="I14" s="229"/>
      <c r="J14" s="8"/>
      <c r="K14" s="8"/>
      <c r="L14" s="8"/>
      <c r="M14" s="8"/>
    </row>
    <row r="15" spans="1:13" ht="15.75" customHeight="1">
      <c r="A15" s="230" t="s">
        <v>4</v>
      </c>
      <c r="B15" s="230"/>
      <c r="C15" s="230"/>
      <c r="D15" s="230"/>
      <c r="E15" s="230"/>
      <c r="F15" s="230"/>
      <c r="G15" s="230"/>
      <c r="H15" s="230"/>
      <c r="I15" s="230"/>
      <c r="J15" s="8"/>
      <c r="K15" s="8"/>
      <c r="L15" s="8"/>
      <c r="M15" s="8"/>
    </row>
    <row r="16" spans="1:13" ht="15.75" customHeight="1">
      <c r="A16" s="46">
        <v>1</v>
      </c>
      <c r="B16" s="247" t="s">
        <v>130</v>
      </c>
      <c r="C16" s="248" t="s">
        <v>194</v>
      </c>
      <c r="D16" s="247" t="s">
        <v>195</v>
      </c>
      <c r="E16" s="249">
        <v>176.24</v>
      </c>
      <c r="F16" s="250">
        <f>SUM(E16*156/100)</f>
        <v>274.93440000000004</v>
      </c>
      <c r="G16" s="250">
        <v>187.48</v>
      </c>
      <c r="H16" s="251">
        <f t="shared" ref="H16:H26" si="0">SUM(F16*G16/1000)</f>
        <v>51.544701312000008</v>
      </c>
      <c r="I16" s="16">
        <f>F16/12*G16</f>
        <v>4295.3917760000004</v>
      </c>
      <c r="J16" s="8"/>
      <c r="K16" s="8"/>
      <c r="L16" s="8"/>
      <c r="M16" s="8"/>
    </row>
    <row r="17" spans="1:13" ht="15.75" customHeight="1">
      <c r="A17" s="46">
        <v>2</v>
      </c>
      <c r="B17" s="247" t="s">
        <v>151</v>
      </c>
      <c r="C17" s="248" t="s">
        <v>194</v>
      </c>
      <c r="D17" s="247" t="s">
        <v>196</v>
      </c>
      <c r="E17" s="249">
        <v>704.96</v>
      </c>
      <c r="F17" s="250">
        <f>SUM(E17*104/100)</f>
        <v>733.15839999999992</v>
      </c>
      <c r="G17" s="250">
        <v>187.48</v>
      </c>
      <c r="H17" s="251">
        <v>137.453</v>
      </c>
      <c r="I17" s="16">
        <f>F17/12*G17</f>
        <v>11454.378069333332</v>
      </c>
      <c r="J17" s="31"/>
      <c r="K17" s="8"/>
      <c r="L17" s="8"/>
      <c r="M17" s="8"/>
    </row>
    <row r="18" spans="1:13" ht="15.75" customHeight="1">
      <c r="A18" s="46">
        <v>3</v>
      </c>
      <c r="B18" s="247" t="s">
        <v>152</v>
      </c>
      <c r="C18" s="248" t="s">
        <v>194</v>
      </c>
      <c r="D18" s="247" t="s">
        <v>197</v>
      </c>
      <c r="E18" s="249">
        <f>SUM(E16+E17)</f>
        <v>881.2</v>
      </c>
      <c r="F18" s="250">
        <f>SUM(E18*24/100)</f>
        <v>211.48800000000003</v>
      </c>
      <c r="G18" s="250">
        <v>539.30999999999995</v>
      </c>
      <c r="H18" s="251">
        <f t="shared" si="0"/>
        <v>114.05759328000001</v>
      </c>
      <c r="I18" s="16">
        <f>F18/12*G18</f>
        <v>9504.7994400000007</v>
      </c>
      <c r="J18" s="31"/>
      <c r="K18" s="8"/>
      <c r="L18" s="8"/>
      <c r="M18" s="8"/>
    </row>
    <row r="19" spans="1:13" ht="15.75" hidden="1" customHeight="1">
      <c r="A19" s="46">
        <v>4</v>
      </c>
      <c r="B19" s="247" t="s">
        <v>198</v>
      </c>
      <c r="C19" s="248" t="s">
        <v>199</v>
      </c>
      <c r="D19" s="247" t="s">
        <v>200</v>
      </c>
      <c r="E19" s="249">
        <v>28.8</v>
      </c>
      <c r="F19" s="250">
        <f>SUM(E19/10)</f>
        <v>2.88</v>
      </c>
      <c r="G19" s="250">
        <v>181.91</v>
      </c>
      <c r="H19" s="251">
        <f t="shared" si="0"/>
        <v>0.52390080000000006</v>
      </c>
      <c r="I19" s="16">
        <v>0</v>
      </c>
      <c r="J19" s="31"/>
      <c r="K19" s="8"/>
      <c r="L19" s="8"/>
      <c r="M19" s="8"/>
    </row>
    <row r="20" spans="1:13" ht="15.75" customHeight="1">
      <c r="A20" s="46">
        <v>4</v>
      </c>
      <c r="B20" s="247" t="s">
        <v>164</v>
      </c>
      <c r="C20" s="248" t="s">
        <v>194</v>
      </c>
      <c r="D20" s="247" t="s">
        <v>36</v>
      </c>
      <c r="E20" s="249">
        <v>17.5</v>
      </c>
      <c r="F20" s="250">
        <f>SUM(E20*12/100)</f>
        <v>2.1</v>
      </c>
      <c r="G20" s="250">
        <v>232.92</v>
      </c>
      <c r="H20" s="251">
        <f t="shared" si="0"/>
        <v>0.48913200000000001</v>
      </c>
      <c r="I20" s="16">
        <f>F20/12*G20</f>
        <v>40.761000000000003</v>
      </c>
      <c r="J20" s="31"/>
      <c r="K20" s="8"/>
      <c r="L20" s="8"/>
      <c r="M20" s="8"/>
    </row>
    <row r="21" spans="1:13" ht="15.75" hidden="1" customHeight="1">
      <c r="A21" s="46">
        <v>5</v>
      </c>
      <c r="B21" s="247" t="s">
        <v>165</v>
      </c>
      <c r="C21" s="248" t="s">
        <v>194</v>
      </c>
      <c r="D21" s="247" t="s">
        <v>188</v>
      </c>
      <c r="E21" s="249">
        <v>5.94</v>
      </c>
      <c r="F21" s="250">
        <f>SUM(E21*6/100)</f>
        <v>0.35639999999999999</v>
      </c>
      <c r="G21" s="250">
        <v>231.03</v>
      </c>
      <c r="H21" s="251">
        <f t="shared" si="0"/>
        <v>8.2339091999999989E-2</v>
      </c>
      <c r="I21" s="16">
        <f>F21/6*G21</f>
        <v>13.723182</v>
      </c>
      <c r="J21" s="31"/>
      <c r="K21" s="8"/>
      <c r="L21" s="8"/>
      <c r="M21" s="8"/>
    </row>
    <row r="22" spans="1:13" ht="15.75" hidden="1" customHeight="1">
      <c r="A22" s="46">
        <v>7</v>
      </c>
      <c r="B22" s="247" t="s">
        <v>201</v>
      </c>
      <c r="C22" s="248" t="s">
        <v>68</v>
      </c>
      <c r="D22" s="247" t="s">
        <v>200</v>
      </c>
      <c r="E22" s="249">
        <v>376</v>
      </c>
      <c r="F22" s="250">
        <f>SUM(E22/100)</f>
        <v>3.76</v>
      </c>
      <c r="G22" s="250">
        <v>287.83999999999997</v>
      </c>
      <c r="H22" s="251">
        <f t="shared" si="0"/>
        <v>1.0822783999999999</v>
      </c>
      <c r="I22" s="16">
        <v>0</v>
      </c>
      <c r="J22" s="31"/>
      <c r="K22" s="8"/>
      <c r="L22" s="8"/>
      <c r="M22" s="8"/>
    </row>
    <row r="23" spans="1:13" ht="15.75" hidden="1" customHeight="1">
      <c r="A23" s="46">
        <v>8</v>
      </c>
      <c r="B23" s="247" t="s">
        <v>202</v>
      </c>
      <c r="C23" s="248" t="s">
        <v>68</v>
      </c>
      <c r="D23" s="247" t="s">
        <v>200</v>
      </c>
      <c r="E23" s="252">
        <v>60.4</v>
      </c>
      <c r="F23" s="250">
        <f>SUM(E23/100)</f>
        <v>0.60399999999999998</v>
      </c>
      <c r="G23" s="250">
        <v>47.34</v>
      </c>
      <c r="H23" s="251">
        <f t="shared" si="0"/>
        <v>2.8593360000000002E-2</v>
      </c>
      <c r="I23" s="16">
        <v>0</v>
      </c>
      <c r="J23" s="31"/>
      <c r="K23" s="8"/>
      <c r="L23" s="8"/>
      <c r="M23" s="8"/>
    </row>
    <row r="24" spans="1:13" ht="15.75" hidden="1" customHeight="1">
      <c r="A24" s="46">
        <v>9</v>
      </c>
      <c r="B24" s="247" t="s">
        <v>176</v>
      </c>
      <c r="C24" s="248" t="s">
        <v>68</v>
      </c>
      <c r="D24" s="247" t="s">
        <v>69</v>
      </c>
      <c r="E24" s="23">
        <v>25</v>
      </c>
      <c r="F24" s="253">
        <f>E24/100</f>
        <v>0.25</v>
      </c>
      <c r="G24" s="250">
        <v>416.62</v>
      </c>
      <c r="H24" s="251">
        <f>F24*G24/1000</f>
        <v>0.104155</v>
      </c>
      <c r="I24" s="16">
        <v>0</v>
      </c>
      <c r="J24" s="31"/>
      <c r="K24" s="8"/>
      <c r="L24" s="8"/>
      <c r="M24" s="8"/>
    </row>
    <row r="25" spans="1:13" ht="15.75" hidden="1" customHeight="1">
      <c r="A25" s="46">
        <v>10</v>
      </c>
      <c r="B25" s="247" t="s">
        <v>203</v>
      </c>
      <c r="C25" s="248" t="s">
        <v>68</v>
      </c>
      <c r="D25" s="247" t="s">
        <v>200</v>
      </c>
      <c r="E25" s="252">
        <v>23.75</v>
      </c>
      <c r="F25" s="250">
        <f>E25/100</f>
        <v>0.23749999999999999</v>
      </c>
      <c r="G25" s="250">
        <v>231.03</v>
      </c>
      <c r="H25" s="251">
        <f>F25*G25/1000</f>
        <v>5.4869624999999998E-2</v>
      </c>
      <c r="I25" s="16">
        <v>0</v>
      </c>
      <c r="J25" s="31"/>
      <c r="K25" s="8"/>
      <c r="L25" s="8"/>
      <c r="M25" s="8"/>
    </row>
    <row r="26" spans="1:13" ht="15.75" hidden="1" customHeight="1">
      <c r="A26" s="46">
        <v>11</v>
      </c>
      <c r="B26" s="247" t="s">
        <v>177</v>
      </c>
      <c r="C26" s="248" t="s">
        <v>68</v>
      </c>
      <c r="D26" s="247" t="s">
        <v>200</v>
      </c>
      <c r="E26" s="249">
        <v>10.63</v>
      </c>
      <c r="F26" s="250">
        <f>SUM(E26/100)</f>
        <v>0.10630000000000001</v>
      </c>
      <c r="G26" s="250">
        <v>556.74</v>
      </c>
      <c r="H26" s="251">
        <f t="shared" si="0"/>
        <v>5.9181462000000004E-2</v>
      </c>
      <c r="I26" s="16">
        <v>0</v>
      </c>
      <c r="J26" s="31"/>
      <c r="K26" s="8"/>
      <c r="L26" s="8"/>
      <c r="M26" s="8"/>
    </row>
    <row r="27" spans="1:13" ht="15.75" customHeight="1">
      <c r="A27" s="46">
        <v>5</v>
      </c>
      <c r="B27" s="247" t="s">
        <v>87</v>
      </c>
      <c r="C27" s="248" t="s">
        <v>40</v>
      </c>
      <c r="D27" s="247" t="s">
        <v>247</v>
      </c>
      <c r="E27" s="249">
        <v>0.1</v>
      </c>
      <c r="F27" s="250">
        <f>SUM(E27*365)</f>
        <v>36.5</v>
      </c>
      <c r="G27" s="250">
        <v>157.18</v>
      </c>
      <c r="H27" s="251">
        <f>SUM(F27*G27/1000)</f>
        <v>5.737070000000001</v>
      </c>
      <c r="I27" s="16">
        <f>F27/12*G27</f>
        <v>478.08916666666664</v>
      </c>
      <c r="J27" s="32"/>
    </row>
    <row r="28" spans="1:13" ht="15.75" customHeight="1">
      <c r="A28" s="46">
        <v>6</v>
      </c>
      <c r="B28" s="255" t="s">
        <v>26</v>
      </c>
      <c r="C28" s="248" t="s">
        <v>27</v>
      </c>
      <c r="D28" s="255" t="s">
        <v>247</v>
      </c>
      <c r="E28" s="249">
        <v>5816.5</v>
      </c>
      <c r="F28" s="250">
        <f>SUM(E28*12)</f>
        <v>69798</v>
      </c>
      <c r="G28" s="250">
        <v>4.72</v>
      </c>
      <c r="H28" s="251">
        <f>SUM(F28*G28/1000)</f>
        <v>329.44655999999998</v>
      </c>
      <c r="I28" s="16">
        <f>F28/12*G28</f>
        <v>27453.879999999997</v>
      </c>
      <c r="J28" s="32"/>
    </row>
    <row r="29" spans="1:13" ht="15.75" customHeight="1">
      <c r="A29" s="230" t="s">
        <v>122</v>
      </c>
      <c r="B29" s="230"/>
      <c r="C29" s="230"/>
      <c r="D29" s="230"/>
      <c r="E29" s="230"/>
      <c r="F29" s="230"/>
      <c r="G29" s="230"/>
      <c r="H29" s="230"/>
      <c r="I29" s="230"/>
      <c r="J29" s="31"/>
      <c r="K29" s="8"/>
      <c r="L29" s="8"/>
      <c r="M29" s="8"/>
    </row>
    <row r="30" spans="1:13" ht="15.75" customHeight="1">
      <c r="A30" s="46"/>
      <c r="B30" s="268" t="s">
        <v>34</v>
      </c>
      <c r="C30" s="248"/>
      <c r="D30" s="247"/>
      <c r="E30" s="249"/>
      <c r="F30" s="250"/>
      <c r="G30" s="250"/>
      <c r="H30" s="251"/>
      <c r="I30" s="16"/>
      <c r="J30" s="31"/>
      <c r="K30" s="8"/>
      <c r="L30" s="8"/>
      <c r="M30" s="8"/>
    </row>
    <row r="31" spans="1:13" ht="15.75" customHeight="1">
      <c r="A31" s="46">
        <v>7</v>
      </c>
      <c r="B31" s="247" t="s">
        <v>204</v>
      </c>
      <c r="C31" s="248" t="s">
        <v>205</v>
      </c>
      <c r="D31" s="247" t="s">
        <v>206</v>
      </c>
      <c r="E31" s="250">
        <v>357.22</v>
      </c>
      <c r="F31" s="250">
        <f>SUM(E31*52/1000)</f>
        <v>18.575440000000004</v>
      </c>
      <c r="G31" s="250">
        <v>166.65</v>
      </c>
      <c r="H31" s="251">
        <f t="shared" ref="H31:H38" si="1">SUM(F31*G31/1000)</f>
        <v>3.0955970760000011</v>
      </c>
      <c r="I31" s="16">
        <f>F31/6*G31</f>
        <v>515.93284600000015</v>
      </c>
      <c r="J31" s="31"/>
      <c r="K31" s="8"/>
      <c r="L31" s="8"/>
      <c r="M31" s="8"/>
    </row>
    <row r="32" spans="1:13" ht="31.5" customHeight="1">
      <c r="A32" s="46">
        <v>8</v>
      </c>
      <c r="B32" s="247" t="s">
        <v>281</v>
      </c>
      <c r="C32" s="248" t="s">
        <v>205</v>
      </c>
      <c r="D32" s="247" t="s">
        <v>208</v>
      </c>
      <c r="E32" s="250">
        <v>475.06</v>
      </c>
      <c r="F32" s="250">
        <f>SUM(E32*78/1000)</f>
        <v>37.054679999999998</v>
      </c>
      <c r="G32" s="250">
        <v>276.48</v>
      </c>
      <c r="H32" s="251">
        <f t="shared" si="1"/>
        <v>10.244877926400001</v>
      </c>
      <c r="I32" s="16">
        <f t="shared" ref="I32:I35" si="2">F32/6*G32</f>
        <v>1707.4796544000001</v>
      </c>
      <c r="J32" s="31"/>
      <c r="K32" s="8"/>
      <c r="L32" s="8"/>
      <c r="M32" s="8"/>
    </row>
    <row r="33" spans="1:14" ht="15.75" hidden="1" customHeight="1">
      <c r="A33" s="46">
        <v>16</v>
      </c>
      <c r="B33" s="247" t="s">
        <v>33</v>
      </c>
      <c r="C33" s="248" t="s">
        <v>205</v>
      </c>
      <c r="D33" s="247" t="s">
        <v>69</v>
      </c>
      <c r="E33" s="250">
        <v>357.22</v>
      </c>
      <c r="F33" s="250">
        <f>SUM(E33/1000)</f>
        <v>0.35722000000000004</v>
      </c>
      <c r="G33" s="250">
        <v>3228.73</v>
      </c>
      <c r="H33" s="251">
        <f t="shared" si="1"/>
        <v>1.1533669306000001</v>
      </c>
      <c r="I33" s="16">
        <f>F33*G33</f>
        <v>1153.3669306000002</v>
      </c>
      <c r="J33" s="31"/>
      <c r="K33" s="8"/>
      <c r="L33" s="8"/>
      <c r="M33" s="8"/>
    </row>
    <row r="34" spans="1:14" ht="15.75" customHeight="1">
      <c r="A34" s="46">
        <v>9</v>
      </c>
      <c r="B34" s="247" t="s">
        <v>245</v>
      </c>
      <c r="C34" s="248" t="s">
        <v>51</v>
      </c>
      <c r="D34" s="247" t="s">
        <v>246</v>
      </c>
      <c r="E34" s="250">
        <v>5</v>
      </c>
      <c r="F34" s="250">
        <f>E34*155/100</f>
        <v>7.75</v>
      </c>
      <c r="G34" s="250">
        <v>1391.86</v>
      </c>
      <c r="H34" s="251">
        <f>G34*F34/1000</f>
        <v>10.786914999999999</v>
      </c>
      <c r="I34" s="16">
        <f t="shared" si="2"/>
        <v>1797.8191666666667</v>
      </c>
      <c r="J34" s="31"/>
      <c r="K34" s="8"/>
      <c r="L34" s="8"/>
      <c r="M34" s="8"/>
    </row>
    <row r="35" spans="1:14" ht="15.75" customHeight="1">
      <c r="A35" s="46">
        <v>10</v>
      </c>
      <c r="B35" s="247" t="s">
        <v>210</v>
      </c>
      <c r="C35" s="248" t="s">
        <v>37</v>
      </c>
      <c r="D35" s="247" t="s">
        <v>86</v>
      </c>
      <c r="E35" s="254">
        <v>0.33333333333333331</v>
      </c>
      <c r="F35" s="250">
        <f>155/3</f>
        <v>51.666666666666664</v>
      </c>
      <c r="G35" s="250">
        <v>60.6</v>
      </c>
      <c r="H35" s="251">
        <f>SUM(G35*155/3/1000)</f>
        <v>3.1309999999999998</v>
      </c>
      <c r="I35" s="16">
        <f t="shared" si="2"/>
        <v>521.83333333333337</v>
      </c>
      <c r="J35" s="31"/>
      <c r="K35" s="8"/>
    </row>
    <row r="36" spans="1:14" ht="15.75" hidden="1" customHeight="1">
      <c r="A36" s="46"/>
      <c r="B36" s="247" t="s">
        <v>88</v>
      </c>
      <c r="C36" s="248" t="s">
        <v>40</v>
      </c>
      <c r="D36" s="247" t="s">
        <v>90</v>
      </c>
      <c r="E36" s="249"/>
      <c r="F36" s="250">
        <v>3</v>
      </c>
      <c r="G36" s="250">
        <v>204.52</v>
      </c>
      <c r="H36" s="251">
        <f t="shared" si="1"/>
        <v>0.61356000000000011</v>
      </c>
      <c r="I36" s="16">
        <v>0</v>
      </c>
      <c r="J36" s="32"/>
    </row>
    <row r="37" spans="1:14" ht="15.75" hidden="1" customHeight="1">
      <c r="A37" s="46"/>
      <c r="B37" s="247" t="s">
        <v>89</v>
      </c>
      <c r="C37" s="248" t="s">
        <v>39</v>
      </c>
      <c r="D37" s="247" t="s">
        <v>90</v>
      </c>
      <c r="E37" s="249"/>
      <c r="F37" s="250">
        <v>2</v>
      </c>
      <c r="G37" s="250">
        <v>1214.74</v>
      </c>
      <c r="H37" s="251">
        <f t="shared" si="1"/>
        <v>2.4294799999999999</v>
      </c>
      <c r="I37" s="16">
        <v>0</v>
      </c>
      <c r="J37" s="32"/>
    </row>
    <row r="38" spans="1:14" ht="15.75" hidden="1" customHeight="1">
      <c r="A38" s="46"/>
      <c r="B38" s="138" t="s">
        <v>248</v>
      </c>
      <c r="C38" s="243" t="s">
        <v>35</v>
      </c>
      <c r="D38" s="247"/>
      <c r="E38" s="249">
        <v>360.36</v>
      </c>
      <c r="F38" s="250">
        <f>E38*36/1000</f>
        <v>12.97296</v>
      </c>
      <c r="G38" s="250">
        <v>3228.73</v>
      </c>
      <c r="H38" s="251">
        <f t="shared" si="1"/>
        <v>41.886185140800002</v>
      </c>
      <c r="I38" s="16">
        <v>0</v>
      </c>
      <c r="J38" s="32"/>
    </row>
    <row r="39" spans="1:14" ht="15.75" hidden="1" customHeight="1">
      <c r="A39" s="46"/>
      <c r="B39" s="268" t="s">
        <v>5</v>
      </c>
      <c r="C39" s="248"/>
      <c r="D39" s="247"/>
      <c r="E39" s="249"/>
      <c r="F39" s="250"/>
      <c r="G39" s="250"/>
      <c r="H39" s="251" t="s">
        <v>225</v>
      </c>
      <c r="I39" s="16"/>
      <c r="J39" s="32"/>
    </row>
    <row r="40" spans="1:14" ht="15.75" hidden="1" customHeight="1">
      <c r="A40" s="46">
        <v>8</v>
      </c>
      <c r="B40" s="247" t="s">
        <v>31</v>
      </c>
      <c r="C40" s="248" t="s">
        <v>39</v>
      </c>
      <c r="D40" s="247"/>
      <c r="E40" s="249"/>
      <c r="F40" s="250">
        <v>10</v>
      </c>
      <c r="G40" s="250">
        <v>1632.6</v>
      </c>
      <c r="H40" s="251">
        <f t="shared" ref="H40:H46" si="3">SUM(F40*G40/1000)</f>
        <v>16.326000000000001</v>
      </c>
      <c r="I40" s="16">
        <f>F40/6*G40</f>
        <v>2721</v>
      </c>
      <c r="J40" s="32"/>
      <c r="L40" s="25"/>
      <c r="M40" s="26"/>
      <c r="N40" s="27"/>
    </row>
    <row r="41" spans="1:14" ht="15.75" hidden="1" customHeight="1">
      <c r="A41" s="46">
        <v>9</v>
      </c>
      <c r="B41" s="247" t="s">
        <v>91</v>
      </c>
      <c r="C41" s="248" t="s">
        <v>35</v>
      </c>
      <c r="D41" s="247" t="s">
        <v>211</v>
      </c>
      <c r="E41" s="250">
        <v>469.73</v>
      </c>
      <c r="F41" s="250">
        <f>SUM(E41*30/1000)</f>
        <v>14.091900000000001</v>
      </c>
      <c r="G41" s="250">
        <v>2247.8000000000002</v>
      </c>
      <c r="H41" s="251">
        <f t="shared" si="3"/>
        <v>31.675772820000006</v>
      </c>
      <c r="I41" s="16">
        <f>F41/6*G41</f>
        <v>5279.2954700000009</v>
      </c>
      <c r="J41" s="32"/>
      <c r="L41" s="25"/>
      <c r="M41" s="26"/>
      <c r="N41" s="27"/>
    </row>
    <row r="42" spans="1:14" ht="15.75" hidden="1" customHeight="1">
      <c r="A42" s="46"/>
      <c r="B42" s="247" t="s">
        <v>156</v>
      </c>
      <c r="C42" s="248" t="s">
        <v>229</v>
      </c>
      <c r="D42" s="247" t="s">
        <v>90</v>
      </c>
      <c r="E42" s="249"/>
      <c r="F42" s="250">
        <v>120</v>
      </c>
      <c r="G42" s="250">
        <v>213.2</v>
      </c>
      <c r="H42" s="251">
        <f t="shared" si="3"/>
        <v>25.584</v>
      </c>
      <c r="I42" s="16">
        <v>0</v>
      </c>
      <c r="J42" s="32"/>
      <c r="L42" s="25"/>
      <c r="M42" s="26"/>
      <c r="N42" s="27"/>
    </row>
    <row r="43" spans="1:14" ht="15.75" hidden="1" customHeight="1">
      <c r="A43" s="46">
        <v>10</v>
      </c>
      <c r="B43" s="247" t="s">
        <v>92</v>
      </c>
      <c r="C43" s="248" t="s">
        <v>35</v>
      </c>
      <c r="D43" s="247" t="s">
        <v>212</v>
      </c>
      <c r="E43" s="250">
        <v>475.06</v>
      </c>
      <c r="F43" s="250">
        <f>SUM(E43*155/1000)</f>
        <v>73.634299999999996</v>
      </c>
      <c r="G43" s="250">
        <v>374.95</v>
      </c>
      <c r="H43" s="251">
        <f t="shared" si="3"/>
        <v>27.609180784999996</v>
      </c>
      <c r="I43" s="16">
        <f>F43/6*G43</f>
        <v>4601.5301308333328</v>
      </c>
      <c r="J43" s="32"/>
      <c r="L43" s="25"/>
      <c r="M43" s="26"/>
      <c r="N43" s="27"/>
    </row>
    <row r="44" spans="1:14" ht="47.25" hidden="1" customHeight="1">
      <c r="A44" s="46">
        <v>11</v>
      </c>
      <c r="B44" s="247" t="s">
        <v>118</v>
      </c>
      <c r="C44" s="248" t="s">
        <v>205</v>
      </c>
      <c r="D44" s="247" t="s">
        <v>230</v>
      </c>
      <c r="E44" s="250">
        <v>40.6</v>
      </c>
      <c r="F44" s="250">
        <f>SUM(E44*35/1000)</f>
        <v>1.421</v>
      </c>
      <c r="G44" s="250">
        <v>6203.7</v>
      </c>
      <c r="H44" s="251">
        <f t="shared" si="3"/>
        <v>8.8154577000000014</v>
      </c>
      <c r="I44" s="16">
        <f>F44/6*G44</f>
        <v>1469.2429500000001</v>
      </c>
      <c r="J44" s="32"/>
      <c r="L44" s="25"/>
      <c r="M44" s="26"/>
      <c r="N44" s="27"/>
    </row>
    <row r="45" spans="1:14" ht="15.75" hidden="1" customHeight="1">
      <c r="A45" s="46">
        <v>12</v>
      </c>
      <c r="B45" s="247" t="s">
        <v>213</v>
      </c>
      <c r="C45" s="248" t="s">
        <v>205</v>
      </c>
      <c r="D45" s="247" t="s">
        <v>93</v>
      </c>
      <c r="E45" s="250">
        <v>167.03</v>
      </c>
      <c r="F45" s="250">
        <f>SUM(E45*45/1000)</f>
        <v>7.5163500000000001</v>
      </c>
      <c r="G45" s="250">
        <v>458.28</v>
      </c>
      <c r="H45" s="251">
        <f t="shared" si="3"/>
        <v>3.4445928779999999</v>
      </c>
      <c r="I45" s="16">
        <f>F45/6*G45</f>
        <v>574.09881299999995</v>
      </c>
      <c r="J45" s="32"/>
      <c r="L45" s="25"/>
      <c r="M45" s="26"/>
      <c r="N45" s="27"/>
    </row>
    <row r="46" spans="1:14" ht="15.75" hidden="1" customHeight="1">
      <c r="A46" s="46">
        <v>13</v>
      </c>
      <c r="B46" s="247" t="s">
        <v>94</v>
      </c>
      <c r="C46" s="248" t="s">
        <v>40</v>
      </c>
      <c r="D46" s="247"/>
      <c r="E46" s="249"/>
      <c r="F46" s="250">
        <v>1.2</v>
      </c>
      <c r="G46" s="250">
        <v>853.06</v>
      </c>
      <c r="H46" s="251">
        <f t="shared" si="3"/>
        <v>1.0236719999999999</v>
      </c>
      <c r="I46" s="16">
        <f>F46/6*G46</f>
        <v>170.61199999999997</v>
      </c>
      <c r="J46" s="32"/>
      <c r="L46" s="25"/>
      <c r="M46" s="26"/>
      <c r="N46" s="27"/>
    </row>
    <row r="47" spans="1:14" ht="15.75" hidden="1" customHeight="1">
      <c r="A47" s="231" t="s">
        <v>240</v>
      </c>
      <c r="B47" s="232"/>
      <c r="C47" s="232"/>
      <c r="D47" s="232"/>
      <c r="E47" s="232"/>
      <c r="F47" s="232"/>
      <c r="G47" s="232"/>
      <c r="H47" s="232"/>
      <c r="I47" s="233"/>
      <c r="J47" s="32"/>
      <c r="L47" s="25"/>
      <c r="M47" s="26"/>
      <c r="N47" s="27"/>
    </row>
    <row r="48" spans="1:14" ht="15.75" hidden="1" customHeight="1">
      <c r="A48" s="46"/>
      <c r="B48" s="247" t="s">
        <v>214</v>
      </c>
      <c r="C48" s="248" t="s">
        <v>205</v>
      </c>
      <c r="D48" s="247" t="s">
        <v>55</v>
      </c>
      <c r="E48" s="249">
        <v>1603.6</v>
      </c>
      <c r="F48" s="250">
        <f>SUM(E48*2/1000)</f>
        <v>3.2071999999999998</v>
      </c>
      <c r="G48" s="16">
        <v>908.11</v>
      </c>
      <c r="H48" s="251">
        <f t="shared" ref="H48:H56" si="4">SUM(F48*G48/1000)</f>
        <v>2.9124903919999996</v>
      </c>
      <c r="I48" s="16">
        <v>0</v>
      </c>
      <c r="J48" s="32"/>
      <c r="L48" s="25"/>
      <c r="M48" s="26"/>
      <c r="N48" s="27"/>
    </row>
    <row r="49" spans="1:22" ht="15.75" hidden="1" customHeight="1">
      <c r="A49" s="46"/>
      <c r="B49" s="247" t="s">
        <v>44</v>
      </c>
      <c r="C49" s="248" t="s">
        <v>205</v>
      </c>
      <c r="D49" s="247" t="s">
        <v>55</v>
      </c>
      <c r="E49" s="249">
        <v>65</v>
      </c>
      <c r="F49" s="250">
        <f>SUM(E49*2/1000)</f>
        <v>0.13</v>
      </c>
      <c r="G49" s="16">
        <v>619.46</v>
      </c>
      <c r="H49" s="251">
        <f t="shared" si="4"/>
        <v>8.0529800000000012E-2</v>
      </c>
      <c r="I49" s="16">
        <v>0</v>
      </c>
      <c r="J49" s="32"/>
      <c r="L49" s="25"/>
      <c r="M49" s="26"/>
      <c r="N49" s="27"/>
    </row>
    <row r="50" spans="1:22" ht="15.75" hidden="1" customHeight="1">
      <c r="A50" s="46"/>
      <c r="B50" s="247" t="s">
        <v>45</v>
      </c>
      <c r="C50" s="248" t="s">
        <v>205</v>
      </c>
      <c r="D50" s="247" t="s">
        <v>55</v>
      </c>
      <c r="E50" s="249">
        <v>1825.8</v>
      </c>
      <c r="F50" s="250">
        <f>SUM(E50*2/1000)</f>
        <v>3.6515999999999997</v>
      </c>
      <c r="G50" s="16">
        <v>619.46</v>
      </c>
      <c r="H50" s="251">
        <f t="shared" si="4"/>
        <v>2.2620201360000003</v>
      </c>
      <c r="I50" s="16">
        <v>0</v>
      </c>
      <c r="J50" s="32"/>
      <c r="L50" s="25"/>
      <c r="M50" s="26"/>
      <c r="N50" s="27"/>
    </row>
    <row r="51" spans="1:22" ht="15.75" hidden="1" customHeight="1">
      <c r="A51" s="46"/>
      <c r="B51" s="247" t="s">
        <v>46</v>
      </c>
      <c r="C51" s="248" t="s">
        <v>205</v>
      </c>
      <c r="D51" s="247" t="s">
        <v>55</v>
      </c>
      <c r="E51" s="249">
        <v>3163.96</v>
      </c>
      <c r="F51" s="250">
        <f>SUM(E51*2/1000)</f>
        <v>6.3279199999999998</v>
      </c>
      <c r="G51" s="16">
        <v>648.64</v>
      </c>
      <c r="H51" s="251">
        <f t="shared" si="4"/>
        <v>4.1045420287999992</v>
      </c>
      <c r="I51" s="16">
        <v>0</v>
      </c>
      <c r="J51" s="32"/>
      <c r="L51" s="25"/>
      <c r="M51" s="26"/>
      <c r="N51" s="27"/>
    </row>
    <row r="52" spans="1:22" ht="15.75" hidden="1" customHeight="1">
      <c r="A52" s="46">
        <v>14</v>
      </c>
      <c r="B52" s="247" t="s">
        <v>76</v>
      </c>
      <c r="C52" s="248" t="s">
        <v>205</v>
      </c>
      <c r="D52" s="247" t="s">
        <v>282</v>
      </c>
      <c r="E52" s="249">
        <v>1583</v>
      </c>
      <c r="F52" s="250">
        <f>SUM(E52*5/1000)</f>
        <v>7.915</v>
      </c>
      <c r="G52" s="16">
        <v>1297.28</v>
      </c>
      <c r="H52" s="251">
        <f t="shared" si="4"/>
        <v>10.2679712</v>
      </c>
      <c r="I52" s="16">
        <f>F52/5*G52</f>
        <v>2053.5942399999999</v>
      </c>
      <c r="J52" s="32"/>
      <c r="L52" s="25"/>
      <c r="M52" s="26"/>
      <c r="N52" s="27"/>
    </row>
    <row r="53" spans="1:22" ht="31.5" hidden="1" customHeight="1">
      <c r="A53" s="46"/>
      <c r="B53" s="247" t="s">
        <v>216</v>
      </c>
      <c r="C53" s="248" t="s">
        <v>205</v>
      </c>
      <c r="D53" s="247" t="s">
        <v>55</v>
      </c>
      <c r="E53" s="249">
        <v>1583</v>
      </c>
      <c r="F53" s="250">
        <f>SUM(E53*2/1000)</f>
        <v>3.1659999999999999</v>
      </c>
      <c r="G53" s="16">
        <v>1297.28</v>
      </c>
      <c r="H53" s="251">
        <f t="shared" si="4"/>
        <v>4.1071884799999996</v>
      </c>
      <c r="I53" s="16">
        <v>0</v>
      </c>
      <c r="J53" s="32"/>
      <c r="L53" s="25"/>
      <c r="M53" s="26"/>
      <c r="N53" s="27"/>
    </row>
    <row r="54" spans="1:22" ht="31.5" hidden="1" customHeight="1">
      <c r="A54" s="46"/>
      <c r="B54" s="247" t="s">
        <v>217</v>
      </c>
      <c r="C54" s="248" t="s">
        <v>49</v>
      </c>
      <c r="D54" s="247" t="s">
        <v>55</v>
      </c>
      <c r="E54" s="249">
        <v>25</v>
      </c>
      <c r="F54" s="250">
        <f>SUM(E54*2/100)</f>
        <v>0.5</v>
      </c>
      <c r="G54" s="16">
        <v>2918.89</v>
      </c>
      <c r="H54" s="251">
        <f t="shared" si="4"/>
        <v>1.4594449999999999</v>
      </c>
      <c r="I54" s="16">
        <v>0</v>
      </c>
      <c r="J54" s="32"/>
      <c r="L54" s="25"/>
      <c r="M54" s="26"/>
      <c r="N54" s="27"/>
    </row>
    <row r="55" spans="1:22" ht="15.75" hidden="1" customHeight="1">
      <c r="A55" s="46"/>
      <c r="B55" s="247" t="s">
        <v>50</v>
      </c>
      <c r="C55" s="248" t="s">
        <v>51</v>
      </c>
      <c r="D55" s="247" t="s">
        <v>55</v>
      </c>
      <c r="E55" s="249">
        <v>1</v>
      </c>
      <c r="F55" s="250">
        <v>0.02</v>
      </c>
      <c r="G55" s="16">
        <v>6042.12</v>
      </c>
      <c r="H55" s="251">
        <f t="shared" si="4"/>
        <v>0.1208424</v>
      </c>
      <c r="I55" s="16">
        <v>0</v>
      </c>
      <c r="J55" s="32"/>
      <c r="L55" s="25"/>
      <c r="M55" s="26"/>
      <c r="N55" s="27"/>
    </row>
    <row r="56" spans="1:22" ht="15.75" hidden="1" customHeight="1">
      <c r="A56" s="46">
        <v>15</v>
      </c>
      <c r="B56" s="247" t="s">
        <v>54</v>
      </c>
      <c r="C56" s="248" t="s">
        <v>37</v>
      </c>
      <c r="D56" s="247" t="s">
        <v>95</v>
      </c>
      <c r="E56" s="249">
        <v>36</v>
      </c>
      <c r="F56" s="250">
        <f>SUM(E56)*3</f>
        <v>108</v>
      </c>
      <c r="G56" s="16">
        <v>70.209999999999994</v>
      </c>
      <c r="H56" s="251">
        <f t="shared" si="4"/>
        <v>7.582679999999999</v>
      </c>
      <c r="I56" s="16">
        <f>E56*G56</f>
        <v>2527.56</v>
      </c>
      <c r="J56" s="32"/>
      <c r="L56" s="25"/>
      <c r="M56" s="26"/>
      <c r="N56" s="27"/>
    </row>
    <row r="57" spans="1:22" ht="15.75" customHeight="1">
      <c r="A57" s="231" t="s">
        <v>289</v>
      </c>
      <c r="B57" s="232"/>
      <c r="C57" s="232"/>
      <c r="D57" s="232"/>
      <c r="E57" s="232"/>
      <c r="F57" s="232"/>
      <c r="G57" s="232"/>
      <c r="H57" s="232"/>
      <c r="I57" s="233"/>
      <c r="J57" s="32"/>
      <c r="L57" s="25"/>
      <c r="M57" s="26"/>
      <c r="N57" s="27"/>
    </row>
    <row r="58" spans="1:22" ht="15.75" hidden="1" customHeight="1">
      <c r="A58" s="46"/>
      <c r="B58" s="268" t="s">
        <v>56</v>
      </c>
      <c r="C58" s="248"/>
      <c r="D58" s="247"/>
      <c r="E58" s="249"/>
      <c r="F58" s="250"/>
      <c r="G58" s="250"/>
      <c r="H58" s="251"/>
      <c r="I58" s="16"/>
      <c r="J58" s="32"/>
      <c r="L58" s="25"/>
      <c r="M58" s="26"/>
      <c r="N58" s="27"/>
    </row>
    <row r="59" spans="1:22" ht="31.5" hidden="1" customHeight="1">
      <c r="A59" s="46">
        <v>16</v>
      </c>
      <c r="B59" s="247" t="s">
        <v>231</v>
      </c>
      <c r="C59" s="248" t="s">
        <v>194</v>
      </c>
      <c r="D59" s="247" t="s">
        <v>96</v>
      </c>
      <c r="E59" s="256">
        <v>3.78</v>
      </c>
      <c r="F59" s="16">
        <f>E59*6/100</f>
        <v>0.2268</v>
      </c>
      <c r="G59" s="250">
        <v>1654.04</v>
      </c>
      <c r="H59" s="251">
        <f>SUM(F59*G59/1000)</f>
        <v>0.37513627199999999</v>
      </c>
      <c r="I59" s="16">
        <f>F59/6*G59</f>
        <v>62.522711999999999</v>
      </c>
      <c r="J59" s="32"/>
      <c r="L59" s="25"/>
      <c r="M59" s="26"/>
      <c r="N59" s="27"/>
    </row>
    <row r="60" spans="1:22" ht="31.5" hidden="1" customHeight="1">
      <c r="A60" s="46">
        <v>17</v>
      </c>
      <c r="B60" s="247" t="s">
        <v>219</v>
      </c>
      <c r="C60" s="248" t="s">
        <v>194</v>
      </c>
      <c r="D60" s="247" t="s">
        <v>96</v>
      </c>
      <c r="E60" s="249">
        <v>185.36</v>
      </c>
      <c r="F60" s="250">
        <f>E60*6/100</f>
        <v>11.121600000000001</v>
      </c>
      <c r="G60" s="257">
        <v>1654.04</v>
      </c>
      <c r="H60" s="251">
        <f>F60*G60/1000</f>
        <v>18.395571264000001</v>
      </c>
      <c r="I60" s="16">
        <f>F60/6*G60</f>
        <v>3065.9285440000003</v>
      </c>
      <c r="J60" s="32"/>
      <c r="L60" s="25"/>
    </row>
    <row r="61" spans="1:22" ht="15.75" hidden="1" customHeight="1">
      <c r="A61" s="46"/>
      <c r="B61" s="258" t="s">
        <v>168</v>
      </c>
      <c r="C61" s="248" t="s">
        <v>169</v>
      </c>
      <c r="D61" s="258" t="s">
        <v>55</v>
      </c>
      <c r="E61" s="259">
        <v>5</v>
      </c>
      <c r="F61" s="260">
        <v>10</v>
      </c>
      <c r="G61" s="257">
        <v>198.25</v>
      </c>
      <c r="H61" s="261">
        <v>0.99099999999999999</v>
      </c>
      <c r="I61" s="16">
        <v>0</v>
      </c>
      <c r="J61" s="32"/>
      <c r="L61" s="25"/>
    </row>
    <row r="62" spans="1:22" ht="15.75" customHeight="1">
      <c r="A62" s="46"/>
      <c r="B62" s="269" t="s">
        <v>57</v>
      </c>
      <c r="C62" s="262"/>
      <c r="D62" s="258"/>
      <c r="E62" s="259"/>
      <c r="F62" s="260"/>
      <c r="G62" s="263"/>
      <c r="H62" s="261"/>
      <c r="I62" s="16"/>
    </row>
    <row r="63" spans="1:22" ht="15.75" hidden="1" customHeight="1">
      <c r="A63" s="46"/>
      <c r="B63" s="258" t="s">
        <v>58</v>
      </c>
      <c r="C63" s="262" t="s">
        <v>68</v>
      </c>
      <c r="D63" s="258" t="s">
        <v>69</v>
      </c>
      <c r="E63" s="259">
        <v>1752</v>
      </c>
      <c r="F63" s="260">
        <f>E63/100</f>
        <v>17.52</v>
      </c>
      <c r="G63" s="250">
        <v>848.37</v>
      </c>
      <c r="H63" s="261">
        <f>G63*F63/1000</f>
        <v>14.8634424</v>
      </c>
      <c r="I63" s="16">
        <v>0</v>
      </c>
    </row>
    <row r="64" spans="1:22" ht="15.75" customHeight="1">
      <c r="A64" s="46">
        <v>11</v>
      </c>
      <c r="B64" s="258" t="s">
        <v>159</v>
      </c>
      <c r="C64" s="262" t="s">
        <v>29</v>
      </c>
      <c r="D64" s="258" t="s">
        <v>249</v>
      </c>
      <c r="E64" s="259">
        <v>352</v>
      </c>
      <c r="F64" s="260">
        <f>E64*12</f>
        <v>4224</v>
      </c>
      <c r="G64" s="250">
        <v>2.6</v>
      </c>
      <c r="H64" s="261">
        <f>G64*F64/1000</f>
        <v>10.9824</v>
      </c>
      <c r="I64" s="16">
        <f>F64/12*G64</f>
        <v>915.2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0"/>
    </row>
    <row r="65" spans="1:21" ht="15.75" customHeight="1">
      <c r="A65" s="46"/>
      <c r="B65" s="269" t="s">
        <v>59</v>
      </c>
      <c r="C65" s="262"/>
      <c r="D65" s="258"/>
      <c r="E65" s="259"/>
      <c r="F65" s="260"/>
      <c r="G65" s="270"/>
      <c r="H65" s="261" t="s">
        <v>225</v>
      </c>
      <c r="I65" s="16"/>
      <c r="J65" s="37"/>
      <c r="K65" s="37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46">
        <v>19</v>
      </c>
      <c r="B66" s="18" t="s">
        <v>60</v>
      </c>
      <c r="C66" s="20" t="s">
        <v>218</v>
      </c>
      <c r="D66" s="18" t="s">
        <v>90</v>
      </c>
      <c r="E66" s="23">
        <v>10</v>
      </c>
      <c r="F66" s="250">
        <v>10</v>
      </c>
      <c r="G66" s="16">
        <v>237.74</v>
      </c>
      <c r="H66" s="244">
        <f t="shared" ref="H66:H80" si="5">SUM(F66*G66/1000)</f>
        <v>2.3774000000000002</v>
      </c>
      <c r="I66" s="16">
        <f>G66*3</f>
        <v>713.22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46"/>
      <c r="B67" s="18" t="s">
        <v>61</v>
      </c>
      <c r="C67" s="20" t="s">
        <v>218</v>
      </c>
      <c r="D67" s="18" t="s">
        <v>90</v>
      </c>
      <c r="E67" s="23">
        <v>5</v>
      </c>
      <c r="F67" s="250">
        <v>5</v>
      </c>
      <c r="G67" s="16">
        <v>81.510000000000005</v>
      </c>
      <c r="H67" s="244">
        <f t="shared" si="5"/>
        <v>0.40755000000000002</v>
      </c>
      <c r="I67" s="16">
        <v>0</v>
      </c>
      <c r="J67" s="5"/>
      <c r="K67" s="5"/>
      <c r="L67" s="5"/>
      <c r="M67" s="5"/>
      <c r="N67" s="5"/>
      <c r="O67" s="5"/>
      <c r="P67" s="5"/>
      <c r="Q67" s="5"/>
      <c r="R67" s="207"/>
      <c r="S67" s="207"/>
      <c r="T67" s="207"/>
      <c r="U67" s="207"/>
    </row>
    <row r="68" spans="1:21" ht="15.75" hidden="1" customHeight="1">
      <c r="A68" s="46"/>
      <c r="B68" s="18" t="s">
        <v>62</v>
      </c>
      <c r="C68" s="20" t="s">
        <v>220</v>
      </c>
      <c r="D68" s="18" t="s">
        <v>69</v>
      </c>
      <c r="E68" s="249">
        <v>23808</v>
      </c>
      <c r="F68" s="16">
        <f>SUM(E68/100)</f>
        <v>238.08</v>
      </c>
      <c r="G68" s="16">
        <v>226.79</v>
      </c>
      <c r="H68" s="244">
        <f t="shared" si="5"/>
        <v>53.994163200000003</v>
      </c>
      <c r="I68" s="16">
        <f>F68*G68</f>
        <v>53994.163200000003</v>
      </c>
    </row>
    <row r="69" spans="1:21" ht="15.75" hidden="1" customHeight="1">
      <c r="A69" s="46"/>
      <c r="B69" s="18" t="s">
        <v>63</v>
      </c>
      <c r="C69" s="20" t="s">
        <v>221</v>
      </c>
      <c r="D69" s="18"/>
      <c r="E69" s="249">
        <v>23808</v>
      </c>
      <c r="F69" s="16">
        <f>SUM(E69/1000)</f>
        <v>23.808</v>
      </c>
      <c r="G69" s="16">
        <v>176.61</v>
      </c>
      <c r="H69" s="244">
        <f t="shared" si="5"/>
        <v>4.2047308800000005</v>
      </c>
      <c r="I69" s="16">
        <f t="shared" ref="I69:I73" si="6">F69*G69</f>
        <v>4204.7308800000001</v>
      </c>
    </row>
    <row r="70" spans="1:21" ht="15.75" hidden="1" customHeight="1">
      <c r="A70" s="46"/>
      <c r="B70" s="18" t="s">
        <v>64</v>
      </c>
      <c r="C70" s="20" t="s">
        <v>101</v>
      </c>
      <c r="D70" s="18" t="s">
        <v>69</v>
      </c>
      <c r="E70" s="249">
        <v>3810</v>
      </c>
      <c r="F70" s="16">
        <f>SUM(E70/100)</f>
        <v>38.1</v>
      </c>
      <c r="G70" s="16">
        <v>2217.7800000000002</v>
      </c>
      <c r="H70" s="244">
        <f t="shared" si="5"/>
        <v>84.49741800000001</v>
      </c>
      <c r="I70" s="16">
        <f t="shared" si="6"/>
        <v>84497.418000000005</v>
      </c>
    </row>
    <row r="71" spans="1:21" ht="15.75" hidden="1" customHeight="1">
      <c r="A71" s="46"/>
      <c r="B71" s="264" t="s">
        <v>222</v>
      </c>
      <c r="C71" s="20" t="s">
        <v>40</v>
      </c>
      <c r="D71" s="18"/>
      <c r="E71" s="249">
        <v>23.4</v>
      </c>
      <c r="F71" s="16">
        <f>SUM(E71)</f>
        <v>23.4</v>
      </c>
      <c r="G71" s="16">
        <v>42.67</v>
      </c>
      <c r="H71" s="244">
        <f t="shared" si="5"/>
        <v>0.99847799999999998</v>
      </c>
      <c r="I71" s="16">
        <f t="shared" si="6"/>
        <v>998.47799999999995</v>
      </c>
    </row>
    <row r="72" spans="1:21" ht="15.75" hidden="1" customHeight="1">
      <c r="A72" s="46"/>
      <c r="B72" s="264" t="s">
        <v>232</v>
      </c>
      <c r="C72" s="20" t="s">
        <v>40</v>
      </c>
      <c r="D72" s="18"/>
      <c r="E72" s="249">
        <v>23.4</v>
      </c>
      <c r="F72" s="16">
        <f>SUM(E72)</f>
        <v>23.4</v>
      </c>
      <c r="G72" s="16">
        <v>39.81</v>
      </c>
      <c r="H72" s="244">
        <f t="shared" si="5"/>
        <v>0.93155399999999999</v>
      </c>
      <c r="I72" s="16">
        <f t="shared" si="6"/>
        <v>931.55399999999997</v>
      </c>
    </row>
    <row r="73" spans="1:21" ht="15.75" hidden="1" customHeight="1">
      <c r="A73" s="46"/>
      <c r="B73" s="18" t="s">
        <v>77</v>
      </c>
      <c r="C73" s="20" t="s">
        <v>78</v>
      </c>
      <c r="D73" s="18" t="s">
        <v>69</v>
      </c>
      <c r="E73" s="23">
        <v>5</v>
      </c>
      <c r="F73" s="250">
        <f>SUM(E73)</f>
        <v>5</v>
      </c>
      <c r="G73" s="16">
        <v>53.32</v>
      </c>
      <c r="H73" s="244">
        <f t="shared" si="5"/>
        <v>0.2666</v>
      </c>
      <c r="I73" s="16">
        <f t="shared" si="6"/>
        <v>266.60000000000002</v>
      </c>
    </row>
    <row r="74" spans="1:21" ht="15.75" customHeight="1">
      <c r="A74" s="46">
        <v>12</v>
      </c>
      <c r="B74" s="18" t="s">
        <v>233</v>
      </c>
      <c r="C74" s="20" t="s">
        <v>78</v>
      </c>
      <c r="D74" s="18" t="s">
        <v>36</v>
      </c>
      <c r="E74" s="23">
        <v>1</v>
      </c>
      <c r="F74" s="237">
        <v>12</v>
      </c>
      <c r="G74" s="16">
        <v>711</v>
      </c>
      <c r="H74" s="244">
        <v>8.5310000000000006</v>
      </c>
      <c r="I74" s="16">
        <f>F74/12*G74</f>
        <v>711</v>
      </c>
    </row>
    <row r="75" spans="1:21" ht="15.75" hidden="1" customHeight="1">
      <c r="A75" s="46"/>
      <c r="B75" s="198" t="s">
        <v>97</v>
      </c>
      <c r="C75" s="20"/>
      <c r="D75" s="18"/>
      <c r="E75" s="23"/>
      <c r="F75" s="16"/>
      <c r="G75" s="16"/>
      <c r="H75" s="244" t="s">
        <v>225</v>
      </c>
      <c r="I75" s="16"/>
    </row>
    <row r="76" spans="1:21" ht="15.75" hidden="1" customHeight="1">
      <c r="A76" s="46"/>
      <c r="B76" s="18" t="s">
        <v>98</v>
      </c>
      <c r="C76" s="20" t="s">
        <v>38</v>
      </c>
      <c r="D76" s="18" t="s">
        <v>90</v>
      </c>
      <c r="E76" s="23">
        <v>2</v>
      </c>
      <c r="F76" s="237">
        <v>0.2</v>
      </c>
      <c r="G76" s="16">
        <v>536.23</v>
      </c>
      <c r="H76" s="244">
        <v>0.107</v>
      </c>
      <c r="I76" s="16">
        <v>0</v>
      </c>
    </row>
    <row r="77" spans="1:21" ht="15.75" hidden="1" customHeight="1">
      <c r="A77" s="46"/>
      <c r="B77" s="18" t="s">
        <v>136</v>
      </c>
      <c r="C77" s="20" t="s">
        <v>37</v>
      </c>
      <c r="D77" s="18"/>
      <c r="E77" s="23">
        <v>1</v>
      </c>
      <c r="F77" s="250">
        <f>SUM(E77)</f>
        <v>1</v>
      </c>
      <c r="G77" s="16">
        <v>383.25</v>
      </c>
      <c r="H77" s="244">
        <f t="shared" si="5"/>
        <v>0.38324999999999998</v>
      </c>
      <c r="I77" s="16">
        <v>0</v>
      </c>
    </row>
    <row r="78" spans="1:21" ht="15.75" hidden="1" customHeight="1">
      <c r="A78" s="46"/>
      <c r="B78" s="18" t="s">
        <v>99</v>
      </c>
      <c r="C78" s="20" t="s">
        <v>37</v>
      </c>
      <c r="D78" s="18"/>
      <c r="E78" s="23">
        <v>1</v>
      </c>
      <c r="F78" s="16">
        <v>1</v>
      </c>
      <c r="G78" s="16">
        <v>911.85</v>
      </c>
      <c r="H78" s="244">
        <f>F78*G78/1000</f>
        <v>0.91185000000000005</v>
      </c>
      <c r="I78" s="16">
        <v>0</v>
      </c>
    </row>
    <row r="79" spans="1:21" ht="15.75" hidden="1" customHeight="1">
      <c r="A79" s="46"/>
      <c r="B79" s="265" t="s">
        <v>100</v>
      </c>
      <c r="C79" s="20"/>
      <c r="D79" s="18"/>
      <c r="E79" s="23"/>
      <c r="F79" s="16"/>
      <c r="G79" s="16" t="s">
        <v>225</v>
      </c>
      <c r="H79" s="244" t="s">
        <v>225</v>
      </c>
      <c r="I79" s="16"/>
    </row>
    <row r="80" spans="1:21" ht="15.75" hidden="1" customHeight="1">
      <c r="A80" s="46"/>
      <c r="B80" s="81" t="s">
        <v>226</v>
      </c>
      <c r="C80" s="20" t="s">
        <v>101</v>
      </c>
      <c r="D80" s="18"/>
      <c r="E80" s="23"/>
      <c r="F80" s="16">
        <v>0.6</v>
      </c>
      <c r="G80" s="16">
        <v>2949.85</v>
      </c>
      <c r="H80" s="244">
        <f t="shared" si="5"/>
        <v>1.7699099999999999</v>
      </c>
      <c r="I80" s="16">
        <v>0</v>
      </c>
      <c r="J80" s="5"/>
      <c r="K80" s="5"/>
      <c r="L80" s="5"/>
      <c r="M80" s="5"/>
      <c r="N80" s="5"/>
      <c r="O80" s="5"/>
      <c r="P80" s="5"/>
      <c r="Q80" s="5"/>
      <c r="R80" s="197"/>
      <c r="S80" s="197"/>
      <c r="T80" s="197"/>
      <c r="U80" s="197"/>
    </row>
    <row r="81" spans="1:21" ht="15.75" hidden="1" customHeight="1">
      <c r="A81" s="122"/>
      <c r="B81" s="198" t="s">
        <v>223</v>
      </c>
      <c r="C81" s="198"/>
      <c r="D81" s="198"/>
      <c r="E81" s="198"/>
      <c r="F81" s="198"/>
      <c r="G81" s="198"/>
      <c r="H81" s="198"/>
      <c r="I81" s="23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1:21" ht="15.75" hidden="1" customHeight="1">
      <c r="A82" s="46"/>
      <c r="B82" s="247" t="s">
        <v>224</v>
      </c>
      <c r="C82" s="20"/>
      <c r="D82" s="18"/>
      <c r="E82" s="238"/>
      <c r="F82" s="16">
        <v>1</v>
      </c>
      <c r="G82" s="16">
        <v>21062.799999999999</v>
      </c>
      <c r="H82" s="244">
        <f>G82*F82/1000</f>
        <v>21.062799999999999</v>
      </c>
      <c r="I82" s="16">
        <v>0</v>
      </c>
      <c r="J82" s="5"/>
      <c r="K82" s="5"/>
      <c r="L82" s="5"/>
      <c r="M82" s="5"/>
      <c r="N82" s="5"/>
      <c r="O82" s="5"/>
      <c r="P82" s="5"/>
      <c r="Q82" s="5"/>
      <c r="R82" s="197"/>
      <c r="S82" s="197"/>
      <c r="T82" s="197"/>
      <c r="U82" s="197"/>
    </row>
    <row r="83" spans="1:21" ht="15.75" customHeight="1">
      <c r="A83" s="234" t="s">
        <v>290</v>
      </c>
      <c r="B83" s="235"/>
      <c r="C83" s="235"/>
      <c r="D83" s="235"/>
      <c r="E83" s="235"/>
      <c r="F83" s="235"/>
      <c r="G83" s="235"/>
      <c r="H83" s="235"/>
      <c r="I83" s="236"/>
    </row>
    <row r="84" spans="1:21" ht="15.75" customHeight="1">
      <c r="A84" s="46">
        <v>13</v>
      </c>
      <c r="B84" s="247" t="s">
        <v>227</v>
      </c>
      <c r="C84" s="20" t="s">
        <v>73</v>
      </c>
      <c r="D84" s="266" t="s">
        <v>74</v>
      </c>
      <c r="E84" s="16">
        <v>5816.5</v>
      </c>
      <c r="F84" s="16">
        <f>SUM(E84*12)</f>
        <v>69798</v>
      </c>
      <c r="G84" s="16">
        <v>2.54</v>
      </c>
      <c r="H84" s="244">
        <f>SUM(F84*G84/1000)</f>
        <v>177.28692000000001</v>
      </c>
      <c r="I84" s="16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197"/>
      <c r="S84" s="197"/>
      <c r="T84" s="197"/>
      <c r="U84" s="197"/>
    </row>
    <row r="85" spans="1:21" ht="31.5" customHeight="1">
      <c r="A85" s="46">
        <v>14</v>
      </c>
      <c r="B85" s="18" t="s">
        <v>102</v>
      </c>
      <c r="C85" s="20"/>
      <c r="D85" s="266" t="s">
        <v>74</v>
      </c>
      <c r="E85" s="249">
        <f>E84</f>
        <v>5816.5</v>
      </c>
      <c r="F85" s="16">
        <f>E85*12</f>
        <v>69798</v>
      </c>
      <c r="G85" s="16">
        <v>2.0499999999999998</v>
      </c>
      <c r="H85" s="244">
        <f>F85*G85/1000</f>
        <v>143.08589999999998</v>
      </c>
      <c r="I85" s="16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197"/>
      <c r="S85" s="197"/>
      <c r="T85" s="197"/>
      <c r="U85" s="197"/>
    </row>
    <row r="86" spans="1:21" ht="15.75" customHeight="1">
      <c r="A86" s="122"/>
      <c r="B86" s="68" t="s">
        <v>108</v>
      </c>
      <c r="C86" s="70"/>
      <c r="D86" s="19"/>
      <c r="E86" s="19"/>
      <c r="F86" s="19"/>
      <c r="G86" s="23"/>
      <c r="H86" s="23"/>
      <c r="I86" s="53">
        <f>I16+I17+I18+I20+I27+I28+I31+I32+I34+I35+I64+I74+I84+I85</f>
        <v>86094.299452399995</v>
      </c>
    </row>
    <row r="87" spans="1:21" ht="15.75" customHeight="1">
      <c r="A87" s="122"/>
      <c r="B87" s="189" t="s">
        <v>80</v>
      </c>
      <c r="C87" s="189"/>
      <c r="D87" s="189"/>
      <c r="E87" s="189"/>
      <c r="F87" s="189"/>
      <c r="G87" s="189"/>
      <c r="H87" s="189"/>
      <c r="I87" s="189"/>
    </row>
    <row r="88" spans="1:21" ht="15.75" customHeight="1">
      <c r="A88" s="46">
        <v>15</v>
      </c>
      <c r="B88" s="245" t="s">
        <v>145</v>
      </c>
      <c r="C88" s="246" t="s">
        <v>146</v>
      </c>
      <c r="D88" s="81"/>
      <c r="E88" s="16"/>
      <c r="F88" s="16">
        <f>50/3</f>
        <v>16.666666666666668</v>
      </c>
      <c r="G88" s="16">
        <v>1063.47</v>
      </c>
      <c r="H88" s="244">
        <f t="shared" ref="H88:H89" si="7">G88*F88/1000</f>
        <v>17.724499999999999</v>
      </c>
      <c r="I88" s="16">
        <f>G88</f>
        <v>1063.47</v>
      </c>
      <c r="J88" s="5"/>
      <c r="K88" s="5"/>
      <c r="L88" s="5"/>
      <c r="M88" s="5"/>
      <c r="N88" s="5"/>
      <c r="O88" s="5"/>
      <c r="P88" s="5"/>
      <c r="Q88" s="5"/>
      <c r="R88" s="197"/>
      <c r="S88" s="197"/>
      <c r="T88" s="197"/>
      <c r="U88" s="197"/>
    </row>
    <row r="89" spans="1:21" ht="15.75" customHeight="1">
      <c r="A89" s="46">
        <v>16</v>
      </c>
      <c r="B89" s="138" t="s">
        <v>113</v>
      </c>
      <c r="C89" s="243" t="s">
        <v>218</v>
      </c>
      <c r="D89" s="81"/>
      <c r="E89" s="16"/>
      <c r="F89" s="16">
        <v>1</v>
      </c>
      <c r="G89" s="16">
        <v>180.15</v>
      </c>
      <c r="H89" s="244">
        <f t="shared" si="7"/>
        <v>0.18015</v>
      </c>
      <c r="I89" s="16">
        <f>G89</f>
        <v>180.15</v>
      </c>
      <c r="J89" s="5"/>
      <c r="K89" s="5"/>
      <c r="L89" s="5"/>
      <c r="M89" s="5"/>
      <c r="N89" s="5"/>
      <c r="O89" s="5"/>
      <c r="P89" s="5"/>
      <c r="Q89" s="5"/>
      <c r="R89" s="197"/>
      <c r="S89" s="197"/>
      <c r="T89" s="197"/>
      <c r="U89" s="197"/>
    </row>
    <row r="90" spans="1:21" ht="15.75" customHeight="1">
      <c r="A90" s="46"/>
      <c r="B90" s="75" t="s">
        <v>66</v>
      </c>
      <c r="C90" s="71"/>
      <c r="D90" s="124"/>
      <c r="E90" s="71">
        <v>1</v>
      </c>
      <c r="F90" s="71"/>
      <c r="G90" s="71"/>
      <c r="H90" s="71"/>
      <c r="I90" s="53">
        <f>SUM(I88:I89)</f>
        <v>1243.6200000000001</v>
      </c>
    </row>
    <row r="91" spans="1:21" ht="15.75" customHeight="1">
      <c r="A91" s="46"/>
      <c r="B91" s="81" t="s">
        <v>103</v>
      </c>
      <c r="C91" s="19"/>
      <c r="D91" s="19"/>
      <c r="E91" s="72"/>
      <c r="F91" s="72"/>
      <c r="G91" s="73"/>
      <c r="H91" s="73"/>
      <c r="I91" s="22">
        <v>0</v>
      </c>
    </row>
    <row r="92" spans="1:21" ht="15.75" customHeight="1">
      <c r="A92" s="125"/>
      <c r="B92" s="76" t="s">
        <v>67</v>
      </c>
      <c r="C92" s="59"/>
      <c r="D92" s="59"/>
      <c r="E92" s="59"/>
      <c r="F92" s="59"/>
      <c r="G92" s="59"/>
      <c r="H92" s="59"/>
      <c r="I92" s="74">
        <f>I86+I90</f>
        <v>87337.91945239999</v>
      </c>
    </row>
    <row r="93" spans="1:21" ht="15.75" customHeight="1">
      <c r="A93" s="223" t="s">
        <v>300</v>
      </c>
      <c r="B93" s="223"/>
      <c r="C93" s="223"/>
      <c r="D93" s="223"/>
      <c r="E93" s="223"/>
      <c r="F93" s="223"/>
      <c r="G93" s="223"/>
      <c r="H93" s="223"/>
      <c r="I93" s="223"/>
    </row>
    <row r="94" spans="1:21" ht="15.75" customHeight="1">
      <c r="A94" s="201"/>
      <c r="B94" s="224" t="s">
        <v>301</v>
      </c>
      <c r="C94" s="224"/>
      <c r="D94" s="224"/>
      <c r="E94" s="224"/>
      <c r="F94" s="224"/>
      <c r="G94" s="224"/>
      <c r="H94" s="241"/>
      <c r="I94" s="3"/>
    </row>
    <row r="95" spans="1:21" ht="15.75" customHeight="1">
      <c r="A95" s="197"/>
      <c r="B95" s="212" t="s">
        <v>7</v>
      </c>
      <c r="C95" s="212"/>
      <c r="D95" s="212"/>
      <c r="E95" s="212"/>
      <c r="F95" s="212"/>
      <c r="G95" s="212"/>
      <c r="H95" s="36"/>
      <c r="I95" s="5"/>
    </row>
    <row r="96" spans="1:21" ht="15.75" customHeight="1">
      <c r="A96" s="11"/>
      <c r="B96" s="11"/>
      <c r="C96" s="11"/>
      <c r="D96" s="11"/>
      <c r="E96" s="11"/>
      <c r="F96" s="11"/>
      <c r="G96" s="11"/>
      <c r="H96" s="11"/>
      <c r="I96" s="11"/>
    </row>
    <row r="97" spans="1:9" ht="15.75" customHeight="1">
      <c r="A97" s="225" t="s">
        <v>8</v>
      </c>
      <c r="B97" s="225"/>
      <c r="C97" s="225"/>
      <c r="D97" s="225"/>
      <c r="E97" s="225"/>
      <c r="F97" s="225"/>
      <c r="G97" s="225"/>
      <c r="H97" s="225"/>
      <c r="I97" s="225"/>
    </row>
    <row r="98" spans="1:9" ht="15.75" customHeight="1">
      <c r="A98" s="225" t="s">
        <v>9</v>
      </c>
      <c r="B98" s="225"/>
      <c r="C98" s="225"/>
      <c r="D98" s="225"/>
      <c r="E98" s="225"/>
      <c r="F98" s="225"/>
      <c r="G98" s="225"/>
      <c r="H98" s="225"/>
      <c r="I98" s="225"/>
    </row>
    <row r="99" spans="1:9" ht="15.75" customHeight="1">
      <c r="A99" s="221" t="s">
        <v>82</v>
      </c>
      <c r="B99" s="221"/>
      <c r="C99" s="221"/>
      <c r="D99" s="221"/>
      <c r="E99" s="221"/>
      <c r="F99" s="221"/>
      <c r="G99" s="221"/>
      <c r="H99" s="221"/>
      <c r="I99" s="221"/>
    </row>
    <row r="100" spans="1:9" ht="15.75" customHeight="1">
      <c r="A100" s="12"/>
    </row>
    <row r="101" spans="1:9" ht="15.75" customHeight="1">
      <c r="A101" s="222" t="s">
        <v>11</v>
      </c>
      <c r="B101" s="222"/>
      <c r="C101" s="222"/>
      <c r="D101" s="222"/>
      <c r="E101" s="222"/>
      <c r="F101" s="222"/>
      <c r="G101" s="222"/>
      <c r="H101" s="222"/>
      <c r="I101" s="222"/>
    </row>
    <row r="102" spans="1:9" ht="15.75" customHeight="1">
      <c r="A102" s="4"/>
    </row>
    <row r="103" spans="1:9" ht="15.75" customHeight="1">
      <c r="B103" s="200" t="s">
        <v>12</v>
      </c>
      <c r="C103" s="214" t="s">
        <v>142</v>
      </c>
      <c r="D103" s="214"/>
      <c r="E103" s="214"/>
      <c r="F103" s="239"/>
      <c r="I103" s="196"/>
    </row>
    <row r="104" spans="1:9" ht="15.75" customHeight="1">
      <c r="A104" s="197"/>
      <c r="C104" s="212" t="s">
        <v>13</v>
      </c>
      <c r="D104" s="212"/>
      <c r="E104" s="212"/>
      <c r="F104" s="36"/>
      <c r="I104" s="195" t="s">
        <v>14</v>
      </c>
    </row>
    <row r="105" spans="1:9" ht="15.75" customHeight="1">
      <c r="A105" s="37"/>
      <c r="C105" s="13"/>
      <c r="D105" s="13"/>
      <c r="G105" s="13"/>
      <c r="H105" s="13"/>
    </row>
    <row r="106" spans="1:9" ht="15.75" customHeight="1">
      <c r="B106" s="200" t="s">
        <v>15</v>
      </c>
      <c r="C106" s="213"/>
      <c r="D106" s="213"/>
      <c r="E106" s="213"/>
      <c r="F106" s="240"/>
      <c r="I106" s="196"/>
    </row>
    <row r="107" spans="1:9" ht="15.75" customHeight="1">
      <c r="A107" s="197"/>
      <c r="C107" s="207" t="s">
        <v>13</v>
      </c>
      <c r="D107" s="207"/>
      <c r="E107" s="207"/>
      <c r="F107" s="197"/>
      <c r="I107" s="195" t="s">
        <v>14</v>
      </c>
    </row>
    <row r="108" spans="1:9" ht="15.75" customHeight="1">
      <c r="A108" s="4" t="s">
        <v>16</v>
      </c>
    </row>
    <row r="109" spans="1:9" ht="15.75" customHeight="1">
      <c r="A109" s="220" t="s">
        <v>17</v>
      </c>
      <c r="B109" s="220"/>
      <c r="C109" s="220"/>
      <c r="D109" s="220"/>
      <c r="E109" s="220"/>
      <c r="F109" s="220"/>
      <c r="G109" s="220"/>
      <c r="H109" s="220"/>
      <c r="I109" s="220"/>
    </row>
    <row r="110" spans="1:9" ht="45" customHeight="1">
      <c r="A110" s="219" t="s">
        <v>18</v>
      </c>
      <c r="B110" s="219"/>
      <c r="C110" s="219"/>
      <c r="D110" s="219"/>
      <c r="E110" s="219"/>
      <c r="F110" s="219"/>
      <c r="G110" s="219"/>
      <c r="H110" s="219"/>
      <c r="I110" s="219"/>
    </row>
    <row r="111" spans="1:9" ht="30" customHeight="1">
      <c r="A111" s="219" t="s">
        <v>19</v>
      </c>
      <c r="B111" s="219"/>
      <c r="C111" s="219"/>
      <c r="D111" s="219"/>
      <c r="E111" s="219"/>
      <c r="F111" s="219"/>
      <c r="G111" s="219"/>
      <c r="H111" s="219"/>
      <c r="I111" s="219"/>
    </row>
    <row r="112" spans="1:9" ht="30" customHeight="1">
      <c r="A112" s="219" t="s">
        <v>24</v>
      </c>
      <c r="B112" s="219"/>
      <c r="C112" s="219"/>
      <c r="D112" s="219"/>
      <c r="E112" s="219"/>
      <c r="F112" s="219"/>
      <c r="G112" s="219"/>
      <c r="H112" s="219"/>
      <c r="I112" s="219"/>
    </row>
    <row r="113" spans="1:9" ht="15" customHeight="1">
      <c r="A113" s="219" t="s">
        <v>23</v>
      </c>
      <c r="B113" s="219"/>
      <c r="C113" s="219"/>
      <c r="D113" s="219"/>
      <c r="E113" s="219"/>
      <c r="F113" s="219"/>
      <c r="G113" s="219"/>
      <c r="H113" s="219"/>
      <c r="I113" s="219"/>
    </row>
  </sheetData>
  <autoFilter ref="I12:I62"/>
  <mergeCells count="28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3:I93"/>
    <mergeCell ref="B94:G94"/>
    <mergeCell ref="B95:G95"/>
    <mergeCell ref="A97:I97"/>
    <mergeCell ref="A98:I98"/>
    <mergeCell ref="A99:I99"/>
    <mergeCell ref="A15:I15"/>
    <mergeCell ref="A29:I29"/>
    <mergeCell ref="A47:I47"/>
    <mergeCell ref="A57:I57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1" t="s">
        <v>128</v>
      </c>
      <c r="I1" s="40"/>
      <c r="J1" s="1"/>
      <c r="K1" s="1"/>
      <c r="L1" s="1"/>
      <c r="M1" s="1"/>
    </row>
    <row r="2" spans="1:13" ht="15.75" customHeight="1">
      <c r="A2" s="42" t="s">
        <v>85</v>
      </c>
      <c r="J2" s="2"/>
      <c r="K2" s="2"/>
      <c r="L2" s="2"/>
      <c r="M2" s="2"/>
    </row>
    <row r="3" spans="1:13" ht="15.75" customHeight="1">
      <c r="A3" s="226" t="s">
        <v>302</v>
      </c>
      <c r="B3" s="226"/>
      <c r="C3" s="226"/>
      <c r="D3" s="226"/>
      <c r="E3" s="226"/>
      <c r="F3" s="226"/>
      <c r="G3" s="226"/>
      <c r="H3" s="226"/>
      <c r="I3" s="226"/>
      <c r="J3" s="3"/>
      <c r="K3" s="3"/>
      <c r="L3" s="3"/>
    </row>
    <row r="4" spans="1:13" ht="31.5" customHeight="1">
      <c r="A4" s="227" t="s">
        <v>228</v>
      </c>
      <c r="B4" s="227"/>
      <c r="C4" s="227"/>
      <c r="D4" s="227"/>
      <c r="E4" s="227"/>
      <c r="F4" s="227"/>
      <c r="G4" s="227"/>
      <c r="H4" s="227"/>
      <c r="I4" s="227"/>
    </row>
    <row r="5" spans="1:13" ht="15.75" customHeight="1">
      <c r="A5" s="226" t="s">
        <v>115</v>
      </c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5.75" customHeight="1">
      <c r="A6" s="2"/>
      <c r="B6" s="199"/>
      <c r="C6" s="199"/>
      <c r="D6" s="199"/>
      <c r="E6" s="199"/>
      <c r="F6" s="199"/>
      <c r="G6" s="199"/>
      <c r="H6" s="199"/>
      <c r="I6" s="51">
        <v>42582</v>
      </c>
      <c r="J6" s="2"/>
      <c r="K6" s="2"/>
      <c r="L6" s="2"/>
      <c r="M6" s="2"/>
    </row>
    <row r="7" spans="1:13" ht="15.75" customHeight="1">
      <c r="B7" s="200"/>
      <c r="C7" s="200"/>
      <c r="D7" s="20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5" t="s">
        <v>239</v>
      </c>
      <c r="B8" s="205"/>
      <c r="C8" s="205"/>
      <c r="D8" s="205"/>
      <c r="E8" s="205"/>
      <c r="F8" s="205"/>
      <c r="G8" s="205"/>
      <c r="H8" s="205"/>
      <c r="I8" s="20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06" t="s">
        <v>238</v>
      </c>
      <c r="B10" s="206"/>
      <c r="C10" s="206"/>
      <c r="D10" s="206"/>
      <c r="E10" s="206"/>
      <c r="F10" s="206"/>
      <c r="G10" s="206"/>
      <c r="H10" s="206"/>
      <c r="I10" s="20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29" t="s">
        <v>79</v>
      </c>
      <c r="B14" s="229"/>
      <c r="C14" s="229"/>
      <c r="D14" s="229"/>
      <c r="E14" s="229"/>
      <c r="F14" s="229"/>
      <c r="G14" s="229"/>
      <c r="H14" s="229"/>
      <c r="I14" s="229"/>
      <c r="J14" s="8"/>
      <c r="K14" s="8"/>
      <c r="L14" s="8"/>
      <c r="M14" s="8"/>
    </row>
    <row r="15" spans="1:13" ht="15.75" customHeight="1">
      <c r="A15" s="230" t="s">
        <v>4</v>
      </c>
      <c r="B15" s="230"/>
      <c r="C15" s="230"/>
      <c r="D15" s="230"/>
      <c r="E15" s="230"/>
      <c r="F15" s="230"/>
      <c r="G15" s="230"/>
      <c r="H15" s="230"/>
      <c r="I15" s="230"/>
      <c r="J15" s="8"/>
      <c r="K15" s="8"/>
      <c r="L15" s="8"/>
      <c r="M15" s="8"/>
    </row>
    <row r="16" spans="1:13" ht="15.75" customHeight="1">
      <c r="A16" s="46">
        <v>1</v>
      </c>
      <c r="B16" s="247" t="s">
        <v>130</v>
      </c>
      <c r="C16" s="248" t="s">
        <v>194</v>
      </c>
      <c r="D16" s="247" t="s">
        <v>195</v>
      </c>
      <c r="E16" s="249">
        <v>176.24</v>
      </c>
      <c r="F16" s="250">
        <f>SUM(E16*156/100)</f>
        <v>274.93440000000004</v>
      </c>
      <c r="G16" s="250">
        <v>187.48</v>
      </c>
      <c r="H16" s="251">
        <f t="shared" ref="H16:H26" si="0">SUM(F16*G16/1000)</f>
        <v>51.544701312000008</v>
      </c>
      <c r="I16" s="16">
        <f>F16/12*G16</f>
        <v>4295.3917760000004</v>
      </c>
      <c r="J16" s="8"/>
      <c r="K16" s="8"/>
      <c r="L16" s="8"/>
      <c r="M16" s="8"/>
    </row>
    <row r="17" spans="1:13" ht="15.75" customHeight="1">
      <c r="A17" s="46">
        <v>2</v>
      </c>
      <c r="B17" s="247" t="s">
        <v>151</v>
      </c>
      <c r="C17" s="248" t="s">
        <v>194</v>
      </c>
      <c r="D17" s="247" t="s">
        <v>196</v>
      </c>
      <c r="E17" s="249">
        <v>704.96</v>
      </c>
      <c r="F17" s="250">
        <f>SUM(E17*104/100)</f>
        <v>733.15839999999992</v>
      </c>
      <c r="G17" s="250">
        <v>187.48</v>
      </c>
      <c r="H17" s="251">
        <v>137.453</v>
      </c>
      <c r="I17" s="16">
        <f>F17/12*G17</f>
        <v>11454.378069333332</v>
      </c>
      <c r="J17" s="31"/>
      <c r="K17" s="8"/>
      <c r="L17" s="8"/>
      <c r="M17" s="8"/>
    </row>
    <row r="18" spans="1:13" ht="15.75" customHeight="1">
      <c r="A18" s="46">
        <v>3</v>
      </c>
      <c r="B18" s="247" t="s">
        <v>152</v>
      </c>
      <c r="C18" s="248" t="s">
        <v>194</v>
      </c>
      <c r="D18" s="247" t="s">
        <v>197</v>
      </c>
      <c r="E18" s="249">
        <f>SUM(E16+E17)</f>
        <v>881.2</v>
      </c>
      <c r="F18" s="250">
        <f>SUM(E18*24/100)</f>
        <v>211.48800000000003</v>
      </c>
      <c r="G18" s="250">
        <v>539.30999999999995</v>
      </c>
      <c r="H18" s="251">
        <f t="shared" si="0"/>
        <v>114.05759328000001</v>
      </c>
      <c r="I18" s="16">
        <f>F18/12*G18</f>
        <v>9504.7994400000007</v>
      </c>
      <c r="J18" s="31"/>
      <c r="K18" s="8"/>
      <c r="L18" s="8"/>
      <c r="M18" s="8"/>
    </row>
    <row r="19" spans="1:13" ht="15.75" hidden="1" customHeight="1">
      <c r="A19" s="46">
        <v>4</v>
      </c>
      <c r="B19" s="247" t="s">
        <v>198</v>
      </c>
      <c r="C19" s="248" t="s">
        <v>199</v>
      </c>
      <c r="D19" s="247" t="s">
        <v>200</v>
      </c>
      <c r="E19" s="249">
        <v>28.8</v>
      </c>
      <c r="F19" s="250">
        <f>SUM(E19/10)</f>
        <v>2.88</v>
      </c>
      <c r="G19" s="250">
        <v>181.91</v>
      </c>
      <c r="H19" s="251">
        <f t="shared" si="0"/>
        <v>0.52390080000000006</v>
      </c>
      <c r="I19" s="16">
        <v>0</v>
      </c>
      <c r="J19" s="31"/>
      <c r="K19" s="8"/>
      <c r="L19" s="8"/>
      <c r="M19" s="8"/>
    </row>
    <row r="20" spans="1:13" ht="15.75" customHeight="1">
      <c r="A20" s="46">
        <v>4</v>
      </c>
      <c r="B20" s="247" t="s">
        <v>164</v>
      </c>
      <c r="C20" s="248" t="s">
        <v>194</v>
      </c>
      <c r="D20" s="247" t="s">
        <v>36</v>
      </c>
      <c r="E20" s="249">
        <v>17.5</v>
      </c>
      <c r="F20" s="250">
        <f>SUM(E20*12/100)</f>
        <v>2.1</v>
      </c>
      <c r="G20" s="250">
        <v>232.92</v>
      </c>
      <c r="H20" s="251">
        <f t="shared" si="0"/>
        <v>0.48913200000000001</v>
      </c>
      <c r="I20" s="16">
        <f>F20/12*G20</f>
        <v>40.761000000000003</v>
      </c>
      <c r="J20" s="31"/>
      <c r="K20" s="8"/>
      <c r="L20" s="8"/>
      <c r="M20" s="8"/>
    </row>
    <row r="21" spans="1:13" ht="15.75" customHeight="1">
      <c r="A21" s="46">
        <v>5</v>
      </c>
      <c r="B21" s="247" t="s">
        <v>165</v>
      </c>
      <c r="C21" s="248" t="s">
        <v>194</v>
      </c>
      <c r="D21" s="247" t="s">
        <v>188</v>
      </c>
      <c r="E21" s="249">
        <v>5.94</v>
      </c>
      <c r="F21" s="250">
        <f>SUM(E21*6/100)</f>
        <v>0.35639999999999999</v>
      </c>
      <c r="G21" s="250">
        <v>231.03</v>
      </c>
      <c r="H21" s="251">
        <f t="shared" si="0"/>
        <v>8.2339091999999989E-2</v>
      </c>
      <c r="I21" s="16">
        <f>F21/6*G21</f>
        <v>13.723182</v>
      </c>
      <c r="J21" s="31"/>
      <c r="K21" s="8"/>
      <c r="L21" s="8"/>
      <c r="M21" s="8"/>
    </row>
    <row r="22" spans="1:13" ht="15.75" hidden="1" customHeight="1">
      <c r="A22" s="46">
        <v>7</v>
      </c>
      <c r="B22" s="247" t="s">
        <v>201</v>
      </c>
      <c r="C22" s="248" t="s">
        <v>68</v>
      </c>
      <c r="D22" s="247" t="s">
        <v>200</v>
      </c>
      <c r="E22" s="249">
        <v>376</v>
      </c>
      <c r="F22" s="250">
        <f>SUM(E22/100)</f>
        <v>3.76</v>
      </c>
      <c r="G22" s="250">
        <v>287.83999999999997</v>
      </c>
      <c r="H22" s="251">
        <f t="shared" si="0"/>
        <v>1.0822783999999999</v>
      </c>
      <c r="I22" s="16">
        <v>0</v>
      </c>
      <c r="J22" s="31"/>
      <c r="K22" s="8"/>
      <c r="L22" s="8"/>
      <c r="M22" s="8"/>
    </row>
    <row r="23" spans="1:13" ht="15.75" hidden="1" customHeight="1">
      <c r="A23" s="46">
        <v>8</v>
      </c>
      <c r="B23" s="247" t="s">
        <v>202</v>
      </c>
      <c r="C23" s="248" t="s">
        <v>68</v>
      </c>
      <c r="D23" s="247" t="s">
        <v>200</v>
      </c>
      <c r="E23" s="252">
        <v>60.4</v>
      </c>
      <c r="F23" s="250">
        <f>SUM(E23/100)</f>
        <v>0.60399999999999998</v>
      </c>
      <c r="G23" s="250">
        <v>47.34</v>
      </c>
      <c r="H23" s="251">
        <f t="shared" si="0"/>
        <v>2.8593360000000002E-2</v>
      </c>
      <c r="I23" s="16">
        <v>0</v>
      </c>
      <c r="J23" s="31"/>
      <c r="K23" s="8"/>
      <c r="L23" s="8"/>
      <c r="M23" s="8"/>
    </row>
    <row r="24" spans="1:13" ht="15.75" hidden="1" customHeight="1">
      <c r="A24" s="46">
        <v>9</v>
      </c>
      <c r="B24" s="247" t="s">
        <v>176</v>
      </c>
      <c r="C24" s="248" t="s">
        <v>68</v>
      </c>
      <c r="D24" s="247" t="s">
        <v>69</v>
      </c>
      <c r="E24" s="23">
        <v>25</v>
      </c>
      <c r="F24" s="253">
        <f>E24/100</f>
        <v>0.25</v>
      </c>
      <c r="G24" s="250">
        <v>416.62</v>
      </c>
      <c r="H24" s="251">
        <f>F24*G24/1000</f>
        <v>0.104155</v>
      </c>
      <c r="I24" s="16">
        <v>0</v>
      </c>
      <c r="J24" s="31"/>
      <c r="K24" s="8"/>
      <c r="L24" s="8"/>
      <c r="M24" s="8"/>
    </row>
    <row r="25" spans="1:13" ht="15.75" hidden="1" customHeight="1">
      <c r="A25" s="46">
        <v>10</v>
      </c>
      <c r="B25" s="247" t="s">
        <v>203</v>
      </c>
      <c r="C25" s="248" t="s">
        <v>68</v>
      </c>
      <c r="D25" s="247" t="s">
        <v>200</v>
      </c>
      <c r="E25" s="252">
        <v>23.75</v>
      </c>
      <c r="F25" s="250">
        <f>E25/100</f>
        <v>0.23749999999999999</v>
      </c>
      <c r="G25" s="250">
        <v>231.03</v>
      </c>
      <c r="H25" s="251">
        <f>F25*G25/1000</f>
        <v>5.4869624999999998E-2</v>
      </c>
      <c r="I25" s="16">
        <v>0</v>
      </c>
      <c r="J25" s="31"/>
      <c r="K25" s="8"/>
      <c r="L25" s="8"/>
      <c r="M25" s="8"/>
    </row>
    <row r="26" spans="1:13" ht="15.75" hidden="1" customHeight="1">
      <c r="A26" s="46">
        <v>11</v>
      </c>
      <c r="B26" s="247" t="s">
        <v>177</v>
      </c>
      <c r="C26" s="248" t="s">
        <v>68</v>
      </c>
      <c r="D26" s="247" t="s">
        <v>200</v>
      </c>
      <c r="E26" s="249">
        <v>10.63</v>
      </c>
      <c r="F26" s="250">
        <f>SUM(E26/100)</f>
        <v>0.10630000000000001</v>
      </c>
      <c r="G26" s="250">
        <v>556.74</v>
      </c>
      <c r="H26" s="251">
        <f t="shared" si="0"/>
        <v>5.9181462000000004E-2</v>
      </c>
      <c r="I26" s="16">
        <v>0</v>
      </c>
      <c r="J26" s="31"/>
      <c r="K26" s="8"/>
      <c r="L26" s="8"/>
      <c r="M26" s="8"/>
    </row>
    <row r="27" spans="1:13" ht="15.75" customHeight="1">
      <c r="A27" s="46">
        <v>6</v>
      </c>
      <c r="B27" s="247" t="s">
        <v>87</v>
      </c>
      <c r="C27" s="248" t="s">
        <v>40</v>
      </c>
      <c r="D27" s="247" t="s">
        <v>247</v>
      </c>
      <c r="E27" s="249">
        <v>0.1</v>
      </c>
      <c r="F27" s="250">
        <f>SUM(E27*365)</f>
        <v>36.5</v>
      </c>
      <c r="G27" s="250">
        <v>157.18</v>
      </c>
      <c r="H27" s="251">
        <f>SUM(F27*G27/1000)</f>
        <v>5.737070000000001</v>
      </c>
      <c r="I27" s="16">
        <f>F27/12*G27</f>
        <v>478.08916666666664</v>
      </c>
      <c r="J27" s="32"/>
    </row>
    <row r="28" spans="1:13" ht="15.75" customHeight="1">
      <c r="A28" s="46">
        <v>7</v>
      </c>
      <c r="B28" s="255" t="s">
        <v>26</v>
      </c>
      <c r="C28" s="248" t="s">
        <v>27</v>
      </c>
      <c r="D28" s="255" t="s">
        <v>247</v>
      </c>
      <c r="E28" s="249">
        <v>5816.5</v>
      </c>
      <c r="F28" s="250">
        <f>SUM(E28*12)</f>
        <v>69798</v>
      </c>
      <c r="G28" s="250">
        <v>4.72</v>
      </c>
      <c r="H28" s="251">
        <f>SUM(F28*G28/1000)</f>
        <v>329.44655999999998</v>
      </c>
      <c r="I28" s="16">
        <f>F28/12*G28</f>
        <v>27453.879999999997</v>
      </c>
      <c r="J28" s="32"/>
    </row>
    <row r="29" spans="1:13" ht="15.75" customHeight="1">
      <c r="A29" s="230" t="s">
        <v>122</v>
      </c>
      <c r="B29" s="230"/>
      <c r="C29" s="230"/>
      <c r="D29" s="230"/>
      <c r="E29" s="230"/>
      <c r="F29" s="230"/>
      <c r="G29" s="230"/>
      <c r="H29" s="230"/>
      <c r="I29" s="230"/>
      <c r="J29" s="31"/>
      <c r="K29" s="8"/>
      <c r="L29" s="8"/>
      <c r="M29" s="8"/>
    </row>
    <row r="30" spans="1:13" ht="15.75" customHeight="1">
      <c r="A30" s="46"/>
      <c r="B30" s="268" t="s">
        <v>34</v>
      </c>
      <c r="C30" s="248"/>
      <c r="D30" s="247"/>
      <c r="E30" s="249"/>
      <c r="F30" s="250"/>
      <c r="G30" s="250"/>
      <c r="H30" s="251"/>
      <c r="I30" s="16"/>
      <c r="J30" s="31"/>
      <c r="K30" s="8"/>
      <c r="L30" s="8"/>
      <c r="M30" s="8"/>
    </row>
    <row r="31" spans="1:13" ht="15.75" customHeight="1">
      <c r="A31" s="46">
        <v>8</v>
      </c>
      <c r="B31" s="247" t="s">
        <v>204</v>
      </c>
      <c r="C31" s="248" t="s">
        <v>205</v>
      </c>
      <c r="D31" s="247" t="s">
        <v>206</v>
      </c>
      <c r="E31" s="250">
        <v>357.22</v>
      </c>
      <c r="F31" s="250">
        <f>SUM(E31*52/1000)</f>
        <v>18.575440000000004</v>
      </c>
      <c r="G31" s="250">
        <v>166.65</v>
      </c>
      <c r="H31" s="251">
        <f t="shared" ref="H31:H38" si="1">SUM(F31*G31/1000)</f>
        <v>3.0955970760000011</v>
      </c>
      <c r="I31" s="16">
        <f>F31/6*G31</f>
        <v>515.93284600000015</v>
      </c>
      <c r="J31" s="31"/>
      <c r="K31" s="8"/>
      <c r="L31" s="8"/>
      <c r="M31" s="8"/>
    </row>
    <row r="32" spans="1:13" ht="31.5" customHeight="1">
      <c r="A32" s="46">
        <v>9</v>
      </c>
      <c r="B32" s="247" t="s">
        <v>281</v>
      </c>
      <c r="C32" s="248" t="s">
        <v>205</v>
      </c>
      <c r="D32" s="247" t="s">
        <v>208</v>
      </c>
      <c r="E32" s="250">
        <v>475.06</v>
      </c>
      <c r="F32" s="250">
        <f>SUM(E32*78/1000)</f>
        <v>37.054679999999998</v>
      </c>
      <c r="G32" s="250">
        <v>276.48</v>
      </c>
      <c r="H32" s="251">
        <f t="shared" si="1"/>
        <v>10.244877926400001</v>
      </c>
      <c r="I32" s="16">
        <f t="shared" ref="I32:I35" si="2">F32/6*G32</f>
        <v>1707.4796544000001</v>
      </c>
      <c r="J32" s="31"/>
      <c r="K32" s="8"/>
      <c r="L32" s="8"/>
      <c r="M32" s="8"/>
    </row>
    <row r="33" spans="1:14" ht="15.75" hidden="1" customHeight="1">
      <c r="A33" s="46">
        <v>16</v>
      </c>
      <c r="B33" s="247" t="s">
        <v>33</v>
      </c>
      <c r="C33" s="248" t="s">
        <v>205</v>
      </c>
      <c r="D33" s="247" t="s">
        <v>69</v>
      </c>
      <c r="E33" s="250">
        <v>357.22</v>
      </c>
      <c r="F33" s="250">
        <f>SUM(E33/1000)</f>
        <v>0.35722000000000004</v>
      </c>
      <c r="G33" s="250">
        <v>3228.73</v>
      </c>
      <c r="H33" s="251">
        <f t="shared" si="1"/>
        <v>1.1533669306000001</v>
      </c>
      <c r="I33" s="16">
        <f>F33*G33</f>
        <v>1153.3669306000002</v>
      </c>
      <c r="J33" s="31"/>
      <c r="K33" s="8"/>
      <c r="L33" s="8"/>
      <c r="M33" s="8"/>
    </row>
    <row r="34" spans="1:14" ht="15.75" customHeight="1">
      <c r="A34" s="46">
        <v>10</v>
      </c>
      <c r="B34" s="247" t="s">
        <v>245</v>
      </c>
      <c r="C34" s="248" t="s">
        <v>51</v>
      </c>
      <c r="D34" s="247" t="s">
        <v>246</v>
      </c>
      <c r="E34" s="250">
        <v>5</v>
      </c>
      <c r="F34" s="250">
        <f>E34*155/100</f>
        <v>7.75</v>
      </c>
      <c r="G34" s="250">
        <v>1391.86</v>
      </c>
      <c r="H34" s="251">
        <f>G34*F34/1000</f>
        <v>10.786914999999999</v>
      </c>
      <c r="I34" s="16">
        <f t="shared" si="2"/>
        <v>1797.8191666666667</v>
      </c>
      <c r="J34" s="31"/>
      <c r="K34" s="8"/>
      <c r="L34" s="8"/>
      <c r="M34" s="8"/>
    </row>
    <row r="35" spans="1:14" ht="15.75" customHeight="1">
      <c r="A35" s="46">
        <v>11</v>
      </c>
      <c r="B35" s="247" t="s">
        <v>210</v>
      </c>
      <c r="C35" s="248" t="s">
        <v>37</v>
      </c>
      <c r="D35" s="247" t="s">
        <v>86</v>
      </c>
      <c r="E35" s="254">
        <v>0.33333333333333331</v>
      </c>
      <c r="F35" s="250">
        <f>155/3</f>
        <v>51.666666666666664</v>
      </c>
      <c r="G35" s="250">
        <v>60.6</v>
      </c>
      <c r="H35" s="251">
        <f>SUM(G35*155/3/1000)</f>
        <v>3.1309999999999998</v>
      </c>
      <c r="I35" s="16">
        <f t="shared" si="2"/>
        <v>521.83333333333337</v>
      </c>
      <c r="J35" s="31"/>
      <c r="K35" s="8"/>
    </row>
    <row r="36" spans="1:14" ht="15.75" hidden="1" customHeight="1">
      <c r="A36" s="46"/>
      <c r="B36" s="247" t="s">
        <v>88</v>
      </c>
      <c r="C36" s="248" t="s">
        <v>40</v>
      </c>
      <c r="D36" s="247" t="s">
        <v>90</v>
      </c>
      <c r="E36" s="249"/>
      <c r="F36" s="250">
        <v>3</v>
      </c>
      <c r="G36" s="250">
        <v>204.52</v>
      </c>
      <c r="H36" s="251">
        <f t="shared" si="1"/>
        <v>0.61356000000000011</v>
      </c>
      <c r="I36" s="16">
        <v>0</v>
      </c>
      <c r="J36" s="32"/>
    </row>
    <row r="37" spans="1:14" ht="15.75" hidden="1" customHeight="1">
      <c r="A37" s="46"/>
      <c r="B37" s="247" t="s">
        <v>89</v>
      </c>
      <c r="C37" s="248" t="s">
        <v>39</v>
      </c>
      <c r="D37" s="247" t="s">
        <v>90</v>
      </c>
      <c r="E37" s="249"/>
      <c r="F37" s="250">
        <v>2</v>
      </c>
      <c r="G37" s="250">
        <v>1214.74</v>
      </c>
      <c r="H37" s="251">
        <f t="shared" si="1"/>
        <v>2.4294799999999999</v>
      </c>
      <c r="I37" s="16">
        <v>0</v>
      </c>
      <c r="J37" s="32"/>
    </row>
    <row r="38" spans="1:14" ht="15.75" hidden="1" customHeight="1">
      <c r="A38" s="46"/>
      <c r="B38" s="138" t="s">
        <v>248</v>
      </c>
      <c r="C38" s="243" t="s">
        <v>35</v>
      </c>
      <c r="D38" s="247"/>
      <c r="E38" s="249">
        <v>360.36</v>
      </c>
      <c r="F38" s="250">
        <f>E38*36/1000</f>
        <v>12.97296</v>
      </c>
      <c r="G38" s="250">
        <v>3228.73</v>
      </c>
      <c r="H38" s="251">
        <f t="shared" si="1"/>
        <v>41.886185140800002</v>
      </c>
      <c r="I38" s="16">
        <v>0</v>
      </c>
      <c r="J38" s="32"/>
    </row>
    <row r="39" spans="1:14" ht="15.75" hidden="1" customHeight="1">
      <c r="A39" s="46"/>
      <c r="B39" s="268" t="s">
        <v>5</v>
      </c>
      <c r="C39" s="248"/>
      <c r="D39" s="247"/>
      <c r="E39" s="249"/>
      <c r="F39" s="250"/>
      <c r="G39" s="250"/>
      <c r="H39" s="251" t="s">
        <v>225</v>
      </c>
      <c r="I39" s="16"/>
      <c r="J39" s="32"/>
    </row>
    <row r="40" spans="1:14" ht="15.75" hidden="1" customHeight="1">
      <c r="A40" s="46">
        <v>8</v>
      </c>
      <c r="B40" s="247" t="s">
        <v>31</v>
      </c>
      <c r="C40" s="248" t="s">
        <v>39</v>
      </c>
      <c r="D40" s="247"/>
      <c r="E40" s="249"/>
      <c r="F40" s="250">
        <v>10</v>
      </c>
      <c r="G40" s="250">
        <v>1632.6</v>
      </c>
      <c r="H40" s="251">
        <f t="shared" ref="H40:H46" si="3">SUM(F40*G40/1000)</f>
        <v>16.326000000000001</v>
      </c>
      <c r="I40" s="16">
        <f>F40/6*G40</f>
        <v>2721</v>
      </c>
      <c r="J40" s="32"/>
      <c r="L40" s="25"/>
      <c r="M40" s="26"/>
      <c r="N40" s="27"/>
    </row>
    <row r="41" spans="1:14" ht="15.75" hidden="1" customHeight="1">
      <c r="A41" s="46">
        <v>9</v>
      </c>
      <c r="B41" s="247" t="s">
        <v>91</v>
      </c>
      <c r="C41" s="248" t="s">
        <v>35</v>
      </c>
      <c r="D41" s="247" t="s">
        <v>211</v>
      </c>
      <c r="E41" s="250">
        <v>469.73</v>
      </c>
      <c r="F41" s="250">
        <f>SUM(E41*30/1000)</f>
        <v>14.091900000000001</v>
      </c>
      <c r="G41" s="250">
        <v>2247.8000000000002</v>
      </c>
      <c r="H41" s="251">
        <f t="shared" si="3"/>
        <v>31.675772820000006</v>
      </c>
      <c r="I41" s="16">
        <f>F41/6*G41</f>
        <v>5279.2954700000009</v>
      </c>
      <c r="J41" s="32"/>
      <c r="L41" s="25"/>
      <c r="M41" s="26"/>
      <c r="N41" s="27"/>
    </row>
    <row r="42" spans="1:14" ht="15.75" hidden="1" customHeight="1">
      <c r="A42" s="46"/>
      <c r="B42" s="247" t="s">
        <v>156</v>
      </c>
      <c r="C42" s="248" t="s">
        <v>229</v>
      </c>
      <c r="D42" s="247" t="s">
        <v>90</v>
      </c>
      <c r="E42" s="249"/>
      <c r="F42" s="250">
        <v>120</v>
      </c>
      <c r="G42" s="250">
        <v>213.2</v>
      </c>
      <c r="H42" s="251">
        <f t="shared" si="3"/>
        <v>25.584</v>
      </c>
      <c r="I42" s="16">
        <v>0</v>
      </c>
      <c r="J42" s="32"/>
      <c r="L42" s="25"/>
      <c r="M42" s="26"/>
      <c r="N42" s="27"/>
    </row>
    <row r="43" spans="1:14" ht="15.75" hidden="1" customHeight="1">
      <c r="A43" s="46">
        <v>10</v>
      </c>
      <c r="B43" s="247" t="s">
        <v>92</v>
      </c>
      <c r="C43" s="248" t="s">
        <v>35</v>
      </c>
      <c r="D43" s="247" t="s">
        <v>212</v>
      </c>
      <c r="E43" s="250">
        <v>475.06</v>
      </c>
      <c r="F43" s="250">
        <f>SUM(E43*155/1000)</f>
        <v>73.634299999999996</v>
      </c>
      <c r="G43" s="250">
        <v>374.95</v>
      </c>
      <c r="H43" s="251">
        <f t="shared" si="3"/>
        <v>27.609180784999996</v>
      </c>
      <c r="I43" s="16">
        <f>F43/6*G43</f>
        <v>4601.5301308333328</v>
      </c>
      <c r="J43" s="32"/>
      <c r="L43" s="25"/>
      <c r="M43" s="26"/>
      <c r="N43" s="27"/>
    </row>
    <row r="44" spans="1:14" ht="47.25" hidden="1" customHeight="1">
      <c r="A44" s="46">
        <v>11</v>
      </c>
      <c r="B44" s="247" t="s">
        <v>118</v>
      </c>
      <c r="C44" s="248" t="s">
        <v>205</v>
      </c>
      <c r="D44" s="247" t="s">
        <v>230</v>
      </c>
      <c r="E44" s="250">
        <v>40.6</v>
      </c>
      <c r="F44" s="250">
        <f>SUM(E44*35/1000)</f>
        <v>1.421</v>
      </c>
      <c r="G44" s="250">
        <v>6203.7</v>
      </c>
      <c r="H44" s="251">
        <f t="shared" si="3"/>
        <v>8.8154577000000014</v>
      </c>
      <c r="I44" s="16">
        <f>F44/6*G44</f>
        <v>1469.2429500000001</v>
      </c>
      <c r="J44" s="32"/>
      <c r="L44" s="25"/>
      <c r="M44" s="26"/>
      <c r="N44" s="27"/>
    </row>
    <row r="45" spans="1:14" ht="15.75" hidden="1" customHeight="1">
      <c r="A45" s="46">
        <v>12</v>
      </c>
      <c r="B45" s="247" t="s">
        <v>213</v>
      </c>
      <c r="C45" s="248" t="s">
        <v>205</v>
      </c>
      <c r="D45" s="247" t="s">
        <v>93</v>
      </c>
      <c r="E45" s="250">
        <v>167.03</v>
      </c>
      <c r="F45" s="250">
        <f>SUM(E45*45/1000)</f>
        <v>7.5163500000000001</v>
      </c>
      <c r="G45" s="250">
        <v>458.28</v>
      </c>
      <c r="H45" s="251">
        <f t="shared" si="3"/>
        <v>3.4445928779999999</v>
      </c>
      <c r="I45" s="16">
        <f>F45/6*G45</f>
        <v>574.09881299999995</v>
      </c>
      <c r="J45" s="32"/>
      <c r="L45" s="25"/>
      <c r="M45" s="26"/>
      <c r="N45" s="27"/>
    </row>
    <row r="46" spans="1:14" ht="15.75" hidden="1" customHeight="1">
      <c r="A46" s="46">
        <v>13</v>
      </c>
      <c r="B46" s="247" t="s">
        <v>94</v>
      </c>
      <c r="C46" s="248" t="s">
        <v>40</v>
      </c>
      <c r="D46" s="247"/>
      <c r="E46" s="249"/>
      <c r="F46" s="250">
        <v>1.2</v>
      </c>
      <c r="G46" s="250">
        <v>853.06</v>
      </c>
      <c r="H46" s="251">
        <f t="shared" si="3"/>
        <v>1.0236719999999999</v>
      </c>
      <c r="I46" s="16">
        <f>F46/6*G46</f>
        <v>170.61199999999997</v>
      </c>
      <c r="J46" s="32"/>
      <c r="L46" s="25"/>
      <c r="M46" s="26"/>
      <c r="N46" s="27"/>
    </row>
    <row r="47" spans="1:14" ht="15.75" hidden="1" customHeight="1">
      <c r="A47" s="231" t="s">
        <v>240</v>
      </c>
      <c r="B47" s="232"/>
      <c r="C47" s="232"/>
      <c r="D47" s="232"/>
      <c r="E47" s="232"/>
      <c r="F47" s="232"/>
      <c r="G47" s="232"/>
      <c r="H47" s="232"/>
      <c r="I47" s="233"/>
      <c r="J47" s="32"/>
      <c r="L47" s="25"/>
      <c r="M47" s="26"/>
      <c r="N47" s="27"/>
    </row>
    <row r="48" spans="1:14" ht="15.75" hidden="1" customHeight="1">
      <c r="A48" s="46"/>
      <c r="B48" s="247" t="s">
        <v>214</v>
      </c>
      <c r="C48" s="248" t="s">
        <v>205</v>
      </c>
      <c r="D48" s="247" t="s">
        <v>55</v>
      </c>
      <c r="E48" s="249">
        <v>1603.6</v>
      </c>
      <c r="F48" s="250">
        <f>SUM(E48*2/1000)</f>
        <v>3.2071999999999998</v>
      </c>
      <c r="G48" s="16">
        <v>908.11</v>
      </c>
      <c r="H48" s="251">
        <f t="shared" ref="H48:H56" si="4">SUM(F48*G48/1000)</f>
        <v>2.9124903919999996</v>
      </c>
      <c r="I48" s="16">
        <v>0</v>
      </c>
      <c r="J48" s="32"/>
      <c r="L48" s="25"/>
      <c r="M48" s="26"/>
      <c r="N48" s="27"/>
    </row>
    <row r="49" spans="1:22" ht="15.75" hidden="1" customHeight="1">
      <c r="A49" s="46"/>
      <c r="B49" s="247" t="s">
        <v>44</v>
      </c>
      <c r="C49" s="248" t="s">
        <v>205</v>
      </c>
      <c r="D49" s="247" t="s">
        <v>55</v>
      </c>
      <c r="E49" s="249">
        <v>65</v>
      </c>
      <c r="F49" s="250">
        <f>SUM(E49*2/1000)</f>
        <v>0.13</v>
      </c>
      <c r="G49" s="16">
        <v>619.46</v>
      </c>
      <c r="H49" s="251">
        <f t="shared" si="4"/>
        <v>8.0529800000000012E-2</v>
      </c>
      <c r="I49" s="16">
        <v>0</v>
      </c>
      <c r="J49" s="32"/>
      <c r="L49" s="25"/>
      <c r="M49" s="26"/>
      <c r="N49" s="27"/>
    </row>
    <row r="50" spans="1:22" ht="15.75" hidden="1" customHeight="1">
      <c r="A50" s="46"/>
      <c r="B50" s="247" t="s">
        <v>45</v>
      </c>
      <c r="C50" s="248" t="s">
        <v>205</v>
      </c>
      <c r="D50" s="247" t="s">
        <v>55</v>
      </c>
      <c r="E50" s="249">
        <v>1825.8</v>
      </c>
      <c r="F50" s="250">
        <f>SUM(E50*2/1000)</f>
        <v>3.6515999999999997</v>
      </c>
      <c r="G50" s="16">
        <v>619.46</v>
      </c>
      <c r="H50" s="251">
        <f t="shared" si="4"/>
        <v>2.2620201360000003</v>
      </c>
      <c r="I50" s="16">
        <v>0</v>
      </c>
      <c r="J50" s="32"/>
      <c r="L50" s="25"/>
      <c r="M50" s="26"/>
      <c r="N50" s="27"/>
    </row>
    <row r="51" spans="1:22" ht="15.75" hidden="1" customHeight="1">
      <c r="A51" s="46"/>
      <c r="B51" s="247" t="s">
        <v>46</v>
      </c>
      <c r="C51" s="248" t="s">
        <v>205</v>
      </c>
      <c r="D51" s="247" t="s">
        <v>55</v>
      </c>
      <c r="E51" s="249">
        <v>3163.96</v>
      </c>
      <c r="F51" s="250">
        <f>SUM(E51*2/1000)</f>
        <v>6.3279199999999998</v>
      </c>
      <c r="G51" s="16">
        <v>648.64</v>
      </c>
      <c r="H51" s="251">
        <f t="shared" si="4"/>
        <v>4.1045420287999992</v>
      </c>
      <c r="I51" s="16">
        <v>0</v>
      </c>
      <c r="J51" s="32"/>
      <c r="L51" s="25"/>
      <c r="M51" s="26"/>
      <c r="N51" s="27"/>
    </row>
    <row r="52" spans="1:22" ht="15.75" hidden="1" customHeight="1">
      <c r="A52" s="46">
        <v>14</v>
      </c>
      <c r="B52" s="247" t="s">
        <v>76</v>
      </c>
      <c r="C52" s="248" t="s">
        <v>205</v>
      </c>
      <c r="D52" s="247" t="s">
        <v>282</v>
      </c>
      <c r="E52" s="249">
        <v>1583</v>
      </c>
      <c r="F52" s="250">
        <f>SUM(E52*5/1000)</f>
        <v>7.915</v>
      </c>
      <c r="G52" s="16">
        <v>1297.28</v>
      </c>
      <c r="H52" s="251">
        <f t="shared" si="4"/>
        <v>10.2679712</v>
      </c>
      <c r="I52" s="16">
        <f>F52/5*G52</f>
        <v>2053.5942399999999</v>
      </c>
      <c r="J52" s="32"/>
      <c r="L52" s="25"/>
      <c r="M52" s="26"/>
      <c r="N52" s="27"/>
    </row>
    <row r="53" spans="1:22" ht="31.5" hidden="1" customHeight="1">
      <c r="A53" s="46"/>
      <c r="B53" s="247" t="s">
        <v>216</v>
      </c>
      <c r="C53" s="248" t="s">
        <v>205</v>
      </c>
      <c r="D53" s="247" t="s">
        <v>55</v>
      </c>
      <c r="E53" s="249">
        <v>1583</v>
      </c>
      <c r="F53" s="250">
        <f>SUM(E53*2/1000)</f>
        <v>3.1659999999999999</v>
      </c>
      <c r="G53" s="16">
        <v>1297.28</v>
      </c>
      <c r="H53" s="251">
        <f t="shared" si="4"/>
        <v>4.1071884799999996</v>
      </c>
      <c r="I53" s="16">
        <v>0</v>
      </c>
      <c r="J53" s="32"/>
      <c r="L53" s="25"/>
      <c r="M53" s="26"/>
      <c r="N53" s="27"/>
    </row>
    <row r="54" spans="1:22" ht="31.5" hidden="1" customHeight="1">
      <c r="A54" s="46"/>
      <c r="B54" s="247" t="s">
        <v>217</v>
      </c>
      <c r="C54" s="248" t="s">
        <v>49</v>
      </c>
      <c r="D54" s="247" t="s">
        <v>55</v>
      </c>
      <c r="E54" s="249">
        <v>25</v>
      </c>
      <c r="F54" s="250">
        <f>SUM(E54*2/100)</f>
        <v>0.5</v>
      </c>
      <c r="G54" s="16">
        <v>2918.89</v>
      </c>
      <c r="H54" s="251">
        <f t="shared" si="4"/>
        <v>1.4594449999999999</v>
      </c>
      <c r="I54" s="16">
        <v>0</v>
      </c>
      <c r="J54" s="32"/>
      <c r="L54" s="25"/>
      <c r="M54" s="26"/>
      <c r="N54" s="27"/>
    </row>
    <row r="55" spans="1:22" ht="15.75" hidden="1" customHeight="1">
      <c r="A55" s="46"/>
      <c r="B55" s="247" t="s">
        <v>50</v>
      </c>
      <c r="C55" s="248" t="s">
        <v>51</v>
      </c>
      <c r="D55" s="247" t="s">
        <v>55</v>
      </c>
      <c r="E55" s="249">
        <v>1</v>
      </c>
      <c r="F55" s="250">
        <v>0.02</v>
      </c>
      <c r="G55" s="16">
        <v>6042.12</v>
      </c>
      <c r="H55" s="251">
        <f t="shared" si="4"/>
        <v>0.1208424</v>
      </c>
      <c r="I55" s="16">
        <v>0</v>
      </c>
      <c r="J55" s="32"/>
      <c r="L55" s="25"/>
      <c r="M55" s="26"/>
      <c r="N55" s="27"/>
    </row>
    <row r="56" spans="1:22" ht="15.75" hidden="1" customHeight="1">
      <c r="A56" s="46">
        <v>15</v>
      </c>
      <c r="B56" s="247" t="s">
        <v>54</v>
      </c>
      <c r="C56" s="248" t="s">
        <v>37</v>
      </c>
      <c r="D56" s="247" t="s">
        <v>95</v>
      </c>
      <c r="E56" s="249">
        <v>36</v>
      </c>
      <c r="F56" s="250">
        <f>SUM(E56)*3</f>
        <v>108</v>
      </c>
      <c r="G56" s="16">
        <v>70.209999999999994</v>
      </c>
      <c r="H56" s="251">
        <f t="shared" si="4"/>
        <v>7.582679999999999</v>
      </c>
      <c r="I56" s="16">
        <f>E56*G56</f>
        <v>2527.56</v>
      </c>
      <c r="J56" s="32"/>
      <c r="L56" s="25"/>
      <c r="M56" s="26"/>
      <c r="N56" s="27"/>
    </row>
    <row r="57" spans="1:22" ht="15.75" customHeight="1">
      <c r="A57" s="231" t="s">
        <v>289</v>
      </c>
      <c r="B57" s="232"/>
      <c r="C57" s="232"/>
      <c r="D57" s="232"/>
      <c r="E57" s="232"/>
      <c r="F57" s="232"/>
      <c r="G57" s="232"/>
      <c r="H57" s="232"/>
      <c r="I57" s="233"/>
      <c r="J57" s="32"/>
      <c r="L57" s="25"/>
      <c r="M57" s="26"/>
      <c r="N57" s="27"/>
    </row>
    <row r="58" spans="1:22" ht="15.75" hidden="1" customHeight="1">
      <c r="A58" s="46"/>
      <c r="B58" s="268" t="s">
        <v>56</v>
      </c>
      <c r="C58" s="248"/>
      <c r="D58" s="247"/>
      <c r="E58" s="249"/>
      <c r="F58" s="250"/>
      <c r="G58" s="250"/>
      <c r="H58" s="251"/>
      <c r="I58" s="16"/>
      <c r="J58" s="32"/>
      <c r="L58" s="25"/>
      <c r="M58" s="26"/>
      <c r="N58" s="27"/>
    </row>
    <row r="59" spans="1:22" ht="31.5" hidden="1" customHeight="1">
      <c r="A59" s="46">
        <v>16</v>
      </c>
      <c r="B59" s="247" t="s">
        <v>231</v>
      </c>
      <c r="C59" s="248" t="s">
        <v>194</v>
      </c>
      <c r="D59" s="247" t="s">
        <v>96</v>
      </c>
      <c r="E59" s="256">
        <v>3.78</v>
      </c>
      <c r="F59" s="16">
        <f>E59*6/100</f>
        <v>0.2268</v>
      </c>
      <c r="G59" s="250">
        <v>1654.04</v>
      </c>
      <c r="H59" s="251">
        <f>SUM(F59*G59/1000)</f>
        <v>0.37513627199999999</v>
      </c>
      <c r="I59" s="16">
        <f>F59/6*G59</f>
        <v>62.522711999999999</v>
      </c>
      <c r="J59" s="32"/>
      <c r="L59" s="25"/>
      <c r="M59" s="26"/>
      <c r="N59" s="27"/>
    </row>
    <row r="60" spans="1:22" ht="31.5" hidden="1" customHeight="1">
      <c r="A60" s="46">
        <v>17</v>
      </c>
      <c r="B60" s="247" t="s">
        <v>219</v>
      </c>
      <c r="C60" s="248" t="s">
        <v>194</v>
      </c>
      <c r="D60" s="247" t="s">
        <v>96</v>
      </c>
      <c r="E60" s="249">
        <v>185.36</v>
      </c>
      <c r="F60" s="250">
        <f>E60*6/100</f>
        <v>11.121600000000001</v>
      </c>
      <c r="G60" s="257">
        <v>1654.04</v>
      </c>
      <c r="H60" s="251">
        <f>F60*G60/1000</f>
        <v>18.395571264000001</v>
      </c>
      <c r="I60" s="16">
        <f>F60/6*G60</f>
        <v>3065.9285440000003</v>
      </c>
      <c r="J60" s="32"/>
      <c r="L60" s="25"/>
    </row>
    <row r="61" spans="1:22" ht="15.75" hidden="1" customHeight="1">
      <c r="A61" s="46"/>
      <c r="B61" s="258" t="s">
        <v>168</v>
      </c>
      <c r="C61" s="248" t="s">
        <v>169</v>
      </c>
      <c r="D61" s="258" t="s">
        <v>55</v>
      </c>
      <c r="E61" s="259">
        <v>5</v>
      </c>
      <c r="F61" s="260">
        <v>10</v>
      </c>
      <c r="G61" s="257">
        <v>198.25</v>
      </c>
      <c r="H61" s="261">
        <v>0.99099999999999999</v>
      </c>
      <c r="I61" s="16">
        <v>0</v>
      </c>
      <c r="J61" s="32"/>
      <c r="L61" s="25"/>
    </row>
    <row r="62" spans="1:22" ht="15.75" customHeight="1">
      <c r="A62" s="46"/>
      <c r="B62" s="269" t="s">
        <v>57</v>
      </c>
      <c r="C62" s="262"/>
      <c r="D62" s="258"/>
      <c r="E62" s="259"/>
      <c r="F62" s="260"/>
      <c r="G62" s="263"/>
      <c r="H62" s="261"/>
      <c r="I62" s="16"/>
    </row>
    <row r="63" spans="1:22" ht="15.75" hidden="1" customHeight="1">
      <c r="A63" s="46"/>
      <c r="B63" s="258" t="s">
        <v>58</v>
      </c>
      <c r="C63" s="262" t="s">
        <v>68</v>
      </c>
      <c r="D63" s="258" t="s">
        <v>69</v>
      </c>
      <c r="E63" s="259">
        <v>1752</v>
      </c>
      <c r="F63" s="260">
        <f>E63/100</f>
        <v>17.52</v>
      </c>
      <c r="G63" s="250">
        <v>848.37</v>
      </c>
      <c r="H63" s="261">
        <f>G63*F63/1000</f>
        <v>14.8634424</v>
      </c>
      <c r="I63" s="16">
        <v>0</v>
      </c>
    </row>
    <row r="64" spans="1:22" ht="15.75" customHeight="1">
      <c r="A64" s="46">
        <v>12</v>
      </c>
      <c r="B64" s="258" t="s">
        <v>159</v>
      </c>
      <c r="C64" s="262" t="s">
        <v>29</v>
      </c>
      <c r="D64" s="258" t="s">
        <v>249</v>
      </c>
      <c r="E64" s="259">
        <v>352</v>
      </c>
      <c r="F64" s="260">
        <f>E64*12</f>
        <v>4224</v>
      </c>
      <c r="G64" s="250">
        <v>2.6</v>
      </c>
      <c r="H64" s="261">
        <f>G64*F64/1000</f>
        <v>10.9824</v>
      </c>
      <c r="I64" s="16">
        <f>F64/12*G64</f>
        <v>915.2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0"/>
    </row>
    <row r="65" spans="1:21" ht="15.75" customHeight="1">
      <c r="A65" s="46"/>
      <c r="B65" s="269" t="s">
        <v>59</v>
      </c>
      <c r="C65" s="262"/>
      <c r="D65" s="258"/>
      <c r="E65" s="259"/>
      <c r="F65" s="260"/>
      <c r="G65" s="270"/>
      <c r="H65" s="261" t="s">
        <v>225</v>
      </c>
      <c r="I65" s="16"/>
      <c r="J65" s="37"/>
      <c r="K65" s="37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46">
        <v>13</v>
      </c>
      <c r="B66" s="18" t="s">
        <v>60</v>
      </c>
      <c r="C66" s="20" t="s">
        <v>218</v>
      </c>
      <c r="D66" s="18" t="s">
        <v>90</v>
      </c>
      <c r="E66" s="23">
        <v>10</v>
      </c>
      <c r="F66" s="250">
        <v>10</v>
      </c>
      <c r="G66" s="16">
        <v>237.74</v>
      </c>
      <c r="H66" s="244">
        <f t="shared" ref="H66:H80" si="5">SUM(F66*G66/1000)</f>
        <v>2.3774000000000002</v>
      </c>
      <c r="I66" s="16">
        <f>G66</f>
        <v>237.74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46"/>
      <c r="B67" s="18" t="s">
        <v>61</v>
      </c>
      <c r="C67" s="20" t="s">
        <v>218</v>
      </c>
      <c r="D67" s="18" t="s">
        <v>90</v>
      </c>
      <c r="E67" s="23">
        <v>5</v>
      </c>
      <c r="F67" s="250">
        <v>5</v>
      </c>
      <c r="G67" s="16">
        <v>81.510000000000005</v>
      </c>
      <c r="H67" s="244">
        <f t="shared" si="5"/>
        <v>0.40755000000000002</v>
      </c>
      <c r="I67" s="16">
        <v>0</v>
      </c>
      <c r="J67" s="5"/>
      <c r="K67" s="5"/>
      <c r="L67" s="5"/>
      <c r="M67" s="5"/>
      <c r="N67" s="5"/>
      <c r="O67" s="5"/>
      <c r="P67" s="5"/>
      <c r="Q67" s="5"/>
      <c r="R67" s="207"/>
      <c r="S67" s="207"/>
      <c r="T67" s="207"/>
      <c r="U67" s="207"/>
    </row>
    <row r="68" spans="1:21" ht="15.75" hidden="1" customHeight="1">
      <c r="A68" s="46"/>
      <c r="B68" s="18" t="s">
        <v>62</v>
      </c>
      <c r="C68" s="20" t="s">
        <v>220</v>
      </c>
      <c r="D68" s="18" t="s">
        <v>69</v>
      </c>
      <c r="E68" s="249">
        <v>23808</v>
      </c>
      <c r="F68" s="16">
        <f>SUM(E68/100)</f>
        <v>238.08</v>
      </c>
      <c r="G68" s="16">
        <v>226.79</v>
      </c>
      <c r="H68" s="244">
        <f t="shared" si="5"/>
        <v>53.994163200000003</v>
      </c>
      <c r="I68" s="16">
        <f>F68*G68</f>
        <v>53994.163200000003</v>
      </c>
    </row>
    <row r="69" spans="1:21" ht="15.75" hidden="1" customHeight="1">
      <c r="A69" s="46"/>
      <c r="B69" s="18" t="s">
        <v>63</v>
      </c>
      <c r="C69" s="20" t="s">
        <v>221</v>
      </c>
      <c r="D69" s="18"/>
      <c r="E69" s="249">
        <v>23808</v>
      </c>
      <c r="F69" s="16">
        <f>SUM(E69/1000)</f>
        <v>23.808</v>
      </c>
      <c r="G69" s="16">
        <v>176.61</v>
      </c>
      <c r="H69" s="244">
        <f t="shared" si="5"/>
        <v>4.2047308800000005</v>
      </c>
      <c r="I69" s="16">
        <f t="shared" ref="I69:I73" si="6">F69*G69</f>
        <v>4204.7308800000001</v>
      </c>
    </row>
    <row r="70" spans="1:21" ht="15.75" hidden="1" customHeight="1">
      <c r="A70" s="46"/>
      <c r="B70" s="18" t="s">
        <v>64</v>
      </c>
      <c r="C70" s="20" t="s">
        <v>101</v>
      </c>
      <c r="D70" s="18" t="s">
        <v>69</v>
      </c>
      <c r="E70" s="249">
        <v>3810</v>
      </c>
      <c r="F70" s="16">
        <f>SUM(E70/100)</f>
        <v>38.1</v>
      </c>
      <c r="G70" s="16">
        <v>2217.7800000000002</v>
      </c>
      <c r="H70" s="244">
        <f t="shared" si="5"/>
        <v>84.49741800000001</v>
      </c>
      <c r="I70" s="16">
        <f t="shared" si="6"/>
        <v>84497.418000000005</v>
      </c>
    </row>
    <row r="71" spans="1:21" ht="15.75" hidden="1" customHeight="1">
      <c r="A71" s="46"/>
      <c r="B71" s="264" t="s">
        <v>222</v>
      </c>
      <c r="C71" s="20" t="s">
        <v>40</v>
      </c>
      <c r="D71" s="18"/>
      <c r="E71" s="249">
        <v>23.4</v>
      </c>
      <c r="F71" s="16">
        <f>SUM(E71)</f>
        <v>23.4</v>
      </c>
      <c r="G71" s="16">
        <v>42.67</v>
      </c>
      <c r="H71" s="244">
        <f t="shared" si="5"/>
        <v>0.99847799999999998</v>
      </c>
      <c r="I71" s="16">
        <f t="shared" si="6"/>
        <v>998.47799999999995</v>
      </c>
    </row>
    <row r="72" spans="1:21" ht="15.75" hidden="1" customHeight="1">
      <c r="A72" s="46"/>
      <c r="B72" s="264" t="s">
        <v>232</v>
      </c>
      <c r="C72" s="20" t="s">
        <v>40</v>
      </c>
      <c r="D72" s="18"/>
      <c r="E72" s="249">
        <v>23.4</v>
      </c>
      <c r="F72" s="16">
        <f>SUM(E72)</f>
        <v>23.4</v>
      </c>
      <c r="G72" s="16">
        <v>39.81</v>
      </c>
      <c r="H72" s="244">
        <f t="shared" si="5"/>
        <v>0.93155399999999999</v>
      </c>
      <c r="I72" s="16">
        <f t="shared" si="6"/>
        <v>931.55399999999997</v>
      </c>
    </row>
    <row r="73" spans="1:21" ht="15.75" hidden="1" customHeight="1">
      <c r="A73" s="46"/>
      <c r="B73" s="18" t="s">
        <v>77</v>
      </c>
      <c r="C73" s="20" t="s">
        <v>78</v>
      </c>
      <c r="D73" s="18" t="s">
        <v>69</v>
      </c>
      <c r="E73" s="23">
        <v>5</v>
      </c>
      <c r="F73" s="250">
        <f>SUM(E73)</f>
        <v>5</v>
      </c>
      <c r="G73" s="16">
        <v>53.32</v>
      </c>
      <c r="H73" s="244">
        <f t="shared" si="5"/>
        <v>0.2666</v>
      </c>
      <c r="I73" s="16">
        <f t="shared" si="6"/>
        <v>266.60000000000002</v>
      </c>
    </row>
    <row r="74" spans="1:21" ht="15.75" customHeight="1">
      <c r="A74" s="46">
        <v>14</v>
      </c>
      <c r="B74" s="18" t="s">
        <v>233</v>
      </c>
      <c r="C74" s="20" t="s">
        <v>78</v>
      </c>
      <c r="D74" s="18" t="s">
        <v>36</v>
      </c>
      <c r="E74" s="23">
        <v>1</v>
      </c>
      <c r="F74" s="237">
        <v>12</v>
      </c>
      <c r="G74" s="16">
        <v>711</v>
      </c>
      <c r="H74" s="244">
        <v>8.5310000000000006</v>
      </c>
      <c r="I74" s="16">
        <f>F74/12*G74</f>
        <v>711</v>
      </c>
    </row>
    <row r="75" spans="1:21" ht="15.75" hidden="1" customHeight="1">
      <c r="A75" s="46"/>
      <c r="B75" s="198" t="s">
        <v>97</v>
      </c>
      <c r="C75" s="20"/>
      <c r="D75" s="18"/>
      <c r="E75" s="23"/>
      <c r="F75" s="16"/>
      <c r="G75" s="16"/>
      <c r="H75" s="244" t="s">
        <v>225</v>
      </c>
      <c r="I75" s="16"/>
    </row>
    <row r="76" spans="1:21" ht="15.75" hidden="1" customHeight="1">
      <c r="A76" s="46"/>
      <c r="B76" s="18" t="s">
        <v>98</v>
      </c>
      <c r="C76" s="20" t="s">
        <v>38</v>
      </c>
      <c r="D76" s="18" t="s">
        <v>90</v>
      </c>
      <c r="E76" s="23">
        <v>2</v>
      </c>
      <c r="F76" s="237">
        <v>0.2</v>
      </c>
      <c r="G76" s="16">
        <v>536.23</v>
      </c>
      <c r="H76" s="244">
        <v>0.107</v>
      </c>
      <c r="I76" s="16">
        <v>0</v>
      </c>
    </row>
    <row r="77" spans="1:21" ht="15.75" hidden="1" customHeight="1">
      <c r="A77" s="46"/>
      <c r="B77" s="18" t="s">
        <v>136</v>
      </c>
      <c r="C77" s="20" t="s">
        <v>37</v>
      </c>
      <c r="D77" s="18"/>
      <c r="E77" s="23">
        <v>1</v>
      </c>
      <c r="F77" s="250">
        <f>SUM(E77)</f>
        <v>1</v>
      </c>
      <c r="G77" s="16">
        <v>383.25</v>
      </c>
      <c r="H77" s="244">
        <f t="shared" si="5"/>
        <v>0.38324999999999998</v>
      </c>
      <c r="I77" s="16">
        <v>0</v>
      </c>
    </row>
    <row r="78" spans="1:21" ht="15.75" hidden="1" customHeight="1">
      <c r="A78" s="46"/>
      <c r="B78" s="18" t="s">
        <v>99</v>
      </c>
      <c r="C78" s="20" t="s">
        <v>37</v>
      </c>
      <c r="D78" s="18"/>
      <c r="E78" s="23">
        <v>1</v>
      </c>
      <c r="F78" s="16">
        <v>1</v>
      </c>
      <c r="G78" s="16">
        <v>911.85</v>
      </c>
      <c r="H78" s="244">
        <f>F78*G78/1000</f>
        <v>0.91185000000000005</v>
      </c>
      <c r="I78" s="16">
        <v>0</v>
      </c>
    </row>
    <row r="79" spans="1:21" ht="15.75" hidden="1" customHeight="1">
      <c r="A79" s="46"/>
      <c r="B79" s="265" t="s">
        <v>100</v>
      </c>
      <c r="C79" s="20"/>
      <c r="D79" s="18"/>
      <c r="E79" s="23"/>
      <c r="F79" s="16"/>
      <c r="G79" s="16" t="s">
        <v>225</v>
      </c>
      <c r="H79" s="244" t="s">
        <v>225</v>
      </c>
      <c r="I79" s="16"/>
    </row>
    <row r="80" spans="1:21" ht="15.75" hidden="1" customHeight="1">
      <c r="A80" s="46"/>
      <c r="B80" s="81" t="s">
        <v>226</v>
      </c>
      <c r="C80" s="20" t="s">
        <v>101</v>
      </c>
      <c r="D80" s="18"/>
      <c r="E80" s="23"/>
      <c r="F80" s="16">
        <v>0.6</v>
      </c>
      <c r="G80" s="16">
        <v>2949.85</v>
      </c>
      <c r="H80" s="244">
        <f t="shared" si="5"/>
        <v>1.7699099999999999</v>
      </c>
      <c r="I80" s="16">
        <v>0</v>
      </c>
      <c r="J80" s="5"/>
      <c r="K80" s="5"/>
      <c r="L80" s="5"/>
      <c r="M80" s="5"/>
      <c r="N80" s="5"/>
      <c r="O80" s="5"/>
      <c r="P80" s="5"/>
      <c r="Q80" s="5"/>
      <c r="R80" s="197"/>
      <c r="S80" s="197"/>
      <c r="T80" s="197"/>
      <c r="U80" s="197"/>
    </row>
    <row r="81" spans="1:21" ht="15.75" hidden="1" customHeight="1">
      <c r="A81" s="122"/>
      <c r="B81" s="198" t="s">
        <v>223</v>
      </c>
      <c r="C81" s="198"/>
      <c r="D81" s="198"/>
      <c r="E81" s="198"/>
      <c r="F81" s="198"/>
      <c r="G81" s="198"/>
      <c r="H81" s="198"/>
      <c r="I81" s="23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1:21" ht="15.75" hidden="1" customHeight="1">
      <c r="A82" s="46"/>
      <c r="B82" s="247" t="s">
        <v>224</v>
      </c>
      <c r="C82" s="20"/>
      <c r="D82" s="18"/>
      <c r="E82" s="238"/>
      <c r="F82" s="16">
        <v>1</v>
      </c>
      <c r="G82" s="16">
        <v>21062.799999999999</v>
      </c>
      <c r="H82" s="244">
        <f>G82*F82/1000</f>
        <v>21.062799999999999</v>
      </c>
      <c r="I82" s="16">
        <v>0</v>
      </c>
      <c r="J82" s="5"/>
      <c r="K82" s="5"/>
      <c r="L82" s="5"/>
      <c r="M82" s="5"/>
      <c r="N82" s="5"/>
      <c r="O82" s="5"/>
      <c r="P82" s="5"/>
      <c r="Q82" s="5"/>
      <c r="R82" s="197"/>
      <c r="S82" s="197"/>
      <c r="T82" s="197"/>
      <c r="U82" s="197"/>
    </row>
    <row r="83" spans="1:21" ht="15.75" customHeight="1">
      <c r="A83" s="234" t="s">
        <v>290</v>
      </c>
      <c r="B83" s="235"/>
      <c r="C83" s="235"/>
      <c r="D83" s="235"/>
      <c r="E83" s="235"/>
      <c r="F83" s="235"/>
      <c r="G83" s="235"/>
      <c r="H83" s="235"/>
      <c r="I83" s="236"/>
    </row>
    <row r="84" spans="1:21" ht="15.75" customHeight="1">
      <c r="A84" s="46">
        <v>15</v>
      </c>
      <c r="B84" s="247" t="s">
        <v>227</v>
      </c>
      <c r="C84" s="20" t="s">
        <v>73</v>
      </c>
      <c r="D84" s="266" t="s">
        <v>74</v>
      </c>
      <c r="E84" s="16">
        <v>5816.5</v>
      </c>
      <c r="F84" s="16">
        <f>SUM(E84*12)</f>
        <v>69798</v>
      </c>
      <c r="G84" s="16">
        <v>2.54</v>
      </c>
      <c r="H84" s="244">
        <f>SUM(F84*G84/1000)</f>
        <v>177.28692000000001</v>
      </c>
      <c r="I84" s="16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197"/>
      <c r="S84" s="197"/>
      <c r="T84" s="197"/>
      <c r="U84" s="197"/>
    </row>
    <row r="85" spans="1:21" ht="31.5" customHeight="1">
      <c r="A85" s="46">
        <v>16</v>
      </c>
      <c r="B85" s="18" t="s">
        <v>102</v>
      </c>
      <c r="C85" s="20"/>
      <c r="D85" s="266" t="s">
        <v>74</v>
      </c>
      <c r="E85" s="249">
        <f>E84</f>
        <v>5816.5</v>
      </c>
      <c r="F85" s="16">
        <f>E85*12</f>
        <v>69798</v>
      </c>
      <c r="G85" s="16">
        <v>2.0499999999999998</v>
      </c>
      <c r="H85" s="244">
        <f>F85*G85/1000</f>
        <v>143.08589999999998</v>
      </c>
      <c r="I85" s="16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197"/>
      <c r="S85" s="197"/>
      <c r="T85" s="197"/>
      <c r="U85" s="197"/>
    </row>
    <row r="86" spans="1:21" ht="15.75" customHeight="1">
      <c r="A86" s="122"/>
      <c r="B86" s="68" t="s">
        <v>108</v>
      </c>
      <c r="C86" s="70"/>
      <c r="D86" s="19"/>
      <c r="E86" s="19"/>
      <c r="F86" s="19"/>
      <c r="G86" s="23"/>
      <c r="H86" s="23"/>
      <c r="I86" s="53">
        <f>I16+I17+I18+I20+I21+I27+I28+I31+I32+I34+I35+I64+I66+I74+I84+I85</f>
        <v>86345.762634399987</v>
      </c>
    </row>
    <row r="87" spans="1:21" ht="15.75" customHeight="1">
      <c r="A87" s="122"/>
      <c r="B87" s="189" t="s">
        <v>80</v>
      </c>
      <c r="C87" s="189"/>
      <c r="D87" s="189"/>
      <c r="E87" s="189"/>
      <c r="F87" s="189"/>
      <c r="G87" s="189"/>
      <c r="H87" s="189"/>
      <c r="I87" s="189"/>
    </row>
    <row r="88" spans="1:21" ht="15.75" customHeight="1">
      <c r="A88" s="46">
        <v>17</v>
      </c>
      <c r="B88" s="138" t="s">
        <v>251</v>
      </c>
      <c r="C88" s="243" t="s">
        <v>119</v>
      </c>
      <c r="D88" s="81"/>
      <c r="E88" s="16"/>
      <c r="F88" s="16">
        <v>7</v>
      </c>
      <c r="G88" s="16">
        <v>185.81</v>
      </c>
      <c r="H88" s="244">
        <f t="shared" ref="H88" si="7">G88*F88/1000</f>
        <v>1.30067</v>
      </c>
      <c r="I88" s="16">
        <f>G88*3</f>
        <v>557.43000000000006</v>
      </c>
      <c r="J88" s="5"/>
      <c r="K88" s="5"/>
      <c r="L88" s="5"/>
      <c r="M88" s="5"/>
      <c r="N88" s="5"/>
      <c r="O88" s="5"/>
      <c r="P88" s="5"/>
      <c r="Q88" s="5"/>
      <c r="R88" s="197"/>
      <c r="S88" s="197"/>
      <c r="T88" s="197"/>
      <c r="U88" s="197"/>
    </row>
    <row r="89" spans="1:21" ht="15.75" customHeight="1">
      <c r="A89" s="46">
        <v>18</v>
      </c>
      <c r="B89" s="192" t="s">
        <v>121</v>
      </c>
      <c r="C89" s="243" t="s">
        <v>218</v>
      </c>
      <c r="D89" s="267"/>
      <c r="E89" s="16"/>
      <c r="F89" s="16">
        <v>5</v>
      </c>
      <c r="G89" s="16">
        <v>179.96</v>
      </c>
      <c r="H89" s="244">
        <f>G89*F89/1000</f>
        <v>0.89980000000000004</v>
      </c>
      <c r="I89" s="16">
        <f>G89*3</f>
        <v>539.88</v>
      </c>
      <c r="J89" s="5"/>
      <c r="K89" s="5"/>
      <c r="L89" s="5"/>
      <c r="M89" s="5"/>
      <c r="N89" s="5"/>
      <c r="O89" s="5"/>
      <c r="P89" s="5"/>
      <c r="Q89" s="5"/>
      <c r="R89" s="197"/>
      <c r="S89" s="197"/>
      <c r="T89" s="197"/>
      <c r="U89" s="197"/>
    </row>
    <row r="90" spans="1:21" ht="15.75" customHeight="1">
      <c r="A90" s="46">
        <v>19</v>
      </c>
      <c r="B90" s="245" t="s">
        <v>145</v>
      </c>
      <c r="C90" s="246" t="s">
        <v>146</v>
      </c>
      <c r="D90" s="81"/>
      <c r="E90" s="16"/>
      <c r="F90" s="16">
        <f>50/3</f>
        <v>16.666666666666668</v>
      </c>
      <c r="G90" s="16">
        <v>1063.47</v>
      </c>
      <c r="H90" s="244">
        <f t="shared" ref="H90:H92" si="8">G90*F90/1000</f>
        <v>17.724499999999999</v>
      </c>
      <c r="I90" s="16">
        <f>G90*((6+3+3+3+8)/3)</f>
        <v>8153.27</v>
      </c>
      <c r="J90" s="5"/>
      <c r="K90" s="5"/>
      <c r="L90" s="5"/>
      <c r="M90" s="5"/>
      <c r="N90" s="5"/>
      <c r="O90" s="5"/>
      <c r="P90" s="5"/>
      <c r="Q90" s="5"/>
      <c r="R90" s="197"/>
      <c r="S90" s="197"/>
      <c r="T90" s="197"/>
      <c r="U90" s="197"/>
    </row>
    <row r="91" spans="1:21" ht="15.75" customHeight="1">
      <c r="A91" s="46">
        <v>20</v>
      </c>
      <c r="B91" s="138" t="s">
        <v>265</v>
      </c>
      <c r="C91" s="243" t="s">
        <v>119</v>
      </c>
      <c r="D91" s="81"/>
      <c r="E91" s="16"/>
      <c r="F91" s="16">
        <v>2</v>
      </c>
      <c r="G91" s="16">
        <v>185.81</v>
      </c>
      <c r="H91" s="244">
        <f t="shared" si="8"/>
        <v>0.37162000000000001</v>
      </c>
      <c r="I91" s="16">
        <f>G91*2</f>
        <v>371.62</v>
      </c>
      <c r="J91" s="5"/>
      <c r="K91" s="5"/>
      <c r="L91" s="5"/>
      <c r="M91" s="5"/>
      <c r="N91" s="5"/>
      <c r="O91" s="5"/>
      <c r="P91" s="5"/>
      <c r="Q91" s="5"/>
      <c r="R91" s="197"/>
      <c r="S91" s="197"/>
      <c r="T91" s="197"/>
      <c r="U91" s="197"/>
    </row>
    <row r="92" spans="1:21" ht="15.75" customHeight="1">
      <c r="A92" s="46">
        <v>21</v>
      </c>
      <c r="B92" s="138" t="s">
        <v>266</v>
      </c>
      <c r="C92" s="193" t="s">
        <v>260</v>
      </c>
      <c r="D92" s="18"/>
      <c r="E92" s="23"/>
      <c r="F92" s="16">
        <v>1</v>
      </c>
      <c r="G92" s="16">
        <v>901.61</v>
      </c>
      <c r="H92" s="244">
        <f t="shared" si="8"/>
        <v>0.90161000000000002</v>
      </c>
      <c r="I92" s="16">
        <f>G92</f>
        <v>901.61</v>
      </c>
      <c r="J92" s="5"/>
      <c r="K92" s="5"/>
      <c r="L92" s="5"/>
      <c r="M92" s="5"/>
      <c r="N92" s="5"/>
      <c r="O92" s="5"/>
      <c r="P92" s="5"/>
      <c r="Q92" s="5"/>
      <c r="R92" s="197"/>
      <c r="S92" s="197"/>
      <c r="T92" s="197"/>
      <c r="U92" s="197"/>
    </row>
    <row r="93" spans="1:21" ht="15.75" customHeight="1">
      <c r="A93" s="46"/>
      <c r="B93" s="75" t="s">
        <v>66</v>
      </c>
      <c r="C93" s="71"/>
      <c r="D93" s="124"/>
      <c r="E93" s="71">
        <v>1</v>
      </c>
      <c r="F93" s="71"/>
      <c r="G93" s="71"/>
      <c r="H93" s="71"/>
      <c r="I93" s="53">
        <f>SUM(I88:I92)</f>
        <v>10523.810000000001</v>
      </c>
    </row>
    <row r="94" spans="1:21" ht="15.75" customHeight="1">
      <c r="A94" s="46"/>
      <c r="B94" s="81" t="s">
        <v>103</v>
      </c>
      <c r="C94" s="19"/>
      <c r="D94" s="19"/>
      <c r="E94" s="72"/>
      <c r="F94" s="72"/>
      <c r="G94" s="73"/>
      <c r="H94" s="73"/>
      <c r="I94" s="22">
        <v>0</v>
      </c>
    </row>
    <row r="95" spans="1:21" ht="15.75" customHeight="1">
      <c r="A95" s="125"/>
      <c r="B95" s="76" t="s">
        <v>67</v>
      </c>
      <c r="C95" s="59"/>
      <c r="D95" s="59"/>
      <c r="E95" s="59"/>
      <c r="F95" s="59"/>
      <c r="G95" s="59"/>
      <c r="H95" s="59"/>
      <c r="I95" s="74">
        <f>I86+I93</f>
        <v>96869.572634399985</v>
      </c>
    </row>
    <row r="96" spans="1:21" ht="15.75" customHeight="1">
      <c r="A96" s="223" t="s">
        <v>303</v>
      </c>
      <c r="B96" s="223"/>
      <c r="C96" s="223"/>
      <c r="D96" s="223"/>
      <c r="E96" s="223"/>
      <c r="F96" s="223"/>
      <c r="G96" s="223"/>
      <c r="H96" s="223"/>
      <c r="I96" s="223"/>
    </row>
    <row r="97" spans="1:9" ht="15.75" customHeight="1">
      <c r="A97" s="201"/>
      <c r="B97" s="224" t="s">
        <v>304</v>
      </c>
      <c r="C97" s="224"/>
      <c r="D97" s="224"/>
      <c r="E97" s="224"/>
      <c r="F97" s="224"/>
      <c r="G97" s="224"/>
      <c r="H97" s="241"/>
      <c r="I97" s="3"/>
    </row>
    <row r="98" spans="1:9" ht="15.75" customHeight="1">
      <c r="A98" s="197"/>
      <c r="B98" s="212" t="s">
        <v>7</v>
      </c>
      <c r="C98" s="212"/>
      <c r="D98" s="212"/>
      <c r="E98" s="212"/>
      <c r="F98" s="212"/>
      <c r="G98" s="212"/>
      <c r="H98" s="36"/>
      <c r="I98" s="5"/>
    </row>
    <row r="99" spans="1:9" ht="15.75" customHeight="1">
      <c r="A99" s="11"/>
      <c r="B99" s="11"/>
      <c r="C99" s="11"/>
      <c r="D99" s="11"/>
      <c r="E99" s="11"/>
      <c r="F99" s="11"/>
      <c r="G99" s="11"/>
      <c r="H99" s="11"/>
      <c r="I99" s="11"/>
    </row>
    <row r="100" spans="1:9" ht="15.75" customHeight="1">
      <c r="A100" s="225" t="s">
        <v>8</v>
      </c>
      <c r="B100" s="225"/>
      <c r="C100" s="225"/>
      <c r="D100" s="225"/>
      <c r="E100" s="225"/>
      <c r="F100" s="225"/>
      <c r="G100" s="225"/>
      <c r="H100" s="225"/>
      <c r="I100" s="225"/>
    </row>
    <row r="101" spans="1:9" ht="15.75" customHeight="1">
      <c r="A101" s="225" t="s">
        <v>9</v>
      </c>
      <c r="B101" s="225"/>
      <c r="C101" s="225"/>
      <c r="D101" s="225"/>
      <c r="E101" s="225"/>
      <c r="F101" s="225"/>
      <c r="G101" s="225"/>
      <c r="H101" s="225"/>
      <c r="I101" s="225"/>
    </row>
    <row r="102" spans="1:9" ht="15.75" customHeight="1">
      <c r="A102" s="221" t="s">
        <v>82</v>
      </c>
      <c r="B102" s="221"/>
      <c r="C102" s="221"/>
      <c r="D102" s="221"/>
      <c r="E102" s="221"/>
      <c r="F102" s="221"/>
      <c r="G102" s="221"/>
      <c r="H102" s="221"/>
      <c r="I102" s="221"/>
    </row>
    <row r="103" spans="1:9" ht="15.75" customHeight="1">
      <c r="A103" s="12"/>
    </row>
    <row r="104" spans="1:9" ht="15.75" customHeight="1">
      <c r="A104" s="222" t="s">
        <v>11</v>
      </c>
      <c r="B104" s="222"/>
      <c r="C104" s="222"/>
      <c r="D104" s="222"/>
      <c r="E104" s="222"/>
      <c r="F104" s="222"/>
      <c r="G104" s="222"/>
      <c r="H104" s="222"/>
      <c r="I104" s="222"/>
    </row>
    <row r="105" spans="1:9" ht="15.75" customHeight="1">
      <c r="A105" s="4"/>
    </row>
    <row r="106" spans="1:9" ht="15.75" customHeight="1">
      <c r="B106" s="200" t="s">
        <v>12</v>
      </c>
      <c r="C106" s="214" t="s">
        <v>142</v>
      </c>
      <c r="D106" s="214"/>
      <c r="E106" s="214"/>
      <c r="F106" s="239"/>
      <c r="I106" s="196"/>
    </row>
    <row r="107" spans="1:9" ht="15.75" customHeight="1">
      <c r="A107" s="197"/>
      <c r="C107" s="212" t="s">
        <v>13</v>
      </c>
      <c r="D107" s="212"/>
      <c r="E107" s="212"/>
      <c r="F107" s="36"/>
      <c r="I107" s="195" t="s">
        <v>14</v>
      </c>
    </row>
    <row r="108" spans="1:9" ht="15.75" customHeight="1">
      <c r="A108" s="37"/>
      <c r="C108" s="13"/>
      <c r="D108" s="13"/>
      <c r="G108" s="13"/>
      <c r="H108" s="13"/>
    </row>
    <row r="109" spans="1:9" ht="15.75" customHeight="1">
      <c r="B109" s="200" t="s">
        <v>15</v>
      </c>
      <c r="C109" s="213"/>
      <c r="D109" s="213"/>
      <c r="E109" s="213"/>
      <c r="F109" s="240"/>
      <c r="I109" s="196"/>
    </row>
    <row r="110" spans="1:9" ht="15.75" customHeight="1">
      <c r="A110" s="197"/>
      <c r="C110" s="207" t="s">
        <v>13</v>
      </c>
      <c r="D110" s="207"/>
      <c r="E110" s="207"/>
      <c r="F110" s="197"/>
      <c r="I110" s="195" t="s">
        <v>14</v>
      </c>
    </row>
    <row r="111" spans="1:9" ht="15.75" customHeight="1">
      <c r="A111" s="4" t="s">
        <v>16</v>
      </c>
    </row>
    <row r="112" spans="1:9" ht="15.75" customHeight="1">
      <c r="A112" s="220" t="s">
        <v>17</v>
      </c>
      <c r="B112" s="220"/>
      <c r="C112" s="220"/>
      <c r="D112" s="220"/>
      <c r="E112" s="220"/>
      <c r="F112" s="220"/>
      <c r="G112" s="220"/>
      <c r="H112" s="220"/>
      <c r="I112" s="220"/>
    </row>
    <row r="113" spans="1:9" ht="45" customHeight="1">
      <c r="A113" s="219" t="s">
        <v>18</v>
      </c>
      <c r="B113" s="219"/>
      <c r="C113" s="219"/>
      <c r="D113" s="219"/>
      <c r="E113" s="219"/>
      <c r="F113" s="219"/>
      <c r="G113" s="219"/>
      <c r="H113" s="219"/>
      <c r="I113" s="219"/>
    </row>
    <row r="114" spans="1:9" ht="30" customHeight="1">
      <c r="A114" s="219" t="s">
        <v>19</v>
      </c>
      <c r="B114" s="219"/>
      <c r="C114" s="219"/>
      <c r="D114" s="219"/>
      <c r="E114" s="219"/>
      <c r="F114" s="219"/>
      <c r="G114" s="219"/>
      <c r="H114" s="219"/>
      <c r="I114" s="219"/>
    </row>
    <row r="115" spans="1:9" ht="30" customHeight="1">
      <c r="A115" s="219" t="s">
        <v>24</v>
      </c>
      <c r="B115" s="219"/>
      <c r="C115" s="219"/>
      <c r="D115" s="219"/>
      <c r="E115" s="219"/>
      <c r="F115" s="219"/>
      <c r="G115" s="219"/>
      <c r="H115" s="219"/>
      <c r="I115" s="219"/>
    </row>
    <row r="116" spans="1:9" ht="15" customHeight="1">
      <c r="A116" s="219" t="s">
        <v>23</v>
      </c>
      <c r="B116" s="219"/>
      <c r="C116" s="219"/>
      <c r="D116" s="219"/>
      <c r="E116" s="219"/>
      <c r="F116" s="219"/>
      <c r="G116" s="219"/>
      <c r="H116" s="219"/>
      <c r="I116" s="219"/>
    </row>
  </sheetData>
  <autoFilter ref="I12:I62"/>
  <mergeCells count="28"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  <mergeCell ref="A96:I96"/>
    <mergeCell ref="B97:G97"/>
    <mergeCell ref="B98:G98"/>
    <mergeCell ref="A100:I100"/>
    <mergeCell ref="A101:I101"/>
    <mergeCell ref="A102:I102"/>
    <mergeCell ref="A15:I15"/>
    <mergeCell ref="A29:I29"/>
    <mergeCell ref="A47:I47"/>
    <mergeCell ref="A57:I57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1" t="s">
        <v>128</v>
      </c>
      <c r="I1" s="40"/>
      <c r="J1" s="1"/>
      <c r="K1" s="1"/>
      <c r="L1" s="1"/>
      <c r="M1" s="1"/>
    </row>
    <row r="2" spans="1:13" ht="15.75" customHeight="1">
      <c r="A2" s="42" t="s">
        <v>85</v>
      </c>
      <c r="J2" s="2"/>
      <c r="K2" s="2"/>
      <c r="L2" s="2"/>
      <c r="M2" s="2"/>
    </row>
    <row r="3" spans="1:13" ht="15.75" customHeight="1">
      <c r="A3" s="226" t="s">
        <v>305</v>
      </c>
      <c r="B3" s="226"/>
      <c r="C3" s="226"/>
      <c r="D3" s="226"/>
      <c r="E3" s="226"/>
      <c r="F3" s="226"/>
      <c r="G3" s="226"/>
      <c r="H3" s="226"/>
      <c r="I3" s="226"/>
      <c r="J3" s="3"/>
      <c r="K3" s="3"/>
      <c r="L3" s="3"/>
    </row>
    <row r="4" spans="1:13" ht="31.5" customHeight="1">
      <c r="A4" s="227" t="s">
        <v>228</v>
      </c>
      <c r="B4" s="227"/>
      <c r="C4" s="227"/>
      <c r="D4" s="227"/>
      <c r="E4" s="227"/>
      <c r="F4" s="227"/>
      <c r="G4" s="227"/>
      <c r="H4" s="227"/>
      <c r="I4" s="227"/>
    </row>
    <row r="5" spans="1:13" ht="15.75" customHeight="1">
      <c r="A5" s="226" t="s">
        <v>83</v>
      </c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5.75" customHeight="1">
      <c r="A6" s="2"/>
      <c r="B6" s="199"/>
      <c r="C6" s="199"/>
      <c r="D6" s="199"/>
      <c r="E6" s="199"/>
      <c r="F6" s="199"/>
      <c r="G6" s="199"/>
      <c r="H6" s="199"/>
      <c r="I6" s="51">
        <v>42613</v>
      </c>
      <c r="J6" s="2"/>
      <c r="K6" s="2"/>
      <c r="L6" s="2"/>
      <c r="M6" s="2"/>
    </row>
    <row r="7" spans="1:13" ht="15.75" customHeight="1">
      <c r="B7" s="200"/>
      <c r="C7" s="200"/>
      <c r="D7" s="20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5" t="s">
        <v>239</v>
      </c>
      <c r="B8" s="205"/>
      <c r="C8" s="205"/>
      <c r="D8" s="205"/>
      <c r="E8" s="205"/>
      <c r="F8" s="205"/>
      <c r="G8" s="205"/>
      <c r="H8" s="205"/>
      <c r="I8" s="20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06" t="s">
        <v>238</v>
      </c>
      <c r="B10" s="206"/>
      <c r="C10" s="206"/>
      <c r="D10" s="206"/>
      <c r="E10" s="206"/>
      <c r="F10" s="206"/>
      <c r="G10" s="206"/>
      <c r="H10" s="206"/>
      <c r="I10" s="20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29" t="s">
        <v>79</v>
      </c>
      <c r="B14" s="229"/>
      <c r="C14" s="229"/>
      <c r="D14" s="229"/>
      <c r="E14" s="229"/>
      <c r="F14" s="229"/>
      <c r="G14" s="229"/>
      <c r="H14" s="229"/>
      <c r="I14" s="229"/>
      <c r="J14" s="8"/>
      <c r="K14" s="8"/>
      <c r="L14" s="8"/>
      <c r="M14" s="8"/>
    </row>
    <row r="15" spans="1:13" ht="15.75" customHeight="1">
      <c r="A15" s="230" t="s">
        <v>4</v>
      </c>
      <c r="B15" s="230"/>
      <c r="C15" s="230"/>
      <c r="D15" s="230"/>
      <c r="E15" s="230"/>
      <c r="F15" s="230"/>
      <c r="G15" s="230"/>
      <c r="H15" s="230"/>
      <c r="I15" s="230"/>
      <c r="J15" s="8"/>
      <c r="K15" s="8"/>
      <c r="L15" s="8"/>
      <c r="M15" s="8"/>
    </row>
    <row r="16" spans="1:13" ht="15.75" customHeight="1">
      <c r="A16" s="46">
        <v>1</v>
      </c>
      <c r="B16" s="247" t="s">
        <v>130</v>
      </c>
      <c r="C16" s="248" t="s">
        <v>194</v>
      </c>
      <c r="D16" s="247" t="s">
        <v>195</v>
      </c>
      <c r="E16" s="249">
        <v>176.24</v>
      </c>
      <c r="F16" s="250">
        <f>SUM(E16*156/100)</f>
        <v>274.93440000000004</v>
      </c>
      <c r="G16" s="250">
        <v>187.48</v>
      </c>
      <c r="H16" s="251">
        <f t="shared" ref="H16:H26" si="0">SUM(F16*G16/1000)</f>
        <v>51.544701312000008</v>
      </c>
      <c r="I16" s="16">
        <f>F16/12*G16</f>
        <v>4295.3917760000004</v>
      </c>
      <c r="J16" s="8"/>
      <c r="K16" s="8"/>
      <c r="L16" s="8"/>
      <c r="M16" s="8"/>
    </row>
    <row r="17" spans="1:13" ht="15.75" customHeight="1">
      <c r="A17" s="46">
        <v>2</v>
      </c>
      <c r="B17" s="247" t="s">
        <v>151</v>
      </c>
      <c r="C17" s="248" t="s">
        <v>194</v>
      </c>
      <c r="D17" s="247" t="s">
        <v>196</v>
      </c>
      <c r="E17" s="249">
        <v>704.96</v>
      </c>
      <c r="F17" s="250">
        <f>SUM(E17*104/100)</f>
        <v>733.15839999999992</v>
      </c>
      <c r="G17" s="250">
        <v>187.48</v>
      </c>
      <c r="H17" s="251">
        <v>137.453</v>
      </c>
      <c r="I17" s="16">
        <f>F17/12*G17</f>
        <v>11454.378069333332</v>
      </c>
      <c r="J17" s="31"/>
      <c r="K17" s="8"/>
      <c r="L17" s="8"/>
      <c r="M17" s="8"/>
    </row>
    <row r="18" spans="1:13" ht="15.75" customHeight="1">
      <c r="A18" s="46">
        <v>3</v>
      </c>
      <c r="B18" s="247" t="s">
        <v>152</v>
      </c>
      <c r="C18" s="248" t="s">
        <v>194</v>
      </c>
      <c r="D18" s="247" t="s">
        <v>197</v>
      </c>
      <c r="E18" s="249">
        <f>SUM(E16+E17)</f>
        <v>881.2</v>
      </c>
      <c r="F18" s="250">
        <f>SUM(E18*24/100)</f>
        <v>211.48800000000003</v>
      </c>
      <c r="G18" s="250">
        <v>539.30999999999995</v>
      </c>
      <c r="H18" s="251">
        <f t="shared" si="0"/>
        <v>114.05759328000001</v>
      </c>
      <c r="I18" s="16">
        <f>F18/12*G18</f>
        <v>9504.7994400000007</v>
      </c>
      <c r="J18" s="31"/>
      <c r="K18" s="8"/>
      <c r="L18" s="8"/>
      <c r="M18" s="8"/>
    </row>
    <row r="19" spans="1:13" ht="15.75" hidden="1" customHeight="1">
      <c r="A19" s="46">
        <v>4</v>
      </c>
      <c r="B19" s="247" t="s">
        <v>198</v>
      </c>
      <c r="C19" s="248" t="s">
        <v>199</v>
      </c>
      <c r="D19" s="247" t="s">
        <v>200</v>
      </c>
      <c r="E19" s="249">
        <v>28.8</v>
      </c>
      <c r="F19" s="250">
        <f>SUM(E19/10)</f>
        <v>2.88</v>
      </c>
      <c r="G19" s="250">
        <v>181.91</v>
      </c>
      <c r="H19" s="251">
        <f t="shared" si="0"/>
        <v>0.52390080000000006</v>
      </c>
      <c r="I19" s="16">
        <v>0</v>
      </c>
      <c r="J19" s="31"/>
      <c r="K19" s="8"/>
      <c r="L19" s="8"/>
      <c r="M19" s="8"/>
    </row>
    <row r="20" spans="1:13" ht="15.75" customHeight="1">
      <c r="A20" s="46">
        <v>4</v>
      </c>
      <c r="B20" s="247" t="s">
        <v>164</v>
      </c>
      <c r="C20" s="248" t="s">
        <v>194</v>
      </c>
      <c r="D20" s="247" t="s">
        <v>36</v>
      </c>
      <c r="E20" s="249">
        <v>17.5</v>
      </c>
      <c r="F20" s="250">
        <f>SUM(E20*12/100)</f>
        <v>2.1</v>
      </c>
      <c r="G20" s="250">
        <v>232.92</v>
      </c>
      <c r="H20" s="251">
        <f t="shared" si="0"/>
        <v>0.48913200000000001</v>
      </c>
      <c r="I20" s="16">
        <f>F20/12*G20</f>
        <v>40.761000000000003</v>
      </c>
      <c r="J20" s="31"/>
      <c r="K20" s="8"/>
      <c r="L20" s="8"/>
      <c r="M20" s="8"/>
    </row>
    <row r="21" spans="1:13" ht="15.75" hidden="1" customHeight="1">
      <c r="A21" s="46">
        <v>5</v>
      </c>
      <c r="B21" s="247" t="s">
        <v>165</v>
      </c>
      <c r="C21" s="248" t="s">
        <v>194</v>
      </c>
      <c r="D21" s="247" t="s">
        <v>188</v>
      </c>
      <c r="E21" s="249">
        <v>5.94</v>
      </c>
      <c r="F21" s="250">
        <f>SUM(E21*6/100)</f>
        <v>0.35639999999999999</v>
      </c>
      <c r="G21" s="250">
        <v>231.03</v>
      </c>
      <c r="H21" s="251">
        <f t="shared" si="0"/>
        <v>8.2339091999999989E-2</v>
      </c>
      <c r="I21" s="16">
        <f>F21/6*G21</f>
        <v>13.723182</v>
      </c>
      <c r="J21" s="31"/>
      <c r="K21" s="8"/>
      <c r="L21" s="8"/>
      <c r="M21" s="8"/>
    </row>
    <row r="22" spans="1:13" ht="15.75" hidden="1" customHeight="1">
      <c r="A22" s="46">
        <v>7</v>
      </c>
      <c r="B22" s="247" t="s">
        <v>201</v>
      </c>
      <c r="C22" s="248" t="s">
        <v>68</v>
      </c>
      <c r="D22" s="247" t="s">
        <v>200</v>
      </c>
      <c r="E22" s="249">
        <v>376</v>
      </c>
      <c r="F22" s="250">
        <f>SUM(E22/100)</f>
        <v>3.76</v>
      </c>
      <c r="G22" s="250">
        <v>287.83999999999997</v>
      </c>
      <c r="H22" s="251">
        <f t="shared" si="0"/>
        <v>1.0822783999999999</v>
      </c>
      <c r="I22" s="16">
        <v>0</v>
      </c>
      <c r="J22" s="31"/>
      <c r="K22" s="8"/>
      <c r="L22" s="8"/>
      <c r="M22" s="8"/>
    </row>
    <row r="23" spans="1:13" ht="15.75" hidden="1" customHeight="1">
      <c r="A23" s="46">
        <v>8</v>
      </c>
      <c r="B23" s="247" t="s">
        <v>202</v>
      </c>
      <c r="C23" s="248" t="s">
        <v>68</v>
      </c>
      <c r="D23" s="247" t="s">
        <v>200</v>
      </c>
      <c r="E23" s="252">
        <v>60.4</v>
      </c>
      <c r="F23" s="250">
        <f>SUM(E23/100)</f>
        <v>0.60399999999999998</v>
      </c>
      <c r="G23" s="250">
        <v>47.34</v>
      </c>
      <c r="H23" s="251">
        <f t="shared" si="0"/>
        <v>2.8593360000000002E-2</v>
      </c>
      <c r="I23" s="16">
        <v>0</v>
      </c>
      <c r="J23" s="31"/>
      <c r="K23" s="8"/>
      <c r="L23" s="8"/>
      <c r="M23" s="8"/>
    </row>
    <row r="24" spans="1:13" ht="15.75" hidden="1" customHeight="1">
      <c r="A24" s="46">
        <v>9</v>
      </c>
      <c r="B24" s="247" t="s">
        <v>176</v>
      </c>
      <c r="C24" s="248" t="s">
        <v>68</v>
      </c>
      <c r="D24" s="247" t="s">
        <v>69</v>
      </c>
      <c r="E24" s="23">
        <v>25</v>
      </c>
      <c r="F24" s="253">
        <f>E24/100</f>
        <v>0.25</v>
      </c>
      <c r="G24" s="250">
        <v>416.62</v>
      </c>
      <c r="H24" s="251">
        <f>F24*G24/1000</f>
        <v>0.104155</v>
      </c>
      <c r="I24" s="16">
        <v>0</v>
      </c>
      <c r="J24" s="31"/>
      <c r="K24" s="8"/>
      <c r="L24" s="8"/>
      <c r="M24" s="8"/>
    </row>
    <row r="25" spans="1:13" ht="15.75" hidden="1" customHeight="1">
      <c r="A25" s="46">
        <v>10</v>
      </c>
      <c r="B25" s="247" t="s">
        <v>203</v>
      </c>
      <c r="C25" s="248" t="s">
        <v>68</v>
      </c>
      <c r="D25" s="247" t="s">
        <v>200</v>
      </c>
      <c r="E25" s="252">
        <v>23.75</v>
      </c>
      <c r="F25" s="250">
        <f>E25/100</f>
        <v>0.23749999999999999</v>
      </c>
      <c r="G25" s="250">
        <v>231.03</v>
      </c>
      <c r="H25" s="251">
        <f>F25*G25/1000</f>
        <v>5.4869624999999998E-2</v>
      </c>
      <c r="I25" s="16">
        <v>0</v>
      </c>
      <c r="J25" s="31"/>
      <c r="K25" s="8"/>
      <c r="L25" s="8"/>
      <c r="M25" s="8"/>
    </row>
    <row r="26" spans="1:13" ht="15.75" hidden="1" customHeight="1">
      <c r="A26" s="46">
        <v>11</v>
      </c>
      <c r="B26" s="247" t="s">
        <v>177</v>
      </c>
      <c r="C26" s="248" t="s">
        <v>68</v>
      </c>
      <c r="D26" s="247" t="s">
        <v>200</v>
      </c>
      <c r="E26" s="249">
        <v>10.63</v>
      </c>
      <c r="F26" s="250">
        <f>SUM(E26/100)</f>
        <v>0.10630000000000001</v>
      </c>
      <c r="G26" s="250">
        <v>556.74</v>
      </c>
      <c r="H26" s="251">
        <f t="shared" si="0"/>
        <v>5.9181462000000004E-2</v>
      </c>
      <c r="I26" s="16">
        <v>0</v>
      </c>
      <c r="J26" s="31"/>
      <c r="K26" s="8"/>
      <c r="L26" s="8"/>
      <c r="M26" s="8"/>
    </row>
    <row r="27" spans="1:13" ht="15.75" customHeight="1">
      <c r="A27" s="46">
        <v>5</v>
      </c>
      <c r="B27" s="247" t="s">
        <v>87</v>
      </c>
      <c r="C27" s="248" t="s">
        <v>40</v>
      </c>
      <c r="D27" s="247" t="s">
        <v>247</v>
      </c>
      <c r="E27" s="249">
        <v>0.1</v>
      </c>
      <c r="F27" s="250">
        <f>SUM(E27*365)</f>
        <v>36.5</v>
      </c>
      <c r="G27" s="250">
        <v>157.18</v>
      </c>
      <c r="H27" s="251">
        <f>SUM(F27*G27/1000)</f>
        <v>5.737070000000001</v>
      </c>
      <c r="I27" s="16">
        <f>F27/12*G27</f>
        <v>478.08916666666664</v>
      </c>
      <c r="J27" s="32"/>
    </row>
    <row r="28" spans="1:13" ht="15.75" customHeight="1">
      <c r="A28" s="46">
        <v>6</v>
      </c>
      <c r="B28" s="255" t="s">
        <v>26</v>
      </c>
      <c r="C28" s="248" t="s">
        <v>27</v>
      </c>
      <c r="D28" s="255" t="s">
        <v>247</v>
      </c>
      <c r="E28" s="249">
        <v>5816.5</v>
      </c>
      <c r="F28" s="250">
        <f>SUM(E28*12)</f>
        <v>69798</v>
      </c>
      <c r="G28" s="250">
        <v>4.72</v>
      </c>
      <c r="H28" s="251">
        <f>SUM(F28*G28/1000)</f>
        <v>329.44655999999998</v>
      </c>
      <c r="I28" s="16">
        <f>F28/12*G28</f>
        <v>27453.879999999997</v>
      </c>
      <c r="J28" s="32"/>
    </row>
    <row r="29" spans="1:13" ht="15.75" customHeight="1">
      <c r="A29" s="230" t="s">
        <v>122</v>
      </c>
      <c r="B29" s="230"/>
      <c r="C29" s="230"/>
      <c r="D29" s="230"/>
      <c r="E29" s="230"/>
      <c r="F29" s="230"/>
      <c r="G29" s="230"/>
      <c r="H29" s="230"/>
      <c r="I29" s="230"/>
      <c r="J29" s="31"/>
      <c r="K29" s="8"/>
      <c r="L29" s="8"/>
      <c r="M29" s="8"/>
    </row>
    <row r="30" spans="1:13" ht="15.75" customHeight="1">
      <c r="A30" s="46"/>
      <c r="B30" s="268" t="s">
        <v>34</v>
      </c>
      <c r="C30" s="248"/>
      <c r="D30" s="247"/>
      <c r="E30" s="249"/>
      <c r="F30" s="250"/>
      <c r="G30" s="250"/>
      <c r="H30" s="251"/>
      <c r="I30" s="16"/>
      <c r="J30" s="31"/>
      <c r="K30" s="8"/>
      <c r="L30" s="8"/>
      <c r="M30" s="8"/>
    </row>
    <row r="31" spans="1:13" ht="15.75" customHeight="1">
      <c r="A31" s="46">
        <v>7</v>
      </c>
      <c r="B31" s="247" t="s">
        <v>204</v>
      </c>
      <c r="C31" s="248" t="s">
        <v>205</v>
      </c>
      <c r="D31" s="247" t="s">
        <v>206</v>
      </c>
      <c r="E31" s="250">
        <v>357.22</v>
      </c>
      <c r="F31" s="250">
        <f>SUM(E31*52/1000)</f>
        <v>18.575440000000004</v>
      </c>
      <c r="G31" s="250">
        <v>166.65</v>
      </c>
      <c r="H31" s="251">
        <f t="shared" ref="H31:H38" si="1">SUM(F31*G31/1000)</f>
        <v>3.0955970760000011</v>
      </c>
      <c r="I31" s="16">
        <f>F31/6*G31</f>
        <v>515.93284600000015</v>
      </c>
      <c r="J31" s="31"/>
      <c r="K31" s="8"/>
      <c r="L31" s="8"/>
      <c r="M31" s="8"/>
    </row>
    <row r="32" spans="1:13" ht="31.5" customHeight="1">
      <c r="A32" s="46">
        <v>8</v>
      </c>
      <c r="B32" s="247" t="s">
        <v>281</v>
      </c>
      <c r="C32" s="248" t="s">
        <v>205</v>
      </c>
      <c r="D32" s="247" t="s">
        <v>208</v>
      </c>
      <c r="E32" s="250">
        <v>475.06</v>
      </c>
      <c r="F32" s="250">
        <f>SUM(E32*78/1000)</f>
        <v>37.054679999999998</v>
      </c>
      <c r="G32" s="250">
        <v>276.48</v>
      </c>
      <c r="H32" s="251">
        <f t="shared" si="1"/>
        <v>10.244877926400001</v>
      </c>
      <c r="I32" s="16">
        <f t="shared" ref="I32:I35" si="2">F32/6*G32</f>
        <v>1707.4796544000001</v>
      </c>
      <c r="J32" s="31"/>
      <c r="K32" s="8"/>
      <c r="L32" s="8"/>
      <c r="M32" s="8"/>
    </row>
    <row r="33" spans="1:14" ht="15.75" hidden="1" customHeight="1">
      <c r="A33" s="46">
        <v>16</v>
      </c>
      <c r="B33" s="247" t="s">
        <v>33</v>
      </c>
      <c r="C33" s="248" t="s">
        <v>205</v>
      </c>
      <c r="D33" s="247" t="s">
        <v>69</v>
      </c>
      <c r="E33" s="250">
        <v>357.22</v>
      </c>
      <c r="F33" s="250">
        <f>SUM(E33/1000)</f>
        <v>0.35722000000000004</v>
      </c>
      <c r="G33" s="250">
        <v>3228.73</v>
      </c>
      <c r="H33" s="251">
        <f t="shared" si="1"/>
        <v>1.1533669306000001</v>
      </c>
      <c r="I33" s="16">
        <f>F33*G33</f>
        <v>1153.3669306000002</v>
      </c>
      <c r="J33" s="31"/>
      <c r="K33" s="8"/>
      <c r="L33" s="8"/>
      <c r="M33" s="8"/>
    </row>
    <row r="34" spans="1:14" ht="15.75" customHeight="1">
      <c r="A34" s="46">
        <v>9</v>
      </c>
      <c r="B34" s="247" t="s">
        <v>245</v>
      </c>
      <c r="C34" s="248" t="s">
        <v>51</v>
      </c>
      <c r="D34" s="247" t="s">
        <v>246</v>
      </c>
      <c r="E34" s="250">
        <v>5</v>
      </c>
      <c r="F34" s="250">
        <f>E34*155/100</f>
        <v>7.75</v>
      </c>
      <c r="G34" s="250">
        <v>1391.86</v>
      </c>
      <c r="H34" s="251">
        <f>G34*F34/1000</f>
        <v>10.786914999999999</v>
      </c>
      <c r="I34" s="16">
        <f t="shared" si="2"/>
        <v>1797.8191666666667</v>
      </c>
      <c r="J34" s="31"/>
      <c r="K34" s="8"/>
      <c r="L34" s="8"/>
      <c r="M34" s="8"/>
    </row>
    <row r="35" spans="1:14" ht="15.75" customHeight="1">
      <c r="A35" s="46">
        <v>10</v>
      </c>
      <c r="B35" s="247" t="s">
        <v>210</v>
      </c>
      <c r="C35" s="248" t="s">
        <v>37</v>
      </c>
      <c r="D35" s="247" t="s">
        <v>86</v>
      </c>
      <c r="E35" s="254">
        <v>0.33333333333333331</v>
      </c>
      <c r="F35" s="250">
        <f>155/3</f>
        <v>51.666666666666664</v>
      </c>
      <c r="G35" s="250">
        <v>60.6</v>
      </c>
      <c r="H35" s="251">
        <f>SUM(G35*155/3/1000)</f>
        <v>3.1309999999999998</v>
      </c>
      <c r="I35" s="16">
        <f t="shared" si="2"/>
        <v>521.83333333333337</v>
      </c>
      <c r="J35" s="31"/>
      <c r="K35" s="8"/>
    </row>
    <row r="36" spans="1:14" ht="15.75" hidden="1" customHeight="1">
      <c r="A36" s="46"/>
      <c r="B36" s="247" t="s">
        <v>88</v>
      </c>
      <c r="C36" s="248" t="s">
        <v>40</v>
      </c>
      <c r="D36" s="247" t="s">
        <v>90</v>
      </c>
      <c r="E36" s="249"/>
      <c r="F36" s="250">
        <v>3</v>
      </c>
      <c r="G36" s="250">
        <v>204.52</v>
      </c>
      <c r="H36" s="251">
        <f t="shared" si="1"/>
        <v>0.61356000000000011</v>
      </c>
      <c r="I36" s="16">
        <v>0</v>
      </c>
      <c r="J36" s="32"/>
    </row>
    <row r="37" spans="1:14" ht="15.75" hidden="1" customHeight="1">
      <c r="A37" s="46"/>
      <c r="B37" s="247" t="s">
        <v>89</v>
      </c>
      <c r="C37" s="248" t="s">
        <v>39</v>
      </c>
      <c r="D37" s="247" t="s">
        <v>90</v>
      </c>
      <c r="E37" s="249"/>
      <c r="F37" s="250">
        <v>2</v>
      </c>
      <c r="G37" s="250">
        <v>1214.74</v>
      </c>
      <c r="H37" s="251">
        <f t="shared" si="1"/>
        <v>2.4294799999999999</v>
      </c>
      <c r="I37" s="16">
        <v>0</v>
      </c>
      <c r="J37" s="32"/>
    </row>
    <row r="38" spans="1:14" ht="15.75" hidden="1" customHeight="1">
      <c r="A38" s="46"/>
      <c r="B38" s="138" t="s">
        <v>248</v>
      </c>
      <c r="C38" s="243" t="s">
        <v>35</v>
      </c>
      <c r="D38" s="247"/>
      <c r="E38" s="249">
        <v>360.36</v>
      </c>
      <c r="F38" s="250">
        <f>E38*36/1000</f>
        <v>12.97296</v>
      </c>
      <c r="G38" s="250">
        <v>3228.73</v>
      </c>
      <c r="H38" s="251">
        <f t="shared" si="1"/>
        <v>41.886185140800002</v>
      </c>
      <c r="I38" s="16">
        <v>0</v>
      </c>
      <c r="J38" s="32"/>
    </row>
    <row r="39" spans="1:14" ht="15.75" hidden="1" customHeight="1">
      <c r="A39" s="46"/>
      <c r="B39" s="268" t="s">
        <v>5</v>
      </c>
      <c r="C39" s="248"/>
      <c r="D39" s="247"/>
      <c r="E39" s="249"/>
      <c r="F39" s="250"/>
      <c r="G39" s="250"/>
      <c r="H39" s="251" t="s">
        <v>225</v>
      </c>
      <c r="I39" s="16"/>
      <c r="J39" s="32"/>
    </row>
    <row r="40" spans="1:14" ht="15.75" hidden="1" customHeight="1">
      <c r="A40" s="46">
        <v>8</v>
      </c>
      <c r="B40" s="247" t="s">
        <v>31</v>
      </c>
      <c r="C40" s="248" t="s">
        <v>39</v>
      </c>
      <c r="D40" s="247"/>
      <c r="E40" s="249"/>
      <c r="F40" s="250">
        <v>10</v>
      </c>
      <c r="G40" s="250">
        <v>1632.6</v>
      </c>
      <c r="H40" s="251">
        <f t="shared" ref="H40:H46" si="3">SUM(F40*G40/1000)</f>
        <v>16.326000000000001</v>
      </c>
      <c r="I40" s="16">
        <f>F40/6*G40</f>
        <v>2721</v>
      </c>
      <c r="J40" s="32"/>
      <c r="L40" s="25"/>
      <c r="M40" s="26"/>
      <c r="N40" s="27"/>
    </row>
    <row r="41" spans="1:14" ht="15.75" hidden="1" customHeight="1">
      <c r="A41" s="46">
        <v>9</v>
      </c>
      <c r="B41" s="247" t="s">
        <v>91</v>
      </c>
      <c r="C41" s="248" t="s">
        <v>35</v>
      </c>
      <c r="D41" s="247" t="s">
        <v>211</v>
      </c>
      <c r="E41" s="250">
        <v>469.73</v>
      </c>
      <c r="F41" s="250">
        <f>SUM(E41*30/1000)</f>
        <v>14.091900000000001</v>
      </c>
      <c r="G41" s="250">
        <v>2247.8000000000002</v>
      </c>
      <c r="H41" s="251">
        <f t="shared" si="3"/>
        <v>31.675772820000006</v>
      </c>
      <c r="I41" s="16">
        <f>F41/6*G41</f>
        <v>5279.2954700000009</v>
      </c>
      <c r="J41" s="32"/>
      <c r="L41" s="25"/>
      <c r="M41" s="26"/>
      <c r="N41" s="27"/>
    </row>
    <row r="42" spans="1:14" ht="15.75" hidden="1" customHeight="1">
      <c r="A42" s="46"/>
      <c r="B42" s="247" t="s">
        <v>156</v>
      </c>
      <c r="C42" s="248" t="s">
        <v>229</v>
      </c>
      <c r="D42" s="247" t="s">
        <v>90</v>
      </c>
      <c r="E42" s="249"/>
      <c r="F42" s="250">
        <v>120</v>
      </c>
      <c r="G42" s="250">
        <v>213.2</v>
      </c>
      <c r="H42" s="251">
        <f t="shared" si="3"/>
        <v>25.584</v>
      </c>
      <c r="I42" s="16">
        <v>0</v>
      </c>
      <c r="J42" s="32"/>
      <c r="L42" s="25"/>
      <c r="M42" s="26"/>
      <c r="N42" s="27"/>
    </row>
    <row r="43" spans="1:14" ht="15.75" hidden="1" customHeight="1">
      <c r="A43" s="46">
        <v>10</v>
      </c>
      <c r="B43" s="247" t="s">
        <v>92</v>
      </c>
      <c r="C43" s="248" t="s">
        <v>35</v>
      </c>
      <c r="D43" s="247" t="s">
        <v>212</v>
      </c>
      <c r="E43" s="250">
        <v>475.06</v>
      </c>
      <c r="F43" s="250">
        <f>SUM(E43*155/1000)</f>
        <v>73.634299999999996</v>
      </c>
      <c r="G43" s="250">
        <v>374.95</v>
      </c>
      <c r="H43" s="251">
        <f t="shared" si="3"/>
        <v>27.609180784999996</v>
      </c>
      <c r="I43" s="16">
        <f>F43/6*G43</f>
        <v>4601.5301308333328</v>
      </c>
      <c r="J43" s="32"/>
      <c r="L43" s="25"/>
      <c r="M43" s="26"/>
      <c r="N43" s="27"/>
    </row>
    <row r="44" spans="1:14" ht="47.25" hidden="1" customHeight="1">
      <c r="A44" s="46">
        <v>11</v>
      </c>
      <c r="B44" s="247" t="s">
        <v>118</v>
      </c>
      <c r="C44" s="248" t="s">
        <v>205</v>
      </c>
      <c r="D44" s="247" t="s">
        <v>230</v>
      </c>
      <c r="E44" s="250">
        <v>40.6</v>
      </c>
      <c r="F44" s="250">
        <f>SUM(E44*35/1000)</f>
        <v>1.421</v>
      </c>
      <c r="G44" s="250">
        <v>6203.7</v>
      </c>
      <c r="H44" s="251">
        <f t="shared" si="3"/>
        <v>8.8154577000000014</v>
      </c>
      <c r="I44" s="16">
        <f>F44/6*G44</f>
        <v>1469.2429500000001</v>
      </c>
      <c r="J44" s="32"/>
      <c r="L44" s="25"/>
      <c r="M44" s="26"/>
      <c r="N44" s="27"/>
    </row>
    <row r="45" spans="1:14" ht="15.75" hidden="1" customHeight="1">
      <c r="A45" s="46">
        <v>12</v>
      </c>
      <c r="B45" s="247" t="s">
        <v>213</v>
      </c>
      <c r="C45" s="248" t="s">
        <v>205</v>
      </c>
      <c r="D45" s="247" t="s">
        <v>93</v>
      </c>
      <c r="E45" s="250">
        <v>167.03</v>
      </c>
      <c r="F45" s="250">
        <f>SUM(E45*45/1000)</f>
        <v>7.5163500000000001</v>
      </c>
      <c r="G45" s="250">
        <v>458.28</v>
      </c>
      <c r="H45" s="251">
        <f t="shared" si="3"/>
        <v>3.4445928779999999</v>
      </c>
      <c r="I45" s="16">
        <f>F45/6*G45</f>
        <v>574.09881299999995</v>
      </c>
      <c r="J45" s="32"/>
      <c r="L45" s="25"/>
      <c r="M45" s="26"/>
      <c r="N45" s="27"/>
    </row>
    <row r="46" spans="1:14" ht="15.75" hidden="1" customHeight="1">
      <c r="A46" s="46">
        <v>13</v>
      </c>
      <c r="B46" s="247" t="s">
        <v>94</v>
      </c>
      <c r="C46" s="248" t="s">
        <v>40</v>
      </c>
      <c r="D46" s="247"/>
      <c r="E46" s="249"/>
      <c r="F46" s="250">
        <v>1.2</v>
      </c>
      <c r="G46" s="250">
        <v>853.06</v>
      </c>
      <c r="H46" s="251">
        <f t="shared" si="3"/>
        <v>1.0236719999999999</v>
      </c>
      <c r="I46" s="16">
        <f>F46/6*G46</f>
        <v>170.61199999999997</v>
      </c>
      <c r="J46" s="32"/>
      <c r="L46" s="25"/>
      <c r="M46" s="26"/>
      <c r="N46" s="27"/>
    </row>
    <row r="47" spans="1:14" ht="15.75" customHeight="1">
      <c r="A47" s="231" t="s">
        <v>240</v>
      </c>
      <c r="B47" s="232"/>
      <c r="C47" s="232"/>
      <c r="D47" s="232"/>
      <c r="E47" s="232"/>
      <c r="F47" s="232"/>
      <c r="G47" s="232"/>
      <c r="H47" s="232"/>
      <c r="I47" s="233"/>
      <c r="J47" s="32"/>
      <c r="L47" s="25"/>
      <c r="M47" s="26"/>
      <c r="N47" s="27"/>
    </row>
    <row r="48" spans="1:14" ht="15.75" hidden="1" customHeight="1">
      <c r="A48" s="46"/>
      <c r="B48" s="247" t="s">
        <v>214</v>
      </c>
      <c r="C48" s="248" t="s">
        <v>205</v>
      </c>
      <c r="D48" s="247" t="s">
        <v>55</v>
      </c>
      <c r="E48" s="249">
        <v>1603.6</v>
      </c>
      <c r="F48" s="250">
        <f>SUM(E48*2/1000)</f>
        <v>3.2071999999999998</v>
      </c>
      <c r="G48" s="16">
        <v>908.11</v>
      </c>
      <c r="H48" s="251">
        <f t="shared" ref="H48:H56" si="4">SUM(F48*G48/1000)</f>
        <v>2.9124903919999996</v>
      </c>
      <c r="I48" s="16">
        <v>0</v>
      </c>
      <c r="J48" s="32"/>
      <c r="L48" s="25"/>
      <c r="M48" s="26"/>
      <c r="N48" s="27"/>
    </row>
    <row r="49" spans="1:22" ht="15.75" hidden="1" customHeight="1">
      <c r="A49" s="46"/>
      <c r="B49" s="247" t="s">
        <v>44</v>
      </c>
      <c r="C49" s="248" t="s">
        <v>205</v>
      </c>
      <c r="D49" s="247" t="s">
        <v>55</v>
      </c>
      <c r="E49" s="249">
        <v>65</v>
      </c>
      <c r="F49" s="250">
        <f>SUM(E49*2/1000)</f>
        <v>0.13</v>
      </c>
      <c r="G49" s="16">
        <v>619.46</v>
      </c>
      <c r="H49" s="251">
        <f t="shared" si="4"/>
        <v>8.0529800000000012E-2</v>
      </c>
      <c r="I49" s="16">
        <v>0</v>
      </c>
      <c r="J49" s="32"/>
      <c r="L49" s="25"/>
      <c r="M49" s="26"/>
      <c r="N49" s="27"/>
    </row>
    <row r="50" spans="1:22" ht="15.75" hidden="1" customHeight="1">
      <c r="A50" s="46"/>
      <c r="B50" s="247" t="s">
        <v>45</v>
      </c>
      <c r="C50" s="248" t="s">
        <v>205</v>
      </c>
      <c r="D50" s="247" t="s">
        <v>55</v>
      </c>
      <c r="E50" s="249">
        <v>1825.8</v>
      </c>
      <c r="F50" s="250">
        <f>SUM(E50*2/1000)</f>
        <v>3.6515999999999997</v>
      </c>
      <c r="G50" s="16">
        <v>619.46</v>
      </c>
      <c r="H50" s="251">
        <f t="shared" si="4"/>
        <v>2.2620201360000003</v>
      </c>
      <c r="I50" s="16">
        <v>0</v>
      </c>
      <c r="J50" s="32"/>
      <c r="L50" s="25"/>
      <c r="M50" s="26"/>
      <c r="N50" s="27"/>
    </row>
    <row r="51" spans="1:22" ht="15.75" hidden="1" customHeight="1">
      <c r="A51" s="46"/>
      <c r="B51" s="247" t="s">
        <v>46</v>
      </c>
      <c r="C51" s="248" t="s">
        <v>205</v>
      </c>
      <c r="D51" s="247" t="s">
        <v>55</v>
      </c>
      <c r="E51" s="249">
        <v>3163.96</v>
      </c>
      <c r="F51" s="250">
        <f>SUM(E51*2/1000)</f>
        <v>6.3279199999999998</v>
      </c>
      <c r="G51" s="16">
        <v>648.64</v>
      </c>
      <c r="H51" s="251">
        <f t="shared" si="4"/>
        <v>4.1045420287999992</v>
      </c>
      <c r="I51" s="16">
        <v>0</v>
      </c>
      <c r="J51" s="32"/>
      <c r="L51" s="25"/>
      <c r="M51" s="26"/>
      <c r="N51" s="27"/>
    </row>
    <row r="52" spans="1:22" ht="15.75" hidden="1" customHeight="1">
      <c r="A52" s="46">
        <v>14</v>
      </c>
      <c r="B52" s="247" t="s">
        <v>76</v>
      </c>
      <c r="C52" s="248" t="s">
        <v>205</v>
      </c>
      <c r="D52" s="247" t="s">
        <v>282</v>
      </c>
      <c r="E52" s="249">
        <v>1583</v>
      </c>
      <c r="F52" s="250">
        <f>SUM(E52*5/1000)</f>
        <v>7.915</v>
      </c>
      <c r="G52" s="16">
        <v>1297.28</v>
      </c>
      <c r="H52" s="251">
        <f t="shared" si="4"/>
        <v>10.2679712</v>
      </c>
      <c r="I52" s="16">
        <f>F52/5*G52</f>
        <v>2053.5942399999999</v>
      </c>
      <c r="J52" s="32"/>
      <c r="L52" s="25"/>
      <c r="M52" s="26"/>
      <c r="N52" s="27"/>
    </row>
    <row r="53" spans="1:22" ht="31.5" hidden="1" customHeight="1">
      <c r="A53" s="46"/>
      <c r="B53" s="247" t="s">
        <v>216</v>
      </c>
      <c r="C53" s="248" t="s">
        <v>205</v>
      </c>
      <c r="D53" s="247" t="s">
        <v>55</v>
      </c>
      <c r="E53" s="249">
        <v>1583</v>
      </c>
      <c r="F53" s="250">
        <f>SUM(E53*2/1000)</f>
        <v>3.1659999999999999</v>
      </c>
      <c r="G53" s="16">
        <v>1297.28</v>
      </c>
      <c r="H53" s="251">
        <f t="shared" si="4"/>
        <v>4.1071884799999996</v>
      </c>
      <c r="I53" s="16">
        <v>0</v>
      </c>
      <c r="J53" s="32"/>
      <c r="L53" s="25"/>
      <c r="M53" s="26"/>
      <c r="N53" s="27"/>
    </row>
    <row r="54" spans="1:22" ht="31.5" hidden="1" customHeight="1">
      <c r="A54" s="46"/>
      <c r="B54" s="247" t="s">
        <v>217</v>
      </c>
      <c r="C54" s="248" t="s">
        <v>49</v>
      </c>
      <c r="D54" s="247" t="s">
        <v>55</v>
      </c>
      <c r="E54" s="249">
        <v>25</v>
      </c>
      <c r="F54" s="250">
        <f>SUM(E54*2/100)</f>
        <v>0.5</v>
      </c>
      <c r="G54" s="16">
        <v>2918.89</v>
      </c>
      <c r="H54" s="251">
        <f t="shared" si="4"/>
        <v>1.4594449999999999</v>
      </c>
      <c r="I54" s="16">
        <v>0</v>
      </c>
      <c r="J54" s="32"/>
      <c r="L54" s="25"/>
      <c r="M54" s="26"/>
      <c r="N54" s="27"/>
    </row>
    <row r="55" spans="1:22" ht="15.75" hidden="1" customHeight="1">
      <c r="A55" s="46"/>
      <c r="B55" s="247" t="s">
        <v>50</v>
      </c>
      <c r="C55" s="248" t="s">
        <v>51</v>
      </c>
      <c r="D55" s="247" t="s">
        <v>55</v>
      </c>
      <c r="E55" s="249">
        <v>1</v>
      </c>
      <c r="F55" s="250">
        <v>0.02</v>
      </c>
      <c r="G55" s="16">
        <v>6042.12</v>
      </c>
      <c r="H55" s="251">
        <f t="shared" si="4"/>
        <v>0.1208424</v>
      </c>
      <c r="I55" s="16">
        <v>0</v>
      </c>
      <c r="J55" s="32"/>
      <c r="L55" s="25"/>
      <c r="M55" s="26"/>
      <c r="N55" s="27"/>
    </row>
    <row r="56" spans="1:22" ht="15.75" customHeight="1">
      <c r="A56" s="46">
        <v>11</v>
      </c>
      <c r="B56" s="247" t="s">
        <v>54</v>
      </c>
      <c r="C56" s="248" t="s">
        <v>37</v>
      </c>
      <c r="D56" s="247" t="s">
        <v>95</v>
      </c>
      <c r="E56" s="249">
        <v>36</v>
      </c>
      <c r="F56" s="250">
        <f>SUM(E56)*3</f>
        <v>108</v>
      </c>
      <c r="G56" s="16">
        <v>70.209999999999994</v>
      </c>
      <c r="H56" s="251">
        <f t="shared" si="4"/>
        <v>7.582679999999999</v>
      </c>
      <c r="I56" s="16">
        <f>E56*G56</f>
        <v>2527.56</v>
      </c>
      <c r="J56" s="32"/>
      <c r="L56" s="25"/>
      <c r="M56" s="26"/>
      <c r="N56" s="27"/>
    </row>
    <row r="57" spans="1:22" ht="15.75" customHeight="1">
      <c r="A57" s="231" t="s">
        <v>241</v>
      </c>
      <c r="B57" s="232"/>
      <c r="C57" s="232"/>
      <c r="D57" s="232"/>
      <c r="E57" s="232"/>
      <c r="F57" s="232"/>
      <c r="G57" s="232"/>
      <c r="H57" s="232"/>
      <c r="I57" s="233"/>
      <c r="J57" s="32"/>
      <c r="L57" s="25"/>
      <c r="M57" s="26"/>
      <c r="N57" s="27"/>
    </row>
    <row r="58" spans="1:22" ht="15.75" hidden="1" customHeight="1">
      <c r="A58" s="46"/>
      <c r="B58" s="268" t="s">
        <v>56</v>
      </c>
      <c r="C58" s="248"/>
      <c r="D58" s="247"/>
      <c r="E58" s="249"/>
      <c r="F58" s="250"/>
      <c r="G58" s="250"/>
      <c r="H58" s="251"/>
      <c r="I58" s="16"/>
      <c r="J58" s="32"/>
      <c r="L58" s="25"/>
      <c r="M58" s="26"/>
      <c r="N58" s="27"/>
    </row>
    <row r="59" spans="1:22" ht="31.5" hidden="1" customHeight="1">
      <c r="A59" s="46">
        <v>16</v>
      </c>
      <c r="B59" s="247" t="s">
        <v>231</v>
      </c>
      <c r="C59" s="248" t="s">
        <v>194</v>
      </c>
      <c r="D59" s="247" t="s">
        <v>96</v>
      </c>
      <c r="E59" s="256">
        <v>3.78</v>
      </c>
      <c r="F59" s="16">
        <f>E59*6/100</f>
        <v>0.2268</v>
      </c>
      <c r="G59" s="250">
        <v>1654.04</v>
      </c>
      <c r="H59" s="251">
        <f>SUM(F59*G59/1000)</f>
        <v>0.37513627199999999</v>
      </c>
      <c r="I59" s="16">
        <f>F59/6*G59</f>
        <v>62.522711999999999</v>
      </c>
      <c r="J59" s="32"/>
      <c r="L59" s="25"/>
      <c r="M59" s="26"/>
      <c r="N59" s="27"/>
    </row>
    <row r="60" spans="1:22" ht="31.5" hidden="1" customHeight="1">
      <c r="A60" s="46">
        <v>17</v>
      </c>
      <c r="B60" s="247" t="s">
        <v>219</v>
      </c>
      <c r="C60" s="248" t="s">
        <v>194</v>
      </c>
      <c r="D60" s="247" t="s">
        <v>96</v>
      </c>
      <c r="E60" s="249">
        <v>185.36</v>
      </c>
      <c r="F60" s="250">
        <f>E60*6/100</f>
        <v>11.121600000000001</v>
      </c>
      <c r="G60" s="257">
        <v>1654.04</v>
      </c>
      <c r="H60" s="251">
        <f>F60*G60/1000</f>
        <v>18.395571264000001</v>
      </c>
      <c r="I60" s="16">
        <f>F60/6*G60</f>
        <v>3065.9285440000003</v>
      </c>
      <c r="J60" s="32"/>
      <c r="L60" s="25"/>
    </row>
    <row r="61" spans="1:22" ht="15.75" hidden="1" customHeight="1">
      <c r="A61" s="46"/>
      <c r="B61" s="258" t="s">
        <v>168</v>
      </c>
      <c r="C61" s="248" t="s">
        <v>169</v>
      </c>
      <c r="D61" s="258" t="s">
        <v>55</v>
      </c>
      <c r="E61" s="259">
        <v>5</v>
      </c>
      <c r="F61" s="260">
        <v>10</v>
      </c>
      <c r="G61" s="257">
        <v>198.25</v>
      </c>
      <c r="H61" s="261">
        <v>0.99099999999999999</v>
      </c>
      <c r="I61" s="16">
        <v>0</v>
      </c>
      <c r="J61" s="32"/>
      <c r="L61" s="25"/>
    </row>
    <row r="62" spans="1:22" ht="15.75" customHeight="1">
      <c r="A62" s="46"/>
      <c r="B62" s="269" t="s">
        <v>57</v>
      </c>
      <c r="C62" s="262"/>
      <c r="D62" s="258"/>
      <c r="E62" s="259"/>
      <c r="F62" s="260"/>
      <c r="G62" s="263"/>
      <c r="H62" s="261"/>
      <c r="I62" s="16"/>
    </row>
    <row r="63" spans="1:22" ht="15.75" hidden="1" customHeight="1">
      <c r="A63" s="46"/>
      <c r="B63" s="258" t="s">
        <v>58</v>
      </c>
      <c r="C63" s="262" t="s">
        <v>68</v>
      </c>
      <c r="D63" s="258" t="s">
        <v>69</v>
      </c>
      <c r="E63" s="259">
        <v>1752</v>
      </c>
      <c r="F63" s="260">
        <f>E63/100</f>
        <v>17.52</v>
      </c>
      <c r="G63" s="250">
        <v>848.37</v>
      </c>
      <c r="H63" s="261">
        <f>G63*F63/1000</f>
        <v>14.8634424</v>
      </c>
      <c r="I63" s="16">
        <v>0</v>
      </c>
    </row>
    <row r="64" spans="1:22" ht="15.75" customHeight="1">
      <c r="A64" s="46">
        <v>12</v>
      </c>
      <c r="B64" s="258" t="s">
        <v>159</v>
      </c>
      <c r="C64" s="262" t="s">
        <v>29</v>
      </c>
      <c r="D64" s="258" t="s">
        <v>249</v>
      </c>
      <c r="E64" s="259">
        <v>352</v>
      </c>
      <c r="F64" s="260">
        <f>E64*12</f>
        <v>4224</v>
      </c>
      <c r="G64" s="250">
        <v>2.6</v>
      </c>
      <c r="H64" s="261">
        <f>G64*F64/1000</f>
        <v>10.9824</v>
      </c>
      <c r="I64" s="16">
        <f>F64/12*G64</f>
        <v>915.2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0"/>
    </row>
    <row r="65" spans="1:21" ht="15.75" customHeight="1">
      <c r="A65" s="46"/>
      <c r="B65" s="269" t="s">
        <v>59</v>
      </c>
      <c r="C65" s="262"/>
      <c r="D65" s="258"/>
      <c r="E65" s="259"/>
      <c r="F65" s="260"/>
      <c r="G65" s="270"/>
      <c r="H65" s="261" t="s">
        <v>225</v>
      </c>
      <c r="I65" s="16"/>
      <c r="J65" s="37"/>
      <c r="K65" s="37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46">
        <v>13</v>
      </c>
      <c r="B66" s="18" t="s">
        <v>60</v>
      </c>
      <c r="C66" s="20" t="s">
        <v>218</v>
      </c>
      <c r="D66" s="18" t="s">
        <v>90</v>
      </c>
      <c r="E66" s="23">
        <v>10</v>
      </c>
      <c r="F66" s="250">
        <v>10</v>
      </c>
      <c r="G66" s="16">
        <v>237.74</v>
      </c>
      <c r="H66" s="244">
        <f t="shared" ref="H66:H80" si="5">SUM(F66*G66/1000)</f>
        <v>2.3774000000000002</v>
      </c>
      <c r="I66" s="16">
        <f>G66*3</f>
        <v>713.22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46"/>
      <c r="B67" s="18" t="s">
        <v>61</v>
      </c>
      <c r="C67" s="20" t="s">
        <v>218</v>
      </c>
      <c r="D67" s="18" t="s">
        <v>90</v>
      </c>
      <c r="E67" s="23">
        <v>5</v>
      </c>
      <c r="F67" s="250">
        <v>5</v>
      </c>
      <c r="G67" s="16">
        <v>81.510000000000005</v>
      </c>
      <c r="H67" s="244">
        <f t="shared" si="5"/>
        <v>0.40755000000000002</v>
      </c>
      <c r="I67" s="16">
        <v>0</v>
      </c>
      <c r="J67" s="5"/>
      <c r="K67" s="5"/>
      <c r="L67" s="5"/>
      <c r="M67" s="5"/>
      <c r="N67" s="5"/>
      <c r="O67" s="5"/>
      <c r="P67" s="5"/>
      <c r="Q67" s="5"/>
      <c r="R67" s="207"/>
      <c r="S67" s="207"/>
      <c r="T67" s="207"/>
      <c r="U67" s="207"/>
    </row>
    <row r="68" spans="1:21" ht="15.75" hidden="1" customHeight="1">
      <c r="A68" s="46"/>
      <c r="B68" s="18" t="s">
        <v>62</v>
      </c>
      <c r="C68" s="20" t="s">
        <v>220</v>
      </c>
      <c r="D68" s="18" t="s">
        <v>69</v>
      </c>
      <c r="E68" s="249">
        <v>23808</v>
      </c>
      <c r="F68" s="16">
        <f>SUM(E68/100)</f>
        <v>238.08</v>
      </c>
      <c r="G68" s="16">
        <v>226.79</v>
      </c>
      <c r="H68" s="244">
        <f t="shared" si="5"/>
        <v>53.994163200000003</v>
      </c>
      <c r="I68" s="16">
        <f>F68*G68</f>
        <v>53994.163200000003</v>
      </c>
    </row>
    <row r="69" spans="1:21" ht="15.75" hidden="1" customHeight="1">
      <c r="A69" s="46"/>
      <c r="B69" s="18" t="s">
        <v>63</v>
      </c>
      <c r="C69" s="20" t="s">
        <v>221</v>
      </c>
      <c r="D69" s="18"/>
      <c r="E69" s="249">
        <v>23808</v>
      </c>
      <c r="F69" s="16">
        <f>SUM(E69/1000)</f>
        <v>23.808</v>
      </c>
      <c r="G69" s="16">
        <v>176.61</v>
      </c>
      <c r="H69" s="244">
        <f t="shared" si="5"/>
        <v>4.2047308800000005</v>
      </c>
      <c r="I69" s="16">
        <f t="shared" ref="I69:I73" si="6">F69*G69</f>
        <v>4204.7308800000001</v>
      </c>
    </row>
    <row r="70" spans="1:21" ht="15.75" hidden="1" customHeight="1">
      <c r="A70" s="46"/>
      <c r="B70" s="18" t="s">
        <v>64</v>
      </c>
      <c r="C70" s="20" t="s">
        <v>101</v>
      </c>
      <c r="D70" s="18" t="s">
        <v>69</v>
      </c>
      <c r="E70" s="249">
        <v>3810</v>
      </c>
      <c r="F70" s="16">
        <f>SUM(E70/100)</f>
        <v>38.1</v>
      </c>
      <c r="G70" s="16">
        <v>2217.7800000000002</v>
      </c>
      <c r="H70" s="244">
        <f t="shared" si="5"/>
        <v>84.49741800000001</v>
      </c>
      <c r="I70" s="16">
        <f t="shared" si="6"/>
        <v>84497.418000000005</v>
      </c>
    </row>
    <row r="71" spans="1:21" ht="15.75" hidden="1" customHeight="1">
      <c r="A71" s="46"/>
      <c r="B71" s="264" t="s">
        <v>222</v>
      </c>
      <c r="C71" s="20" t="s">
        <v>40</v>
      </c>
      <c r="D71" s="18"/>
      <c r="E71" s="249">
        <v>23.4</v>
      </c>
      <c r="F71" s="16">
        <f>SUM(E71)</f>
        <v>23.4</v>
      </c>
      <c r="G71" s="16">
        <v>42.67</v>
      </c>
      <c r="H71" s="244">
        <f t="shared" si="5"/>
        <v>0.99847799999999998</v>
      </c>
      <c r="I71" s="16">
        <f t="shared" si="6"/>
        <v>998.47799999999995</v>
      </c>
    </row>
    <row r="72" spans="1:21" ht="15.75" hidden="1" customHeight="1">
      <c r="A72" s="46"/>
      <c r="B72" s="264" t="s">
        <v>232</v>
      </c>
      <c r="C72" s="20" t="s">
        <v>40</v>
      </c>
      <c r="D72" s="18"/>
      <c r="E72" s="249">
        <v>23.4</v>
      </c>
      <c r="F72" s="16">
        <f>SUM(E72)</f>
        <v>23.4</v>
      </c>
      <c r="G72" s="16">
        <v>39.81</v>
      </c>
      <c r="H72" s="244">
        <f t="shared" si="5"/>
        <v>0.93155399999999999</v>
      </c>
      <c r="I72" s="16">
        <f t="shared" si="6"/>
        <v>931.55399999999997</v>
      </c>
    </row>
    <row r="73" spans="1:21" ht="15.75" hidden="1" customHeight="1">
      <c r="A73" s="46"/>
      <c r="B73" s="18" t="s">
        <v>77</v>
      </c>
      <c r="C73" s="20" t="s">
        <v>78</v>
      </c>
      <c r="D73" s="18" t="s">
        <v>69</v>
      </c>
      <c r="E73" s="23">
        <v>5</v>
      </c>
      <c r="F73" s="250">
        <f>SUM(E73)</f>
        <v>5</v>
      </c>
      <c r="G73" s="16">
        <v>53.32</v>
      </c>
      <c r="H73" s="244">
        <f t="shared" si="5"/>
        <v>0.2666</v>
      </c>
      <c r="I73" s="16">
        <f t="shared" si="6"/>
        <v>266.60000000000002</v>
      </c>
    </row>
    <row r="74" spans="1:21" ht="15.75" customHeight="1">
      <c r="A74" s="46">
        <v>14</v>
      </c>
      <c r="B74" s="18" t="s">
        <v>233</v>
      </c>
      <c r="C74" s="20" t="s">
        <v>78</v>
      </c>
      <c r="D74" s="18" t="s">
        <v>36</v>
      </c>
      <c r="E74" s="23">
        <v>1</v>
      </c>
      <c r="F74" s="237">
        <v>12</v>
      </c>
      <c r="G74" s="16">
        <v>711</v>
      </c>
      <c r="H74" s="244">
        <v>8.5310000000000006</v>
      </c>
      <c r="I74" s="16">
        <f>F74/12*G74</f>
        <v>711</v>
      </c>
    </row>
    <row r="75" spans="1:21" ht="15.75" customHeight="1">
      <c r="A75" s="46"/>
      <c r="B75" s="198" t="s">
        <v>97</v>
      </c>
      <c r="C75" s="20"/>
      <c r="D75" s="18"/>
      <c r="E75" s="23"/>
      <c r="F75" s="16"/>
      <c r="G75" s="16"/>
      <c r="H75" s="244" t="s">
        <v>225</v>
      </c>
      <c r="I75" s="16"/>
    </row>
    <row r="76" spans="1:21" ht="15.75" customHeight="1">
      <c r="A76" s="46">
        <v>15</v>
      </c>
      <c r="B76" s="18" t="s">
        <v>98</v>
      </c>
      <c r="C76" s="20" t="s">
        <v>38</v>
      </c>
      <c r="D76" s="18" t="s">
        <v>90</v>
      </c>
      <c r="E76" s="23">
        <v>2</v>
      </c>
      <c r="F76" s="237">
        <v>0.2</v>
      </c>
      <c r="G76" s="16">
        <v>536.23</v>
      </c>
      <c r="H76" s="244">
        <v>0.107</v>
      </c>
      <c r="I76" s="16">
        <f>G76*0.1</f>
        <v>53.623000000000005</v>
      </c>
    </row>
    <row r="77" spans="1:21" ht="15.75" hidden="1" customHeight="1">
      <c r="A77" s="46"/>
      <c r="B77" s="18" t="s">
        <v>136</v>
      </c>
      <c r="C77" s="20" t="s">
        <v>37</v>
      </c>
      <c r="D77" s="18"/>
      <c r="E77" s="23">
        <v>1</v>
      </c>
      <c r="F77" s="250">
        <f>SUM(E77)</f>
        <v>1</v>
      </c>
      <c r="G77" s="16">
        <v>383.25</v>
      </c>
      <c r="H77" s="244">
        <f t="shared" si="5"/>
        <v>0.38324999999999998</v>
      </c>
      <c r="I77" s="16">
        <v>0</v>
      </c>
    </row>
    <row r="78" spans="1:21" ht="15.75" hidden="1" customHeight="1">
      <c r="A78" s="46"/>
      <c r="B78" s="18" t="s">
        <v>99</v>
      </c>
      <c r="C78" s="20" t="s">
        <v>37</v>
      </c>
      <c r="D78" s="18"/>
      <c r="E78" s="23">
        <v>1</v>
      </c>
      <c r="F78" s="16">
        <v>1</v>
      </c>
      <c r="G78" s="16">
        <v>911.85</v>
      </c>
      <c r="H78" s="244">
        <f>F78*G78/1000</f>
        <v>0.91185000000000005</v>
      </c>
      <c r="I78" s="16">
        <v>0</v>
      </c>
    </row>
    <row r="79" spans="1:21" ht="15.75" hidden="1" customHeight="1">
      <c r="A79" s="46"/>
      <c r="B79" s="265" t="s">
        <v>100</v>
      </c>
      <c r="C79" s="20"/>
      <c r="D79" s="18"/>
      <c r="E79" s="23"/>
      <c r="F79" s="16"/>
      <c r="G79" s="16" t="s">
        <v>225</v>
      </c>
      <c r="H79" s="244" t="s">
        <v>225</v>
      </c>
      <c r="I79" s="16"/>
    </row>
    <row r="80" spans="1:21" ht="15.75" hidden="1" customHeight="1">
      <c r="A80" s="46"/>
      <c r="B80" s="81" t="s">
        <v>226</v>
      </c>
      <c r="C80" s="20" t="s">
        <v>101</v>
      </c>
      <c r="D80" s="18"/>
      <c r="E80" s="23"/>
      <c r="F80" s="16">
        <v>0.6</v>
      </c>
      <c r="G80" s="16">
        <v>2949.85</v>
      </c>
      <c r="H80" s="244">
        <f t="shared" si="5"/>
        <v>1.7699099999999999</v>
      </c>
      <c r="I80" s="16">
        <v>0</v>
      </c>
      <c r="J80" s="5"/>
      <c r="K80" s="5"/>
      <c r="L80" s="5"/>
      <c r="M80" s="5"/>
      <c r="N80" s="5"/>
      <c r="O80" s="5"/>
      <c r="P80" s="5"/>
      <c r="Q80" s="5"/>
      <c r="R80" s="197"/>
      <c r="S80" s="197"/>
      <c r="T80" s="197"/>
      <c r="U80" s="197"/>
    </row>
    <row r="81" spans="1:21" ht="15.75" hidden="1" customHeight="1">
      <c r="A81" s="122"/>
      <c r="B81" s="198" t="s">
        <v>223</v>
      </c>
      <c r="C81" s="198"/>
      <c r="D81" s="198"/>
      <c r="E81" s="198"/>
      <c r="F81" s="198"/>
      <c r="G81" s="198"/>
      <c r="H81" s="198"/>
      <c r="I81" s="23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1:21" ht="15.75" hidden="1" customHeight="1">
      <c r="A82" s="46"/>
      <c r="B82" s="247" t="s">
        <v>224</v>
      </c>
      <c r="C82" s="20"/>
      <c r="D82" s="18"/>
      <c r="E82" s="238"/>
      <c r="F82" s="16">
        <v>1</v>
      </c>
      <c r="G82" s="16">
        <v>21062.799999999999</v>
      </c>
      <c r="H82" s="244">
        <f>G82*F82/1000</f>
        <v>21.062799999999999</v>
      </c>
      <c r="I82" s="16">
        <v>0</v>
      </c>
      <c r="J82" s="5"/>
      <c r="K82" s="5"/>
      <c r="L82" s="5"/>
      <c r="M82" s="5"/>
      <c r="N82" s="5"/>
      <c r="O82" s="5"/>
      <c r="P82" s="5"/>
      <c r="Q82" s="5"/>
      <c r="R82" s="197"/>
      <c r="S82" s="197"/>
      <c r="T82" s="197"/>
      <c r="U82" s="197"/>
    </row>
    <row r="83" spans="1:21" ht="15.75" customHeight="1">
      <c r="A83" s="234" t="s">
        <v>242</v>
      </c>
      <c r="B83" s="235"/>
      <c r="C83" s="235"/>
      <c r="D83" s="235"/>
      <c r="E83" s="235"/>
      <c r="F83" s="235"/>
      <c r="G83" s="235"/>
      <c r="H83" s="235"/>
      <c r="I83" s="236"/>
    </row>
    <row r="84" spans="1:21" ht="15.75" customHeight="1">
      <c r="A84" s="46">
        <v>16</v>
      </c>
      <c r="B84" s="247" t="s">
        <v>227</v>
      </c>
      <c r="C84" s="20" t="s">
        <v>73</v>
      </c>
      <c r="D84" s="266" t="s">
        <v>74</v>
      </c>
      <c r="E84" s="16">
        <v>5816.5</v>
      </c>
      <c r="F84" s="16">
        <f>SUM(E84*12)</f>
        <v>69798</v>
      </c>
      <c r="G84" s="16">
        <v>2.54</v>
      </c>
      <c r="H84" s="244">
        <f>SUM(F84*G84/1000)</f>
        <v>177.28692000000001</v>
      </c>
      <c r="I84" s="16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197"/>
      <c r="S84" s="197"/>
      <c r="T84" s="197"/>
      <c r="U84" s="197"/>
    </row>
    <row r="85" spans="1:21" ht="31.5" customHeight="1">
      <c r="A85" s="46">
        <v>17</v>
      </c>
      <c r="B85" s="18" t="s">
        <v>102</v>
      </c>
      <c r="C85" s="20"/>
      <c r="D85" s="266" t="s">
        <v>74</v>
      </c>
      <c r="E85" s="249">
        <f>E84</f>
        <v>5816.5</v>
      </c>
      <c r="F85" s="16">
        <f>E85*12</f>
        <v>69798</v>
      </c>
      <c r="G85" s="16">
        <v>2.0499999999999998</v>
      </c>
      <c r="H85" s="244">
        <f>F85*G85/1000</f>
        <v>143.08589999999998</v>
      </c>
      <c r="I85" s="16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197"/>
      <c r="S85" s="197"/>
      <c r="T85" s="197"/>
      <c r="U85" s="197"/>
    </row>
    <row r="86" spans="1:21" ht="15.75" customHeight="1">
      <c r="A86" s="122"/>
      <c r="B86" s="68" t="s">
        <v>108</v>
      </c>
      <c r="C86" s="70"/>
      <c r="D86" s="19"/>
      <c r="E86" s="19"/>
      <c r="F86" s="19"/>
      <c r="G86" s="23"/>
      <c r="H86" s="23"/>
      <c r="I86" s="53">
        <f>I16+I17+I18+I20+I27+I28+I31+I32+I34+I35+I56+I64+I66+I74+I76+I84+I85</f>
        <v>89388.702452399986</v>
      </c>
    </row>
    <row r="87" spans="1:21" ht="15.75" customHeight="1">
      <c r="A87" s="122"/>
      <c r="B87" s="189" t="s">
        <v>80</v>
      </c>
      <c r="C87" s="189"/>
      <c r="D87" s="189"/>
      <c r="E87" s="189"/>
      <c r="F87" s="189"/>
      <c r="G87" s="189"/>
      <c r="H87" s="189"/>
      <c r="I87" s="189"/>
    </row>
    <row r="88" spans="1:21" ht="31.5" customHeight="1">
      <c r="A88" s="46">
        <v>18</v>
      </c>
      <c r="B88" s="138" t="s">
        <v>257</v>
      </c>
      <c r="C88" s="243" t="s">
        <v>49</v>
      </c>
      <c r="D88" s="267"/>
      <c r="E88" s="16"/>
      <c r="F88" s="16">
        <f>4/100</f>
        <v>0.04</v>
      </c>
      <c r="G88" s="16">
        <v>3397.65</v>
      </c>
      <c r="H88" s="244">
        <f>G88*F88/1000</f>
        <v>0.135906</v>
      </c>
      <c r="I88" s="16">
        <f>G88*0.01</f>
        <v>33.976500000000001</v>
      </c>
      <c r="J88" s="5"/>
      <c r="K88" s="5"/>
      <c r="L88" s="5"/>
      <c r="M88" s="5"/>
      <c r="N88" s="5"/>
      <c r="O88" s="5"/>
      <c r="P88" s="5"/>
      <c r="Q88" s="5"/>
      <c r="R88" s="197"/>
      <c r="S88" s="197"/>
      <c r="T88" s="197"/>
      <c r="U88" s="197"/>
    </row>
    <row r="89" spans="1:21" ht="15.75" customHeight="1">
      <c r="A89" s="46">
        <v>19</v>
      </c>
      <c r="B89" s="245" t="s">
        <v>145</v>
      </c>
      <c r="C89" s="246" t="s">
        <v>146</v>
      </c>
      <c r="D89" s="81"/>
      <c r="E89" s="16"/>
      <c r="F89" s="16">
        <f>50/3</f>
        <v>16.666666666666668</v>
      </c>
      <c r="G89" s="16">
        <v>1063.47</v>
      </c>
      <c r="H89" s="244">
        <f t="shared" ref="H89:H97" si="7">G89*F89/1000</f>
        <v>17.724499999999999</v>
      </c>
      <c r="I89" s="16">
        <f>G89*3</f>
        <v>3190.41</v>
      </c>
      <c r="J89" s="5"/>
      <c r="K89" s="5"/>
      <c r="L89" s="5"/>
      <c r="M89" s="5"/>
      <c r="N89" s="5"/>
      <c r="O89" s="5"/>
      <c r="P89" s="5"/>
      <c r="Q89" s="5"/>
      <c r="R89" s="197"/>
      <c r="S89" s="197"/>
      <c r="T89" s="197"/>
      <c r="U89" s="197"/>
    </row>
    <row r="90" spans="1:21" ht="31.5" customHeight="1">
      <c r="A90" s="46">
        <v>20</v>
      </c>
      <c r="B90" s="138" t="s">
        <v>267</v>
      </c>
      <c r="C90" s="243" t="s">
        <v>110</v>
      </c>
      <c r="D90" s="81"/>
      <c r="E90" s="16"/>
      <c r="F90" s="16">
        <v>2</v>
      </c>
      <c r="G90" s="16">
        <v>771.29</v>
      </c>
      <c r="H90" s="244">
        <f t="shared" si="7"/>
        <v>1.5425799999999998</v>
      </c>
      <c r="I90" s="16">
        <f>G90*2</f>
        <v>1542.58</v>
      </c>
      <c r="J90" s="5"/>
      <c r="K90" s="5"/>
      <c r="L90" s="5"/>
      <c r="M90" s="5"/>
      <c r="N90" s="5"/>
      <c r="O90" s="5"/>
      <c r="P90" s="5"/>
      <c r="Q90" s="5"/>
      <c r="R90" s="197"/>
      <c r="S90" s="197"/>
      <c r="T90" s="197"/>
      <c r="U90" s="197"/>
    </row>
    <row r="91" spans="1:21" ht="15.75" customHeight="1">
      <c r="A91" s="46">
        <v>21</v>
      </c>
      <c r="B91" s="138" t="s">
        <v>268</v>
      </c>
      <c r="C91" s="243" t="s">
        <v>218</v>
      </c>
      <c r="D91" s="81"/>
      <c r="E91" s="16"/>
      <c r="F91" s="16">
        <v>1</v>
      </c>
      <c r="G91" s="16">
        <v>78.89</v>
      </c>
      <c r="H91" s="244">
        <f t="shared" si="7"/>
        <v>7.8890000000000002E-2</v>
      </c>
      <c r="I91" s="16">
        <f>G91</f>
        <v>78.89</v>
      </c>
      <c r="J91" s="5"/>
      <c r="K91" s="5"/>
      <c r="L91" s="5"/>
      <c r="M91" s="5"/>
      <c r="N91" s="5"/>
      <c r="O91" s="5"/>
      <c r="P91" s="5"/>
      <c r="Q91" s="5"/>
      <c r="R91" s="197"/>
      <c r="S91" s="197"/>
      <c r="T91" s="197"/>
      <c r="U91" s="197"/>
    </row>
    <row r="92" spans="1:21" ht="15.75" customHeight="1">
      <c r="A92" s="46">
        <v>22</v>
      </c>
      <c r="B92" s="138" t="s">
        <v>269</v>
      </c>
      <c r="C92" s="243" t="s">
        <v>218</v>
      </c>
      <c r="D92" s="81"/>
      <c r="E92" s="16"/>
      <c r="F92" s="16">
        <v>1</v>
      </c>
      <c r="G92" s="16">
        <v>89.15</v>
      </c>
      <c r="H92" s="244">
        <f t="shared" si="7"/>
        <v>8.9150000000000007E-2</v>
      </c>
      <c r="I92" s="16">
        <f>G92</f>
        <v>89.15</v>
      </c>
      <c r="J92" s="5"/>
      <c r="K92" s="5"/>
      <c r="L92" s="5"/>
      <c r="M92" s="5"/>
      <c r="N92" s="5"/>
      <c r="O92" s="5"/>
      <c r="P92" s="5"/>
      <c r="Q92" s="5"/>
      <c r="R92" s="197"/>
      <c r="S92" s="197"/>
      <c r="T92" s="197"/>
      <c r="U92" s="197"/>
    </row>
    <row r="93" spans="1:21" ht="15.75" customHeight="1">
      <c r="A93" s="46">
        <v>23</v>
      </c>
      <c r="B93" s="138" t="s">
        <v>277</v>
      </c>
      <c r="C93" s="243" t="s">
        <v>218</v>
      </c>
      <c r="D93" s="81"/>
      <c r="E93" s="16"/>
      <c r="F93" s="16">
        <v>2</v>
      </c>
      <c r="G93" s="16">
        <v>70</v>
      </c>
      <c r="H93" s="244">
        <f t="shared" si="7"/>
        <v>0.14000000000000001</v>
      </c>
      <c r="I93" s="16">
        <f>G93*2</f>
        <v>140</v>
      </c>
      <c r="J93" s="5"/>
      <c r="K93" s="5"/>
      <c r="L93" s="5"/>
      <c r="M93" s="5"/>
      <c r="N93" s="5"/>
      <c r="O93" s="5"/>
      <c r="P93" s="5"/>
      <c r="Q93" s="5"/>
      <c r="R93" s="197"/>
      <c r="S93" s="197"/>
      <c r="T93" s="197"/>
      <c r="U93" s="197"/>
    </row>
    <row r="94" spans="1:21" ht="15.75" customHeight="1">
      <c r="A94" s="46">
        <v>24</v>
      </c>
      <c r="B94" s="138" t="s">
        <v>278</v>
      </c>
      <c r="C94" s="243" t="s">
        <v>218</v>
      </c>
      <c r="D94" s="81"/>
      <c r="E94" s="16"/>
      <c r="F94" s="16">
        <v>1</v>
      </c>
      <c r="G94" s="16">
        <v>50</v>
      </c>
      <c r="H94" s="244">
        <f t="shared" si="7"/>
        <v>0.05</v>
      </c>
      <c r="I94" s="16">
        <f>G94</f>
        <v>50</v>
      </c>
      <c r="J94" s="5"/>
      <c r="K94" s="5"/>
      <c r="L94" s="5"/>
      <c r="M94" s="5"/>
      <c r="N94" s="5"/>
      <c r="O94" s="5"/>
      <c r="P94" s="5"/>
      <c r="Q94" s="5"/>
      <c r="R94" s="197"/>
      <c r="S94" s="197"/>
      <c r="T94" s="197"/>
      <c r="U94" s="197"/>
    </row>
    <row r="95" spans="1:21" ht="15.75" customHeight="1">
      <c r="A95" s="46">
        <v>25</v>
      </c>
      <c r="B95" s="138" t="s">
        <v>279</v>
      </c>
      <c r="C95" s="243" t="s">
        <v>218</v>
      </c>
      <c r="D95" s="81"/>
      <c r="E95" s="16"/>
      <c r="F95" s="16">
        <v>1</v>
      </c>
      <c r="G95" s="16">
        <v>238</v>
      </c>
      <c r="H95" s="244">
        <f t="shared" si="7"/>
        <v>0.23799999999999999</v>
      </c>
      <c r="I95" s="16">
        <f>G95</f>
        <v>238</v>
      </c>
      <c r="J95" s="5"/>
      <c r="K95" s="5"/>
      <c r="L95" s="5"/>
      <c r="M95" s="5"/>
      <c r="N95" s="5"/>
      <c r="O95" s="5"/>
      <c r="P95" s="5"/>
      <c r="Q95" s="5"/>
      <c r="R95" s="197"/>
      <c r="S95" s="197"/>
      <c r="T95" s="197"/>
      <c r="U95" s="197"/>
    </row>
    <row r="96" spans="1:21" ht="15.75" customHeight="1">
      <c r="A96" s="46">
        <v>26</v>
      </c>
      <c r="B96" s="138" t="s">
        <v>270</v>
      </c>
      <c r="C96" s="243" t="s">
        <v>218</v>
      </c>
      <c r="D96" s="81"/>
      <c r="E96" s="16"/>
      <c r="F96" s="16">
        <v>1</v>
      </c>
      <c r="G96" s="16">
        <v>86.15</v>
      </c>
      <c r="H96" s="244">
        <f t="shared" si="7"/>
        <v>8.6150000000000004E-2</v>
      </c>
      <c r="I96" s="16">
        <f>G96</f>
        <v>86.15</v>
      </c>
      <c r="J96" s="5"/>
      <c r="K96" s="5"/>
      <c r="L96" s="5"/>
      <c r="M96" s="5"/>
      <c r="N96" s="5"/>
      <c r="O96" s="5"/>
      <c r="P96" s="5"/>
      <c r="Q96" s="5"/>
      <c r="R96" s="197"/>
      <c r="S96" s="197"/>
      <c r="T96" s="197"/>
      <c r="U96" s="197"/>
    </row>
    <row r="97" spans="1:21" ht="15.75" customHeight="1">
      <c r="A97" s="46">
        <v>27</v>
      </c>
      <c r="B97" s="138" t="s">
        <v>280</v>
      </c>
      <c r="C97" s="243" t="s">
        <v>218</v>
      </c>
      <c r="D97" s="81"/>
      <c r="E97" s="16"/>
      <c r="F97" s="16">
        <v>2</v>
      </c>
      <c r="G97" s="16">
        <v>29282.880000000001</v>
      </c>
      <c r="H97" s="244">
        <f t="shared" si="7"/>
        <v>58.565760000000004</v>
      </c>
      <c r="I97" s="16">
        <f>G97*2</f>
        <v>58565.760000000002</v>
      </c>
      <c r="J97" s="5"/>
      <c r="K97" s="5"/>
      <c r="L97" s="5"/>
      <c r="M97" s="5"/>
      <c r="N97" s="5"/>
      <c r="O97" s="5"/>
      <c r="P97" s="5"/>
      <c r="Q97" s="5"/>
      <c r="R97" s="197"/>
      <c r="S97" s="197"/>
      <c r="T97" s="197"/>
      <c r="U97" s="197"/>
    </row>
    <row r="98" spans="1:21" ht="15.75" customHeight="1">
      <c r="A98" s="46"/>
      <c r="B98" s="75" t="s">
        <v>66</v>
      </c>
      <c r="C98" s="71"/>
      <c r="D98" s="124"/>
      <c r="E98" s="71">
        <v>1</v>
      </c>
      <c r="F98" s="71"/>
      <c r="G98" s="71"/>
      <c r="H98" s="71"/>
      <c r="I98" s="53">
        <f>SUM(I88:I97)</f>
        <v>64014.916499999999</v>
      </c>
    </row>
    <row r="99" spans="1:21" ht="15.75" customHeight="1">
      <c r="A99" s="46"/>
      <c r="B99" s="81" t="s">
        <v>103</v>
      </c>
      <c r="C99" s="19"/>
      <c r="D99" s="19"/>
      <c r="E99" s="72"/>
      <c r="F99" s="72"/>
      <c r="G99" s="73"/>
      <c r="H99" s="73"/>
      <c r="I99" s="22">
        <v>0</v>
      </c>
    </row>
    <row r="100" spans="1:21" ht="15.75" customHeight="1">
      <c r="A100" s="125"/>
      <c r="B100" s="76" t="s">
        <v>67</v>
      </c>
      <c r="C100" s="59"/>
      <c r="D100" s="59"/>
      <c r="E100" s="59"/>
      <c r="F100" s="59"/>
      <c r="G100" s="59"/>
      <c r="H100" s="59"/>
      <c r="I100" s="74">
        <f>I86+I98</f>
        <v>153403.61895239999</v>
      </c>
    </row>
    <row r="101" spans="1:21" ht="15.75" customHeight="1">
      <c r="A101" s="223" t="s">
        <v>306</v>
      </c>
      <c r="B101" s="223"/>
      <c r="C101" s="223"/>
      <c r="D101" s="223"/>
      <c r="E101" s="223"/>
      <c r="F101" s="223"/>
      <c r="G101" s="223"/>
      <c r="H101" s="223"/>
      <c r="I101" s="223"/>
    </row>
    <row r="102" spans="1:21" ht="15.75" customHeight="1">
      <c r="A102" s="201"/>
      <c r="B102" s="224" t="s">
        <v>307</v>
      </c>
      <c r="C102" s="224"/>
      <c r="D102" s="224"/>
      <c r="E102" s="224"/>
      <c r="F102" s="224"/>
      <c r="G102" s="224"/>
      <c r="H102" s="241"/>
      <c r="I102" s="3"/>
    </row>
    <row r="103" spans="1:21" ht="15.75" customHeight="1">
      <c r="A103" s="197"/>
      <c r="B103" s="212" t="s">
        <v>7</v>
      </c>
      <c r="C103" s="212"/>
      <c r="D103" s="212"/>
      <c r="E103" s="212"/>
      <c r="F103" s="212"/>
      <c r="G103" s="212"/>
      <c r="H103" s="36"/>
      <c r="I103" s="5"/>
    </row>
    <row r="104" spans="1:21" ht="15.75" customHeight="1">
      <c r="A104" s="11"/>
      <c r="B104" s="11"/>
      <c r="C104" s="11"/>
      <c r="D104" s="11"/>
      <c r="E104" s="11"/>
      <c r="F104" s="11"/>
      <c r="G104" s="11"/>
      <c r="H104" s="11"/>
      <c r="I104" s="11"/>
    </row>
    <row r="105" spans="1:21" ht="15.75" customHeight="1">
      <c r="A105" s="225" t="s">
        <v>8</v>
      </c>
      <c r="B105" s="225"/>
      <c r="C105" s="225"/>
      <c r="D105" s="225"/>
      <c r="E105" s="225"/>
      <c r="F105" s="225"/>
      <c r="G105" s="225"/>
      <c r="H105" s="225"/>
      <c r="I105" s="225"/>
    </row>
    <row r="106" spans="1:21" ht="15.75" customHeight="1">
      <c r="A106" s="225" t="s">
        <v>9</v>
      </c>
      <c r="B106" s="225"/>
      <c r="C106" s="225"/>
      <c r="D106" s="225"/>
      <c r="E106" s="225"/>
      <c r="F106" s="225"/>
      <c r="G106" s="225"/>
      <c r="H106" s="225"/>
      <c r="I106" s="225"/>
    </row>
    <row r="107" spans="1:21" ht="15.75" customHeight="1">
      <c r="A107" s="221" t="s">
        <v>82</v>
      </c>
      <c r="B107" s="221"/>
      <c r="C107" s="221"/>
      <c r="D107" s="221"/>
      <c r="E107" s="221"/>
      <c r="F107" s="221"/>
      <c r="G107" s="221"/>
      <c r="H107" s="221"/>
      <c r="I107" s="221"/>
    </row>
    <row r="108" spans="1:21" ht="15.75" customHeight="1">
      <c r="A108" s="12"/>
    </row>
    <row r="109" spans="1:21" ht="15.75" customHeight="1">
      <c r="A109" s="222" t="s">
        <v>11</v>
      </c>
      <c r="B109" s="222"/>
      <c r="C109" s="222"/>
      <c r="D109" s="222"/>
      <c r="E109" s="222"/>
      <c r="F109" s="222"/>
      <c r="G109" s="222"/>
      <c r="H109" s="222"/>
      <c r="I109" s="222"/>
    </row>
    <row r="110" spans="1:21" ht="15.75" customHeight="1">
      <c r="A110" s="4"/>
    </row>
    <row r="111" spans="1:21" ht="15.75" customHeight="1">
      <c r="B111" s="200" t="s">
        <v>12</v>
      </c>
      <c r="C111" s="214" t="s">
        <v>142</v>
      </c>
      <c r="D111" s="214"/>
      <c r="E111" s="214"/>
      <c r="F111" s="239"/>
      <c r="I111" s="196"/>
    </row>
    <row r="112" spans="1:21" ht="15.75" customHeight="1">
      <c r="A112" s="197"/>
      <c r="C112" s="212" t="s">
        <v>13</v>
      </c>
      <c r="D112" s="212"/>
      <c r="E112" s="212"/>
      <c r="F112" s="36"/>
      <c r="I112" s="195" t="s">
        <v>14</v>
      </c>
    </row>
    <row r="113" spans="1:9" ht="15.75" customHeight="1">
      <c r="A113" s="37"/>
      <c r="C113" s="13"/>
      <c r="D113" s="13"/>
      <c r="G113" s="13"/>
      <c r="H113" s="13"/>
    </row>
    <row r="114" spans="1:9" ht="15.75" customHeight="1">
      <c r="B114" s="200" t="s">
        <v>15</v>
      </c>
      <c r="C114" s="213"/>
      <c r="D114" s="213"/>
      <c r="E114" s="213"/>
      <c r="F114" s="240"/>
      <c r="I114" s="196"/>
    </row>
    <row r="115" spans="1:9" ht="15.75" customHeight="1">
      <c r="A115" s="197"/>
      <c r="C115" s="207" t="s">
        <v>13</v>
      </c>
      <c r="D115" s="207"/>
      <c r="E115" s="207"/>
      <c r="F115" s="197"/>
      <c r="I115" s="195" t="s">
        <v>14</v>
      </c>
    </row>
    <row r="116" spans="1:9" ht="15.75" customHeight="1">
      <c r="A116" s="4" t="s">
        <v>16</v>
      </c>
    </row>
    <row r="117" spans="1:9" ht="15.75" customHeight="1">
      <c r="A117" s="220" t="s">
        <v>17</v>
      </c>
      <c r="B117" s="220"/>
      <c r="C117" s="220"/>
      <c r="D117" s="220"/>
      <c r="E117" s="220"/>
      <c r="F117" s="220"/>
      <c r="G117" s="220"/>
      <c r="H117" s="220"/>
      <c r="I117" s="220"/>
    </row>
    <row r="118" spans="1:9" ht="45" customHeight="1">
      <c r="A118" s="219" t="s">
        <v>18</v>
      </c>
      <c r="B118" s="219"/>
      <c r="C118" s="219"/>
      <c r="D118" s="219"/>
      <c r="E118" s="219"/>
      <c r="F118" s="219"/>
      <c r="G118" s="219"/>
      <c r="H118" s="219"/>
      <c r="I118" s="219"/>
    </row>
    <row r="119" spans="1:9" ht="30" customHeight="1">
      <c r="A119" s="219" t="s">
        <v>19</v>
      </c>
      <c r="B119" s="219"/>
      <c r="C119" s="219"/>
      <c r="D119" s="219"/>
      <c r="E119" s="219"/>
      <c r="F119" s="219"/>
      <c r="G119" s="219"/>
      <c r="H119" s="219"/>
      <c r="I119" s="219"/>
    </row>
    <row r="120" spans="1:9" ht="30" customHeight="1">
      <c r="A120" s="219" t="s">
        <v>24</v>
      </c>
      <c r="B120" s="219"/>
      <c r="C120" s="219"/>
      <c r="D120" s="219"/>
      <c r="E120" s="219"/>
      <c r="F120" s="219"/>
      <c r="G120" s="219"/>
      <c r="H120" s="219"/>
      <c r="I120" s="219"/>
    </row>
    <row r="121" spans="1:9" ht="15" customHeight="1">
      <c r="A121" s="219" t="s">
        <v>23</v>
      </c>
      <c r="B121" s="219"/>
      <c r="C121" s="219"/>
      <c r="D121" s="219"/>
      <c r="E121" s="219"/>
      <c r="F121" s="219"/>
      <c r="G121" s="219"/>
      <c r="H121" s="219"/>
      <c r="I121" s="219"/>
    </row>
  </sheetData>
  <autoFilter ref="I12:I62"/>
  <mergeCells count="28"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  <mergeCell ref="A101:I101"/>
    <mergeCell ref="B102:G102"/>
    <mergeCell ref="B103:G103"/>
    <mergeCell ref="A105:I105"/>
    <mergeCell ref="A106:I106"/>
    <mergeCell ref="A107:I107"/>
    <mergeCell ref="A15:I15"/>
    <mergeCell ref="A29:I29"/>
    <mergeCell ref="A47:I47"/>
    <mergeCell ref="A57:I57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1" t="s">
        <v>128</v>
      </c>
      <c r="I1" s="40"/>
      <c r="J1" s="1"/>
      <c r="K1" s="1"/>
      <c r="L1" s="1"/>
      <c r="M1" s="1"/>
    </row>
    <row r="2" spans="1:13" ht="15.75" customHeight="1">
      <c r="A2" s="42" t="s">
        <v>85</v>
      </c>
      <c r="J2" s="2"/>
      <c r="K2" s="2"/>
      <c r="L2" s="2"/>
      <c r="M2" s="2"/>
    </row>
    <row r="3" spans="1:13" ht="15.75" customHeight="1">
      <c r="A3" s="226" t="s">
        <v>308</v>
      </c>
      <c r="B3" s="226"/>
      <c r="C3" s="226"/>
      <c r="D3" s="226"/>
      <c r="E3" s="226"/>
      <c r="F3" s="226"/>
      <c r="G3" s="226"/>
      <c r="H3" s="226"/>
      <c r="I3" s="226"/>
      <c r="J3" s="3"/>
      <c r="K3" s="3"/>
      <c r="L3" s="3"/>
    </row>
    <row r="4" spans="1:13" ht="31.5" customHeight="1">
      <c r="A4" s="227" t="s">
        <v>228</v>
      </c>
      <c r="B4" s="227"/>
      <c r="C4" s="227"/>
      <c r="D4" s="227"/>
      <c r="E4" s="227"/>
      <c r="F4" s="227"/>
      <c r="G4" s="227"/>
      <c r="H4" s="227"/>
      <c r="I4" s="227"/>
    </row>
    <row r="5" spans="1:13" ht="15.75" customHeight="1">
      <c r="A5" s="226" t="s">
        <v>116</v>
      </c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5.75" customHeight="1">
      <c r="A6" s="2"/>
      <c r="B6" s="199"/>
      <c r="C6" s="199"/>
      <c r="D6" s="199"/>
      <c r="E6" s="199"/>
      <c r="F6" s="199"/>
      <c r="G6" s="199"/>
      <c r="H6" s="199"/>
      <c r="I6" s="51">
        <v>42643</v>
      </c>
      <c r="J6" s="2"/>
      <c r="K6" s="2"/>
      <c r="L6" s="2"/>
      <c r="M6" s="2"/>
    </row>
    <row r="7" spans="1:13" ht="15.75" customHeight="1">
      <c r="B7" s="200"/>
      <c r="C7" s="200"/>
      <c r="D7" s="20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5" t="s">
        <v>239</v>
      </c>
      <c r="B8" s="205"/>
      <c r="C8" s="205"/>
      <c r="D8" s="205"/>
      <c r="E8" s="205"/>
      <c r="F8" s="205"/>
      <c r="G8" s="205"/>
      <c r="H8" s="205"/>
      <c r="I8" s="205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06" t="s">
        <v>238</v>
      </c>
      <c r="B10" s="206"/>
      <c r="C10" s="206"/>
      <c r="D10" s="206"/>
      <c r="E10" s="206"/>
      <c r="F10" s="206"/>
      <c r="G10" s="206"/>
      <c r="H10" s="206"/>
      <c r="I10" s="206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29" t="s">
        <v>79</v>
      </c>
      <c r="B14" s="229"/>
      <c r="C14" s="229"/>
      <c r="D14" s="229"/>
      <c r="E14" s="229"/>
      <c r="F14" s="229"/>
      <c r="G14" s="229"/>
      <c r="H14" s="229"/>
      <c r="I14" s="229"/>
      <c r="J14" s="8"/>
      <c r="K14" s="8"/>
      <c r="L14" s="8"/>
      <c r="M14" s="8"/>
    </row>
    <row r="15" spans="1:13" ht="15.75" customHeight="1">
      <c r="A15" s="230" t="s">
        <v>4</v>
      </c>
      <c r="B15" s="230"/>
      <c r="C15" s="230"/>
      <c r="D15" s="230"/>
      <c r="E15" s="230"/>
      <c r="F15" s="230"/>
      <c r="G15" s="230"/>
      <c r="H15" s="230"/>
      <c r="I15" s="230"/>
      <c r="J15" s="8"/>
      <c r="K15" s="8"/>
      <c r="L15" s="8"/>
      <c r="M15" s="8"/>
    </row>
    <row r="16" spans="1:13" ht="15.75" customHeight="1">
      <c r="A16" s="46">
        <v>1</v>
      </c>
      <c r="B16" s="247" t="s">
        <v>130</v>
      </c>
      <c r="C16" s="248" t="s">
        <v>194</v>
      </c>
      <c r="D16" s="247" t="s">
        <v>195</v>
      </c>
      <c r="E16" s="249">
        <v>176.24</v>
      </c>
      <c r="F16" s="250">
        <f>SUM(E16*156/100)</f>
        <v>274.93440000000004</v>
      </c>
      <c r="G16" s="250">
        <v>187.48</v>
      </c>
      <c r="H16" s="251">
        <f t="shared" ref="H16:H26" si="0">SUM(F16*G16/1000)</f>
        <v>51.544701312000008</v>
      </c>
      <c r="I16" s="16">
        <f>F16/12*G16</f>
        <v>4295.3917760000004</v>
      </c>
      <c r="J16" s="8"/>
      <c r="K16" s="8"/>
      <c r="L16" s="8"/>
      <c r="M16" s="8"/>
    </row>
    <row r="17" spans="1:13" ht="15.75" customHeight="1">
      <c r="A17" s="46">
        <v>2</v>
      </c>
      <c r="B17" s="247" t="s">
        <v>151</v>
      </c>
      <c r="C17" s="248" t="s">
        <v>194</v>
      </c>
      <c r="D17" s="247" t="s">
        <v>196</v>
      </c>
      <c r="E17" s="249">
        <v>704.96</v>
      </c>
      <c r="F17" s="250">
        <f>SUM(E17*104/100)</f>
        <v>733.15839999999992</v>
      </c>
      <c r="G17" s="250">
        <v>187.48</v>
      </c>
      <c r="H17" s="251">
        <v>137.453</v>
      </c>
      <c r="I17" s="16">
        <f>F17/12*G17</f>
        <v>11454.378069333332</v>
      </c>
      <c r="J17" s="31"/>
      <c r="K17" s="8"/>
      <c r="L17" s="8"/>
      <c r="M17" s="8"/>
    </row>
    <row r="18" spans="1:13" ht="15.75" customHeight="1">
      <c r="A18" s="46">
        <v>3</v>
      </c>
      <c r="B18" s="247" t="s">
        <v>152</v>
      </c>
      <c r="C18" s="248" t="s">
        <v>194</v>
      </c>
      <c r="D18" s="247" t="s">
        <v>197</v>
      </c>
      <c r="E18" s="249">
        <f>SUM(E16+E17)</f>
        <v>881.2</v>
      </c>
      <c r="F18" s="250">
        <f>SUM(E18*24/100)</f>
        <v>211.48800000000003</v>
      </c>
      <c r="G18" s="250">
        <v>539.30999999999995</v>
      </c>
      <c r="H18" s="251">
        <f t="shared" si="0"/>
        <v>114.05759328000001</v>
      </c>
      <c r="I18" s="16">
        <f>F18/12*G18</f>
        <v>9504.7994400000007</v>
      </c>
      <c r="J18" s="31"/>
      <c r="K18" s="8"/>
      <c r="L18" s="8"/>
      <c r="M18" s="8"/>
    </row>
    <row r="19" spans="1:13" ht="15.75" hidden="1" customHeight="1">
      <c r="A19" s="46">
        <v>4</v>
      </c>
      <c r="B19" s="247" t="s">
        <v>198</v>
      </c>
      <c r="C19" s="248" t="s">
        <v>199</v>
      </c>
      <c r="D19" s="247" t="s">
        <v>200</v>
      </c>
      <c r="E19" s="249">
        <v>28.8</v>
      </c>
      <c r="F19" s="250">
        <f>SUM(E19/10)</f>
        <v>2.88</v>
      </c>
      <c r="G19" s="250">
        <v>181.91</v>
      </c>
      <c r="H19" s="251">
        <f t="shared" si="0"/>
        <v>0.52390080000000006</v>
      </c>
      <c r="I19" s="16">
        <v>0</v>
      </c>
      <c r="J19" s="31"/>
      <c r="K19" s="8"/>
      <c r="L19" s="8"/>
      <c r="M19" s="8"/>
    </row>
    <row r="20" spans="1:13" ht="15.75" customHeight="1">
      <c r="A20" s="46">
        <v>4</v>
      </c>
      <c r="B20" s="247" t="s">
        <v>164</v>
      </c>
      <c r="C20" s="248" t="s">
        <v>194</v>
      </c>
      <c r="D20" s="247" t="s">
        <v>36</v>
      </c>
      <c r="E20" s="249">
        <v>17.5</v>
      </c>
      <c r="F20" s="250">
        <f>SUM(E20*12/100)</f>
        <v>2.1</v>
      </c>
      <c r="G20" s="250">
        <v>232.92</v>
      </c>
      <c r="H20" s="251">
        <f t="shared" si="0"/>
        <v>0.48913200000000001</v>
      </c>
      <c r="I20" s="16">
        <f>F20/12*G20</f>
        <v>40.761000000000003</v>
      </c>
      <c r="J20" s="31"/>
      <c r="K20" s="8"/>
      <c r="L20" s="8"/>
      <c r="M20" s="8"/>
    </row>
    <row r="21" spans="1:13" ht="15.75" customHeight="1">
      <c r="A21" s="46">
        <v>5</v>
      </c>
      <c r="B21" s="247" t="s">
        <v>165</v>
      </c>
      <c r="C21" s="248" t="s">
        <v>194</v>
      </c>
      <c r="D21" s="247" t="s">
        <v>188</v>
      </c>
      <c r="E21" s="249">
        <v>5.94</v>
      </c>
      <c r="F21" s="250">
        <f>SUM(E21*6/100)</f>
        <v>0.35639999999999999</v>
      </c>
      <c r="G21" s="250">
        <v>231.03</v>
      </c>
      <c r="H21" s="251">
        <f t="shared" si="0"/>
        <v>8.2339091999999989E-2</v>
      </c>
      <c r="I21" s="16">
        <f>F21/6*G21</f>
        <v>13.723182</v>
      </c>
      <c r="J21" s="31"/>
      <c r="K21" s="8"/>
      <c r="L21" s="8"/>
      <c r="M21" s="8"/>
    </row>
    <row r="22" spans="1:13" ht="15.75" hidden="1" customHeight="1">
      <c r="A22" s="46">
        <v>7</v>
      </c>
      <c r="B22" s="247" t="s">
        <v>201</v>
      </c>
      <c r="C22" s="248" t="s">
        <v>68</v>
      </c>
      <c r="D22" s="247" t="s">
        <v>200</v>
      </c>
      <c r="E22" s="249">
        <v>376</v>
      </c>
      <c r="F22" s="250">
        <f>SUM(E22/100)</f>
        <v>3.76</v>
      </c>
      <c r="G22" s="250">
        <v>287.83999999999997</v>
      </c>
      <c r="H22" s="251">
        <f t="shared" si="0"/>
        <v>1.0822783999999999</v>
      </c>
      <c r="I22" s="16">
        <v>0</v>
      </c>
      <c r="J22" s="31"/>
      <c r="K22" s="8"/>
      <c r="L22" s="8"/>
      <c r="M22" s="8"/>
    </row>
    <row r="23" spans="1:13" ht="15.75" hidden="1" customHeight="1">
      <c r="A23" s="46">
        <v>8</v>
      </c>
      <c r="B23" s="247" t="s">
        <v>202</v>
      </c>
      <c r="C23" s="248" t="s">
        <v>68</v>
      </c>
      <c r="D23" s="247" t="s">
        <v>200</v>
      </c>
      <c r="E23" s="252">
        <v>60.4</v>
      </c>
      <c r="F23" s="250">
        <f>SUM(E23/100)</f>
        <v>0.60399999999999998</v>
      </c>
      <c r="G23" s="250">
        <v>47.34</v>
      </c>
      <c r="H23" s="251">
        <f t="shared" si="0"/>
        <v>2.8593360000000002E-2</v>
      </c>
      <c r="I23" s="16">
        <v>0</v>
      </c>
      <c r="J23" s="31"/>
      <c r="K23" s="8"/>
      <c r="L23" s="8"/>
      <c r="M23" s="8"/>
    </row>
    <row r="24" spans="1:13" ht="15.75" hidden="1" customHeight="1">
      <c r="A24" s="46">
        <v>9</v>
      </c>
      <c r="B24" s="247" t="s">
        <v>176</v>
      </c>
      <c r="C24" s="248" t="s">
        <v>68</v>
      </c>
      <c r="D24" s="247" t="s">
        <v>69</v>
      </c>
      <c r="E24" s="23">
        <v>25</v>
      </c>
      <c r="F24" s="253">
        <f>E24/100</f>
        <v>0.25</v>
      </c>
      <c r="G24" s="250">
        <v>416.62</v>
      </c>
      <c r="H24" s="251">
        <f>F24*G24/1000</f>
        <v>0.104155</v>
      </c>
      <c r="I24" s="16">
        <v>0</v>
      </c>
      <c r="J24" s="31"/>
      <c r="K24" s="8"/>
      <c r="L24" s="8"/>
      <c r="M24" s="8"/>
    </row>
    <row r="25" spans="1:13" ht="15.75" hidden="1" customHeight="1">
      <c r="A25" s="46">
        <v>10</v>
      </c>
      <c r="B25" s="247" t="s">
        <v>203</v>
      </c>
      <c r="C25" s="248" t="s">
        <v>68</v>
      </c>
      <c r="D25" s="247" t="s">
        <v>200</v>
      </c>
      <c r="E25" s="252">
        <v>23.75</v>
      </c>
      <c r="F25" s="250">
        <f>E25/100</f>
        <v>0.23749999999999999</v>
      </c>
      <c r="G25" s="250">
        <v>231.03</v>
      </c>
      <c r="H25" s="251">
        <f>F25*G25/1000</f>
        <v>5.4869624999999998E-2</v>
      </c>
      <c r="I25" s="16">
        <v>0</v>
      </c>
      <c r="J25" s="31"/>
      <c r="K25" s="8"/>
      <c r="L25" s="8"/>
      <c r="M25" s="8"/>
    </row>
    <row r="26" spans="1:13" ht="15.75" hidden="1" customHeight="1">
      <c r="A26" s="46">
        <v>11</v>
      </c>
      <c r="B26" s="247" t="s">
        <v>177</v>
      </c>
      <c r="C26" s="248" t="s">
        <v>68</v>
      </c>
      <c r="D26" s="247" t="s">
        <v>200</v>
      </c>
      <c r="E26" s="249">
        <v>10.63</v>
      </c>
      <c r="F26" s="250">
        <f>SUM(E26/100)</f>
        <v>0.10630000000000001</v>
      </c>
      <c r="G26" s="250">
        <v>556.74</v>
      </c>
      <c r="H26" s="251">
        <f t="shared" si="0"/>
        <v>5.9181462000000004E-2</v>
      </c>
      <c r="I26" s="16">
        <v>0</v>
      </c>
      <c r="J26" s="31"/>
      <c r="K26" s="8"/>
      <c r="L26" s="8"/>
      <c r="M26" s="8"/>
    </row>
    <row r="27" spans="1:13" ht="15.75" customHeight="1">
      <c r="A27" s="46">
        <v>6</v>
      </c>
      <c r="B27" s="247" t="s">
        <v>87</v>
      </c>
      <c r="C27" s="248" t="s">
        <v>40</v>
      </c>
      <c r="D27" s="247" t="s">
        <v>247</v>
      </c>
      <c r="E27" s="249">
        <v>0.1</v>
      </c>
      <c r="F27" s="250">
        <f>SUM(E27*365)</f>
        <v>36.5</v>
      </c>
      <c r="G27" s="250">
        <v>157.18</v>
      </c>
      <c r="H27" s="251">
        <f>SUM(F27*G27/1000)</f>
        <v>5.737070000000001</v>
      </c>
      <c r="I27" s="16">
        <f>F27/12*G27</f>
        <v>478.08916666666664</v>
      </c>
      <c r="J27" s="32"/>
    </row>
    <row r="28" spans="1:13" ht="15.75" customHeight="1">
      <c r="A28" s="46">
        <v>7</v>
      </c>
      <c r="B28" s="255" t="s">
        <v>26</v>
      </c>
      <c r="C28" s="248" t="s">
        <v>27</v>
      </c>
      <c r="D28" s="255" t="s">
        <v>247</v>
      </c>
      <c r="E28" s="249">
        <v>5816.5</v>
      </c>
      <c r="F28" s="250">
        <f>SUM(E28*12)</f>
        <v>69798</v>
      </c>
      <c r="G28" s="250">
        <v>4.72</v>
      </c>
      <c r="H28" s="251">
        <f>SUM(F28*G28/1000)</f>
        <v>329.44655999999998</v>
      </c>
      <c r="I28" s="16">
        <f>F28/12*G28</f>
        <v>27453.879999999997</v>
      </c>
      <c r="J28" s="32"/>
    </row>
    <row r="29" spans="1:13" ht="15.75" customHeight="1">
      <c r="A29" s="230" t="s">
        <v>122</v>
      </c>
      <c r="B29" s="230"/>
      <c r="C29" s="230"/>
      <c r="D29" s="230"/>
      <c r="E29" s="230"/>
      <c r="F29" s="230"/>
      <c r="G29" s="230"/>
      <c r="H29" s="230"/>
      <c r="I29" s="230"/>
      <c r="J29" s="31"/>
      <c r="K29" s="8"/>
      <c r="L29" s="8"/>
      <c r="M29" s="8"/>
    </row>
    <row r="30" spans="1:13" ht="15.75" customHeight="1">
      <c r="A30" s="46"/>
      <c r="B30" s="268" t="s">
        <v>34</v>
      </c>
      <c r="C30" s="248"/>
      <c r="D30" s="247"/>
      <c r="E30" s="249"/>
      <c r="F30" s="250"/>
      <c r="G30" s="250"/>
      <c r="H30" s="251"/>
      <c r="I30" s="16"/>
      <c r="J30" s="31"/>
      <c r="K30" s="8"/>
      <c r="L30" s="8"/>
      <c r="M30" s="8"/>
    </row>
    <row r="31" spans="1:13" ht="15.75" customHeight="1">
      <c r="A31" s="46">
        <v>8</v>
      </c>
      <c r="B31" s="247" t="s">
        <v>204</v>
      </c>
      <c r="C31" s="248" t="s">
        <v>205</v>
      </c>
      <c r="D31" s="247" t="s">
        <v>206</v>
      </c>
      <c r="E31" s="250">
        <v>357.22</v>
      </c>
      <c r="F31" s="250">
        <f>SUM(E31*52/1000)</f>
        <v>18.575440000000004</v>
      </c>
      <c r="G31" s="250">
        <v>166.65</v>
      </c>
      <c r="H31" s="251">
        <f t="shared" ref="H31:H38" si="1">SUM(F31*G31/1000)</f>
        <v>3.0955970760000011</v>
      </c>
      <c r="I31" s="16">
        <f>F31/6*G31</f>
        <v>515.93284600000015</v>
      </c>
      <c r="J31" s="31"/>
      <c r="K31" s="8"/>
      <c r="L31" s="8"/>
      <c r="M31" s="8"/>
    </row>
    <row r="32" spans="1:13" ht="31.5" customHeight="1">
      <c r="A32" s="46">
        <v>9</v>
      </c>
      <c r="B32" s="247" t="s">
        <v>281</v>
      </c>
      <c r="C32" s="248" t="s">
        <v>205</v>
      </c>
      <c r="D32" s="247" t="s">
        <v>208</v>
      </c>
      <c r="E32" s="250">
        <v>475.06</v>
      </c>
      <c r="F32" s="250">
        <f>SUM(E32*78/1000)</f>
        <v>37.054679999999998</v>
      </c>
      <c r="G32" s="250">
        <v>276.48</v>
      </c>
      <c r="H32" s="251">
        <f t="shared" si="1"/>
        <v>10.244877926400001</v>
      </c>
      <c r="I32" s="16">
        <f t="shared" ref="I32:I35" si="2">F32/6*G32</f>
        <v>1707.4796544000001</v>
      </c>
      <c r="J32" s="31"/>
      <c r="K32" s="8"/>
      <c r="L32" s="8"/>
      <c r="M32" s="8"/>
    </row>
    <row r="33" spans="1:14" ht="15.75" hidden="1" customHeight="1">
      <c r="A33" s="46">
        <v>16</v>
      </c>
      <c r="B33" s="247" t="s">
        <v>33</v>
      </c>
      <c r="C33" s="248" t="s">
        <v>205</v>
      </c>
      <c r="D33" s="247" t="s">
        <v>69</v>
      </c>
      <c r="E33" s="250">
        <v>357.22</v>
      </c>
      <c r="F33" s="250">
        <f>SUM(E33/1000)</f>
        <v>0.35722000000000004</v>
      </c>
      <c r="G33" s="250">
        <v>3228.73</v>
      </c>
      <c r="H33" s="251">
        <f t="shared" si="1"/>
        <v>1.1533669306000001</v>
      </c>
      <c r="I33" s="16">
        <f>F33*G33</f>
        <v>1153.3669306000002</v>
      </c>
      <c r="J33" s="31"/>
      <c r="K33" s="8"/>
      <c r="L33" s="8"/>
      <c r="M33" s="8"/>
    </row>
    <row r="34" spans="1:14" ht="15.75" customHeight="1">
      <c r="A34" s="46">
        <v>10</v>
      </c>
      <c r="B34" s="247" t="s">
        <v>245</v>
      </c>
      <c r="C34" s="248" t="s">
        <v>51</v>
      </c>
      <c r="D34" s="247" t="s">
        <v>246</v>
      </c>
      <c r="E34" s="250">
        <v>5</v>
      </c>
      <c r="F34" s="250">
        <f>E34*155/100</f>
        <v>7.75</v>
      </c>
      <c r="G34" s="250">
        <v>1391.86</v>
      </c>
      <c r="H34" s="251">
        <f>G34*F34/1000</f>
        <v>10.786914999999999</v>
      </c>
      <c r="I34" s="16">
        <f t="shared" si="2"/>
        <v>1797.8191666666667</v>
      </c>
      <c r="J34" s="31"/>
      <c r="K34" s="8"/>
      <c r="L34" s="8"/>
      <c r="M34" s="8"/>
    </row>
    <row r="35" spans="1:14" ht="15.75" customHeight="1">
      <c r="A35" s="46">
        <v>11</v>
      </c>
      <c r="B35" s="247" t="s">
        <v>210</v>
      </c>
      <c r="C35" s="248" t="s">
        <v>37</v>
      </c>
      <c r="D35" s="247" t="s">
        <v>86</v>
      </c>
      <c r="E35" s="254">
        <v>0.33333333333333331</v>
      </c>
      <c r="F35" s="250">
        <f>155/3</f>
        <v>51.666666666666664</v>
      </c>
      <c r="G35" s="250">
        <v>60.6</v>
      </c>
      <c r="H35" s="251">
        <f>SUM(G35*155/3/1000)</f>
        <v>3.1309999999999998</v>
      </c>
      <c r="I35" s="16">
        <f t="shared" si="2"/>
        <v>521.83333333333337</v>
      </c>
      <c r="J35" s="31"/>
      <c r="K35" s="8"/>
    </row>
    <row r="36" spans="1:14" ht="15.75" hidden="1" customHeight="1">
      <c r="A36" s="46"/>
      <c r="B36" s="247" t="s">
        <v>88</v>
      </c>
      <c r="C36" s="248" t="s">
        <v>40</v>
      </c>
      <c r="D36" s="247" t="s">
        <v>90</v>
      </c>
      <c r="E36" s="249"/>
      <c r="F36" s="250">
        <v>3</v>
      </c>
      <c r="G36" s="250">
        <v>204.52</v>
      </c>
      <c r="H36" s="251">
        <f t="shared" si="1"/>
        <v>0.61356000000000011</v>
      </c>
      <c r="I36" s="16">
        <v>0</v>
      </c>
      <c r="J36" s="32"/>
    </row>
    <row r="37" spans="1:14" ht="15.75" hidden="1" customHeight="1">
      <c r="A37" s="46"/>
      <c r="B37" s="247" t="s">
        <v>89</v>
      </c>
      <c r="C37" s="248" t="s">
        <v>39</v>
      </c>
      <c r="D37" s="247" t="s">
        <v>90</v>
      </c>
      <c r="E37" s="249"/>
      <c r="F37" s="250">
        <v>2</v>
      </c>
      <c r="G37" s="250">
        <v>1214.74</v>
      </c>
      <c r="H37" s="251">
        <f t="shared" si="1"/>
        <v>2.4294799999999999</v>
      </c>
      <c r="I37" s="16">
        <v>0</v>
      </c>
      <c r="J37" s="32"/>
    </row>
    <row r="38" spans="1:14" ht="15.75" hidden="1" customHeight="1">
      <c r="A38" s="46"/>
      <c r="B38" s="138" t="s">
        <v>248</v>
      </c>
      <c r="C38" s="243" t="s">
        <v>35</v>
      </c>
      <c r="D38" s="247"/>
      <c r="E38" s="249">
        <v>360.36</v>
      </c>
      <c r="F38" s="250">
        <f>E38*36/1000</f>
        <v>12.97296</v>
      </c>
      <c r="G38" s="250">
        <v>3228.73</v>
      </c>
      <c r="H38" s="251">
        <f t="shared" si="1"/>
        <v>41.886185140800002</v>
      </c>
      <c r="I38" s="16">
        <v>0</v>
      </c>
      <c r="J38" s="32"/>
    </row>
    <row r="39" spans="1:14" ht="15.75" hidden="1" customHeight="1">
      <c r="A39" s="46"/>
      <c r="B39" s="268" t="s">
        <v>5</v>
      </c>
      <c r="C39" s="248"/>
      <c r="D39" s="247"/>
      <c r="E39" s="249"/>
      <c r="F39" s="250"/>
      <c r="G39" s="250"/>
      <c r="H39" s="251" t="s">
        <v>225</v>
      </c>
      <c r="I39" s="16"/>
      <c r="J39" s="32"/>
    </row>
    <row r="40" spans="1:14" ht="15.75" hidden="1" customHeight="1">
      <c r="A40" s="46">
        <v>8</v>
      </c>
      <c r="B40" s="247" t="s">
        <v>31</v>
      </c>
      <c r="C40" s="248" t="s">
        <v>39</v>
      </c>
      <c r="D40" s="247"/>
      <c r="E40" s="249"/>
      <c r="F40" s="250">
        <v>10</v>
      </c>
      <c r="G40" s="250">
        <v>1632.6</v>
      </c>
      <c r="H40" s="251">
        <f t="shared" ref="H40:H46" si="3">SUM(F40*G40/1000)</f>
        <v>16.326000000000001</v>
      </c>
      <c r="I40" s="16">
        <f>F40/6*G40</f>
        <v>2721</v>
      </c>
      <c r="J40" s="32"/>
      <c r="L40" s="25"/>
      <c r="M40" s="26"/>
      <c r="N40" s="27"/>
    </row>
    <row r="41" spans="1:14" ht="15.75" hidden="1" customHeight="1">
      <c r="A41" s="46">
        <v>9</v>
      </c>
      <c r="B41" s="247" t="s">
        <v>91</v>
      </c>
      <c r="C41" s="248" t="s">
        <v>35</v>
      </c>
      <c r="D41" s="247" t="s">
        <v>211</v>
      </c>
      <c r="E41" s="250">
        <v>469.73</v>
      </c>
      <c r="F41" s="250">
        <f>SUM(E41*30/1000)</f>
        <v>14.091900000000001</v>
      </c>
      <c r="G41" s="250">
        <v>2247.8000000000002</v>
      </c>
      <c r="H41" s="251">
        <f t="shared" si="3"/>
        <v>31.675772820000006</v>
      </c>
      <c r="I41" s="16">
        <f>F41/6*G41</f>
        <v>5279.2954700000009</v>
      </c>
      <c r="J41" s="32"/>
      <c r="L41" s="25"/>
      <c r="M41" s="26"/>
      <c r="N41" s="27"/>
    </row>
    <row r="42" spans="1:14" ht="15.75" hidden="1" customHeight="1">
      <c r="A42" s="46"/>
      <c r="B42" s="247" t="s">
        <v>156</v>
      </c>
      <c r="C42" s="248" t="s">
        <v>229</v>
      </c>
      <c r="D42" s="247" t="s">
        <v>90</v>
      </c>
      <c r="E42" s="249"/>
      <c r="F42" s="250">
        <v>120</v>
      </c>
      <c r="G42" s="250">
        <v>213.2</v>
      </c>
      <c r="H42" s="251">
        <f t="shared" si="3"/>
        <v>25.584</v>
      </c>
      <c r="I42" s="16">
        <v>0</v>
      </c>
      <c r="J42" s="32"/>
      <c r="L42" s="25"/>
      <c r="M42" s="26"/>
      <c r="N42" s="27"/>
    </row>
    <row r="43" spans="1:14" ht="15.75" hidden="1" customHeight="1">
      <c r="A43" s="46">
        <v>10</v>
      </c>
      <c r="B43" s="247" t="s">
        <v>92</v>
      </c>
      <c r="C43" s="248" t="s">
        <v>35</v>
      </c>
      <c r="D43" s="247" t="s">
        <v>212</v>
      </c>
      <c r="E43" s="250">
        <v>475.06</v>
      </c>
      <c r="F43" s="250">
        <f>SUM(E43*155/1000)</f>
        <v>73.634299999999996</v>
      </c>
      <c r="G43" s="250">
        <v>374.95</v>
      </c>
      <c r="H43" s="251">
        <f t="shared" si="3"/>
        <v>27.609180784999996</v>
      </c>
      <c r="I43" s="16">
        <f>F43/6*G43</f>
        <v>4601.5301308333328</v>
      </c>
      <c r="J43" s="32"/>
      <c r="L43" s="25"/>
      <c r="M43" s="26"/>
      <c r="N43" s="27"/>
    </row>
    <row r="44" spans="1:14" ht="47.25" hidden="1" customHeight="1">
      <c r="A44" s="46">
        <v>11</v>
      </c>
      <c r="B44" s="247" t="s">
        <v>118</v>
      </c>
      <c r="C44" s="248" t="s">
        <v>205</v>
      </c>
      <c r="D44" s="247" t="s">
        <v>230</v>
      </c>
      <c r="E44" s="250">
        <v>40.6</v>
      </c>
      <c r="F44" s="250">
        <f>SUM(E44*35/1000)</f>
        <v>1.421</v>
      </c>
      <c r="G44" s="250">
        <v>6203.7</v>
      </c>
      <c r="H44" s="251">
        <f t="shared" si="3"/>
        <v>8.8154577000000014</v>
      </c>
      <c r="I44" s="16">
        <f>F44/6*G44</f>
        <v>1469.2429500000001</v>
      </c>
      <c r="J44" s="32"/>
      <c r="L44" s="25"/>
      <c r="M44" s="26"/>
      <c r="N44" s="27"/>
    </row>
    <row r="45" spans="1:14" ht="15.75" hidden="1" customHeight="1">
      <c r="A45" s="46">
        <v>12</v>
      </c>
      <c r="B45" s="247" t="s">
        <v>213</v>
      </c>
      <c r="C45" s="248" t="s">
        <v>205</v>
      </c>
      <c r="D45" s="247" t="s">
        <v>93</v>
      </c>
      <c r="E45" s="250">
        <v>167.03</v>
      </c>
      <c r="F45" s="250">
        <f>SUM(E45*45/1000)</f>
        <v>7.5163500000000001</v>
      </c>
      <c r="G45" s="250">
        <v>458.28</v>
      </c>
      <c r="H45" s="251">
        <f t="shared" si="3"/>
        <v>3.4445928779999999</v>
      </c>
      <c r="I45" s="16">
        <f>F45/6*G45</f>
        <v>574.09881299999995</v>
      </c>
      <c r="J45" s="32"/>
      <c r="L45" s="25"/>
      <c r="M45" s="26"/>
      <c r="N45" s="27"/>
    </row>
    <row r="46" spans="1:14" ht="15.75" hidden="1" customHeight="1">
      <c r="A46" s="46">
        <v>13</v>
      </c>
      <c r="B46" s="247" t="s">
        <v>94</v>
      </c>
      <c r="C46" s="248" t="s">
        <v>40</v>
      </c>
      <c r="D46" s="247"/>
      <c r="E46" s="249"/>
      <c r="F46" s="250">
        <v>1.2</v>
      </c>
      <c r="G46" s="250">
        <v>853.06</v>
      </c>
      <c r="H46" s="251">
        <f t="shared" si="3"/>
        <v>1.0236719999999999</v>
      </c>
      <c r="I46" s="16">
        <f>F46/6*G46</f>
        <v>170.61199999999997</v>
      </c>
      <c r="J46" s="32"/>
      <c r="L46" s="25"/>
      <c r="M46" s="26"/>
      <c r="N46" s="27"/>
    </row>
    <row r="47" spans="1:14" ht="15.75" customHeight="1">
      <c r="A47" s="231" t="s">
        <v>240</v>
      </c>
      <c r="B47" s="232"/>
      <c r="C47" s="232"/>
      <c r="D47" s="232"/>
      <c r="E47" s="232"/>
      <c r="F47" s="232"/>
      <c r="G47" s="232"/>
      <c r="H47" s="232"/>
      <c r="I47" s="233"/>
      <c r="J47" s="32"/>
      <c r="L47" s="25"/>
      <c r="M47" s="26"/>
      <c r="N47" s="27"/>
    </row>
    <row r="48" spans="1:14" ht="15.75" customHeight="1">
      <c r="A48" s="46">
        <v>12</v>
      </c>
      <c r="B48" s="247" t="s">
        <v>214</v>
      </c>
      <c r="C48" s="248" t="s">
        <v>205</v>
      </c>
      <c r="D48" s="247" t="s">
        <v>55</v>
      </c>
      <c r="E48" s="249">
        <v>1603.6</v>
      </c>
      <c r="F48" s="250">
        <f>SUM(E48*2/1000)</f>
        <v>3.2071999999999998</v>
      </c>
      <c r="G48" s="16">
        <v>908.11</v>
      </c>
      <c r="H48" s="251">
        <f t="shared" ref="H48:H56" si="4">SUM(F48*G48/1000)</f>
        <v>2.9124903919999996</v>
      </c>
      <c r="I48" s="16">
        <f t="shared" ref="I48:I50" si="5">F48/2*G48</f>
        <v>1456.2451959999999</v>
      </c>
      <c r="J48" s="32"/>
      <c r="L48" s="25"/>
      <c r="M48" s="26"/>
      <c r="N48" s="27"/>
    </row>
    <row r="49" spans="1:22" ht="15.75" customHeight="1">
      <c r="A49" s="46">
        <v>13</v>
      </c>
      <c r="B49" s="247" t="s">
        <v>44</v>
      </c>
      <c r="C49" s="248" t="s">
        <v>205</v>
      </c>
      <c r="D49" s="247" t="s">
        <v>55</v>
      </c>
      <c r="E49" s="249">
        <v>65</v>
      </c>
      <c r="F49" s="250">
        <f>SUM(E49*2/1000)</f>
        <v>0.13</v>
      </c>
      <c r="G49" s="16">
        <v>619.46</v>
      </c>
      <c r="H49" s="251">
        <f t="shared" si="4"/>
        <v>8.0529800000000012E-2</v>
      </c>
      <c r="I49" s="16">
        <f t="shared" si="5"/>
        <v>40.264900000000004</v>
      </c>
      <c r="J49" s="32"/>
      <c r="L49" s="25"/>
      <c r="M49" s="26"/>
      <c r="N49" s="27"/>
    </row>
    <row r="50" spans="1:22" ht="15.75" customHeight="1">
      <c r="A50" s="46">
        <v>14</v>
      </c>
      <c r="B50" s="247" t="s">
        <v>45</v>
      </c>
      <c r="C50" s="248" t="s">
        <v>205</v>
      </c>
      <c r="D50" s="247" t="s">
        <v>55</v>
      </c>
      <c r="E50" s="249">
        <v>1825.8</v>
      </c>
      <c r="F50" s="250">
        <f>SUM(E50*2/1000)</f>
        <v>3.6515999999999997</v>
      </c>
      <c r="G50" s="16">
        <v>619.46</v>
      </c>
      <c r="H50" s="251">
        <f t="shared" si="4"/>
        <v>2.2620201360000003</v>
      </c>
      <c r="I50" s="16">
        <f t="shared" si="5"/>
        <v>1131.010068</v>
      </c>
      <c r="J50" s="32"/>
      <c r="L50" s="25"/>
      <c r="M50" s="26"/>
      <c r="N50" s="27"/>
    </row>
    <row r="51" spans="1:22" ht="15.75" customHeight="1">
      <c r="A51" s="46">
        <v>15</v>
      </c>
      <c r="B51" s="247" t="s">
        <v>46</v>
      </c>
      <c r="C51" s="248" t="s">
        <v>205</v>
      </c>
      <c r="D51" s="247" t="s">
        <v>55</v>
      </c>
      <c r="E51" s="249">
        <v>3163.96</v>
      </c>
      <c r="F51" s="250">
        <f>SUM(E51*2/1000)</f>
        <v>6.3279199999999998</v>
      </c>
      <c r="G51" s="16">
        <v>648.64</v>
      </c>
      <c r="H51" s="251">
        <f t="shared" si="4"/>
        <v>4.1045420287999992</v>
      </c>
      <c r="I51" s="16">
        <f>F51/2*G51</f>
        <v>2052.2710143999998</v>
      </c>
      <c r="J51" s="32"/>
      <c r="L51" s="25"/>
      <c r="M51" s="26"/>
      <c r="N51" s="27"/>
    </row>
    <row r="52" spans="1:22" ht="15.75" customHeight="1">
      <c r="A52" s="46">
        <v>16</v>
      </c>
      <c r="B52" s="247" t="s">
        <v>76</v>
      </c>
      <c r="C52" s="248" t="s">
        <v>205</v>
      </c>
      <c r="D52" s="247" t="s">
        <v>282</v>
      </c>
      <c r="E52" s="249">
        <v>1583</v>
      </c>
      <c r="F52" s="250">
        <f>SUM(E52*5/1000)</f>
        <v>7.915</v>
      </c>
      <c r="G52" s="16">
        <v>1297.28</v>
      </c>
      <c r="H52" s="251">
        <f t="shared" si="4"/>
        <v>10.2679712</v>
      </c>
      <c r="I52" s="16">
        <f>F52/5*G52</f>
        <v>2053.5942399999999</v>
      </c>
      <c r="J52" s="32"/>
      <c r="L52" s="25"/>
      <c r="M52" s="26"/>
      <c r="N52" s="27"/>
    </row>
    <row r="53" spans="1:22" ht="31.5" hidden="1" customHeight="1">
      <c r="A53" s="46"/>
      <c r="B53" s="247" t="s">
        <v>216</v>
      </c>
      <c r="C53" s="248" t="s">
        <v>205</v>
      </c>
      <c r="D53" s="247" t="s">
        <v>55</v>
      </c>
      <c r="E53" s="249">
        <v>1583</v>
      </c>
      <c r="F53" s="250">
        <f>SUM(E53*2/1000)</f>
        <v>3.1659999999999999</v>
      </c>
      <c r="G53" s="16">
        <v>1297.28</v>
      </c>
      <c r="H53" s="251">
        <f t="shared" si="4"/>
        <v>4.1071884799999996</v>
      </c>
      <c r="I53" s="16">
        <v>0</v>
      </c>
      <c r="J53" s="32"/>
      <c r="L53" s="25"/>
      <c r="M53" s="26"/>
      <c r="N53" s="27"/>
    </row>
    <row r="54" spans="1:22" ht="31.5" hidden="1" customHeight="1">
      <c r="A54" s="46"/>
      <c r="B54" s="247" t="s">
        <v>217</v>
      </c>
      <c r="C54" s="248" t="s">
        <v>49</v>
      </c>
      <c r="D54" s="247" t="s">
        <v>55</v>
      </c>
      <c r="E54" s="249">
        <v>25</v>
      </c>
      <c r="F54" s="250">
        <f>SUM(E54*2/100)</f>
        <v>0.5</v>
      </c>
      <c r="G54" s="16">
        <v>2918.89</v>
      </c>
      <c r="H54" s="251">
        <f t="shared" si="4"/>
        <v>1.4594449999999999</v>
      </c>
      <c r="I54" s="16">
        <v>0</v>
      </c>
      <c r="J54" s="32"/>
      <c r="L54" s="25"/>
      <c r="M54" s="26"/>
      <c r="N54" s="27"/>
    </row>
    <row r="55" spans="1:22" ht="15.75" hidden="1" customHeight="1">
      <c r="A55" s="46"/>
      <c r="B55" s="247" t="s">
        <v>50</v>
      </c>
      <c r="C55" s="248" t="s">
        <v>51</v>
      </c>
      <c r="D55" s="247" t="s">
        <v>55</v>
      </c>
      <c r="E55" s="249">
        <v>1</v>
      </c>
      <c r="F55" s="250">
        <v>0.02</v>
      </c>
      <c r="G55" s="16">
        <v>6042.12</v>
      </c>
      <c r="H55" s="251">
        <f t="shared" si="4"/>
        <v>0.1208424</v>
      </c>
      <c r="I55" s="16">
        <v>0</v>
      </c>
      <c r="J55" s="32"/>
      <c r="L55" s="25"/>
      <c r="M55" s="26"/>
      <c r="N55" s="27"/>
    </row>
    <row r="56" spans="1:22" ht="15.75" hidden="1" customHeight="1">
      <c r="A56" s="46">
        <v>15</v>
      </c>
      <c r="B56" s="247" t="s">
        <v>54</v>
      </c>
      <c r="C56" s="248" t="s">
        <v>37</v>
      </c>
      <c r="D56" s="247" t="s">
        <v>95</v>
      </c>
      <c r="E56" s="249">
        <v>36</v>
      </c>
      <c r="F56" s="250">
        <f>SUM(E56)*3</f>
        <v>108</v>
      </c>
      <c r="G56" s="16">
        <v>70.209999999999994</v>
      </c>
      <c r="H56" s="251">
        <f t="shared" si="4"/>
        <v>7.582679999999999</v>
      </c>
      <c r="I56" s="16">
        <f>E56*G56</f>
        <v>2527.56</v>
      </c>
      <c r="J56" s="32"/>
      <c r="L56" s="25"/>
      <c r="M56" s="26"/>
      <c r="N56" s="27"/>
    </row>
    <row r="57" spans="1:22" ht="15.75" customHeight="1">
      <c r="A57" s="231" t="s">
        <v>241</v>
      </c>
      <c r="B57" s="232"/>
      <c r="C57" s="232"/>
      <c r="D57" s="232"/>
      <c r="E57" s="232"/>
      <c r="F57" s="232"/>
      <c r="G57" s="232"/>
      <c r="H57" s="232"/>
      <c r="I57" s="233"/>
      <c r="J57" s="32"/>
      <c r="L57" s="25"/>
      <c r="M57" s="26"/>
      <c r="N57" s="27"/>
    </row>
    <row r="58" spans="1:22" ht="15.75" hidden="1" customHeight="1">
      <c r="A58" s="46"/>
      <c r="B58" s="268" t="s">
        <v>56</v>
      </c>
      <c r="C58" s="248"/>
      <c r="D58" s="247"/>
      <c r="E58" s="249"/>
      <c r="F58" s="250"/>
      <c r="G58" s="250"/>
      <c r="H58" s="251"/>
      <c r="I58" s="16"/>
      <c r="J58" s="32"/>
      <c r="L58" s="25"/>
      <c r="M58" s="26"/>
      <c r="N58" s="27"/>
    </row>
    <row r="59" spans="1:22" ht="31.5" hidden="1" customHeight="1">
      <c r="A59" s="46">
        <v>16</v>
      </c>
      <c r="B59" s="247" t="s">
        <v>231</v>
      </c>
      <c r="C59" s="248" t="s">
        <v>194</v>
      </c>
      <c r="D59" s="247" t="s">
        <v>96</v>
      </c>
      <c r="E59" s="256">
        <v>3.78</v>
      </c>
      <c r="F59" s="16">
        <f>E59*6/100</f>
        <v>0.2268</v>
      </c>
      <c r="G59" s="250">
        <v>1654.04</v>
      </c>
      <c r="H59" s="251">
        <f>SUM(F59*G59/1000)</f>
        <v>0.37513627199999999</v>
      </c>
      <c r="I59" s="16">
        <f>F59/6*G59</f>
        <v>62.522711999999999</v>
      </c>
      <c r="J59" s="32"/>
      <c r="L59" s="25"/>
      <c r="M59" s="26"/>
      <c r="N59" s="27"/>
    </row>
    <row r="60" spans="1:22" ht="31.5" hidden="1" customHeight="1">
      <c r="A60" s="46">
        <v>17</v>
      </c>
      <c r="B60" s="247" t="s">
        <v>219</v>
      </c>
      <c r="C60" s="248" t="s">
        <v>194</v>
      </c>
      <c r="D60" s="247" t="s">
        <v>96</v>
      </c>
      <c r="E60" s="249">
        <v>185.36</v>
      </c>
      <c r="F60" s="250">
        <f>E60*6/100</f>
        <v>11.121600000000001</v>
      </c>
      <c r="G60" s="257">
        <v>1654.04</v>
      </c>
      <c r="H60" s="251">
        <f>F60*G60/1000</f>
        <v>18.395571264000001</v>
      </c>
      <c r="I60" s="16">
        <f>F60/6*G60</f>
        <v>3065.9285440000003</v>
      </c>
      <c r="J60" s="32"/>
      <c r="L60" s="25"/>
    </row>
    <row r="61" spans="1:22" ht="15.75" hidden="1" customHeight="1">
      <c r="A61" s="46"/>
      <c r="B61" s="258" t="s">
        <v>168</v>
      </c>
      <c r="C61" s="248" t="s">
        <v>169</v>
      </c>
      <c r="D61" s="258" t="s">
        <v>55</v>
      </c>
      <c r="E61" s="259">
        <v>5</v>
      </c>
      <c r="F61" s="260">
        <v>10</v>
      </c>
      <c r="G61" s="257">
        <v>198.25</v>
      </c>
      <c r="H61" s="261">
        <v>0.99099999999999999</v>
      </c>
      <c r="I61" s="16">
        <v>0</v>
      </c>
      <c r="J61" s="32"/>
      <c r="L61" s="25"/>
    </row>
    <row r="62" spans="1:22" ht="15.75" customHeight="1">
      <c r="A62" s="46"/>
      <c r="B62" s="269" t="s">
        <v>57</v>
      </c>
      <c r="C62" s="262"/>
      <c r="D62" s="258"/>
      <c r="E62" s="259"/>
      <c r="F62" s="260"/>
      <c r="G62" s="263"/>
      <c r="H62" s="261"/>
      <c r="I62" s="16"/>
    </row>
    <row r="63" spans="1:22" ht="15.75" hidden="1" customHeight="1">
      <c r="A63" s="46"/>
      <c r="B63" s="258" t="s">
        <v>58</v>
      </c>
      <c r="C63" s="262" t="s">
        <v>68</v>
      </c>
      <c r="D63" s="258" t="s">
        <v>69</v>
      </c>
      <c r="E63" s="259">
        <v>1752</v>
      </c>
      <c r="F63" s="260">
        <f>E63/100</f>
        <v>17.52</v>
      </c>
      <c r="G63" s="250">
        <v>848.37</v>
      </c>
      <c r="H63" s="261">
        <f>G63*F63/1000</f>
        <v>14.8634424</v>
      </c>
      <c r="I63" s="16">
        <v>0</v>
      </c>
    </row>
    <row r="64" spans="1:22" ht="15.75" customHeight="1">
      <c r="A64" s="46">
        <v>17</v>
      </c>
      <c r="B64" s="258" t="s">
        <v>159</v>
      </c>
      <c r="C64" s="262" t="s">
        <v>29</v>
      </c>
      <c r="D64" s="258" t="s">
        <v>249</v>
      </c>
      <c r="E64" s="259">
        <v>352</v>
      </c>
      <c r="F64" s="260">
        <f>E64*12</f>
        <v>4224</v>
      </c>
      <c r="G64" s="250">
        <v>2.6</v>
      </c>
      <c r="H64" s="261">
        <f>G64*F64/1000</f>
        <v>10.9824</v>
      </c>
      <c r="I64" s="16">
        <f>F64/12*G64</f>
        <v>915.2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0"/>
    </row>
    <row r="65" spans="1:21" ht="15.75" customHeight="1">
      <c r="A65" s="46"/>
      <c r="B65" s="269" t="s">
        <v>59</v>
      </c>
      <c r="C65" s="262"/>
      <c r="D65" s="258"/>
      <c r="E65" s="259"/>
      <c r="F65" s="260"/>
      <c r="G65" s="270"/>
      <c r="H65" s="261" t="s">
        <v>225</v>
      </c>
      <c r="I65" s="16"/>
      <c r="J65" s="37"/>
      <c r="K65" s="37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46">
        <v>18</v>
      </c>
      <c r="B66" s="18" t="s">
        <v>60</v>
      </c>
      <c r="C66" s="20" t="s">
        <v>218</v>
      </c>
      <c r="D66" s="18" t="s">
        <v>90</v>
      </c>
      <c r="E66" s="23">
        <v>10</v>
      </c>
      <c r="F66" s="250">
        <v>10</v>
      </c>
      <c r="G66" s="16">
        <v>237.74</v>
      </c>
      <c r="H66" s="244">
        <f t="shared" ref="H66:H80" si="6">SUM(F66*G66/1000)</f>
        <v>2.3774000000000002</v>
      </c>
      <c r="I66" s="16">
        <f>G66*6</f>
        <v>1426.44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46"/>
      <c r="B67" s="18" t="s">
        <v>61</v>
      </c>
      <c r="C67" s="20" t="s">
        <v>218</v>
      </c>
      <c r="D67" s="18" t="s">
        <v>90</v>
      </c>
      <c r="E67" s="23">
        <v>5</v>
      </c>
      <c r="F67" s="250">
        <v>5</v>
      </c>
      <c r="G67" s="16">
        <v>81.510000000000005</v>
      </c>
      <c r="H67" s="244">
        <f t="shared" si="6"/>
        <v>0.40755000000000002</v>
      </c>
      <c r="I67" s="16">
        <v>0</v>
      </c>
      <c r="J67" s="5"/>
      <c r="K67" s="5"/>
      <c r="L67" s="5"/>
      <c r="M67" s="5"/>
      <c r="N67" s="5"/>
      <c r="O67" s="5"/>
      <c r="P67" s="5"/>
      <c r="Q67" s="5"/>
      <c r="R67" s="207"/>
      <c r="S67" s="207"/>
      <c r="T67" s="207"/>
      <c r="U67" s="207"/>
    </row>
    <row r="68" spans="1:21" ht="15.75" hidden="1" customHeight="1">
      <c r="A68" s="46"/>
      <c r="B68" s="18" t="s">
        <v>62</v>
      </c>
      <c r="C68" s="20" t="s">
        <v>220</v>
      </c>
      <c r="D68" s="18" t="s">
        <v>69</v>
      </c>
      <c r="E68" s="249">
        <v>23808</v>
      </c>
      <c r="F68" s="16">
        <f>SUM(E68/100)</f>
        <v>238.08</v>
      </c>
      <c r="G68" s="16">
        <v>226.79</v>
      </c>
      <c r="H68" s="244">
        <f t="shared" si="6"/>
        <v>53.994163200000003</v>
      </c>
      <c r="I68" s="16">
        <f>F68*G68</f>
        <v>53994.163200000003</v>
      </c>
    </row>
    <row r="69" spans="1:21" ht="15.75" hidden="1" customHeight="1">
      <c r="A69" s="46"/>
      <c r="B69" s="18" t="s">
        <v>63</v>
      </c>
      <c r="C69" s="20" t="s">
        <v>221</v>
      </c>
      <c r="D69" s="18"/>
      <c r="E69" s="249">
        <v>23808</v>
      </c>
      <c r="F69" s="16">
        <f>SUM(E69/1000)</f>
        <v>23.808</v>
      </c>
      <c r="G69" s="16">
        <v>176.61</v>
      </c>
      <c r="H69" s="244">
        <f t="shared" si="6"/>
        <v>4.2047308800000005</v>
      </c>
      <c r="I69" s="16">
        <f t="shared" ref="I69:I73" si="7">F69*G69</f>
        <v>4204.7308800000001</v>
      </c>
    </row>
    <row r="70" spans="1:21" ht="15.75" hidden="1" customHeight="1">
      <c r="A70" s="46"/>
      <c r="B70" s="18" t="s">
        <v>64</v>
      </c>
      <c r="C70" s="20" t="s">
        <v>101</v>
      </c>
      <c r="D70" s="18" t="s">
        <v>69</v>
      </c>
      <c r="E70" s="249">
        <v>3810</v>
      </c>
      <c r="F70" s="16">
        <f>SUM(E70/100)</f>
        <v>38.1</v>
      </c>
      <c r="G70" s="16">
        <v>2217.7800000000002</v>
      </c>
      <c r="H70" s="244">
        <f t="shared" si="6"/>
        <v>84.49741800000001</v>
      </c>
      <c r="I70" s="16">
        <f t="shared" si="7"/>
        <v>84497.418000000005</v>
      </c>
    </row>
    <row r="71" spans="1:21" ht="15.75" hidden="1" customHeight="1">
      <c r="A71" s="46"/>
      <c r="B71" s="264" t="s">
        <v>222</v>
      </c>
      <c r="C71" s="20" t="s">
        <v>40</v>
      </c>
      <c r="D71" s="18"/>
      <c r="E71" s="249">
        <v>23.4</v>
      </c>
      <c r="F71" s="16">
        <f>SUM(E71)</f>
        <v>23.4</v>
      </c>
      <c r="G71" s="16">
        <v>42.67</v>
      </c>
      <c r="H71" s="244">
        <f t="shared" si="6"/>
        <v>0.99847799999999998</v>
      </c>
      <c r="I71" s="16">
        <f t="shared" si="7"/>
        <v>998.47799999999995</v>
      </c>
    </row>
    <row r="72" spans="1:21" ht="15.75" hidden="1" customHeight="1">
      <c r="A72" s="46"/>
      <c r="B72" s="264" t="s">
        <v>232</v>
      </c>
      <c r="C72" s="20" t="s">
        <v>40</v>
      </c>
      <c r="D72" s="18"/>
      <c r="E72" s="249">
        <v>23.4</v>
      </c>
      <c r="F72" s="16">
        <f>SUM(E72)</f>
        <v>23.4</v>
      </c>
      <c r="G72" s="16">
        <v>39.81</v>
      </c>
      <c r="H72" s="244">
        <f t="shared" si="6"/>
        <v>0.93155399999999999</v>
      </c>
      <c r="I72" s="16">
        <f t="shared" si="7"/>
        <v>931.55399999999997</v>
      </c>
    </row>
    <row r="73" spans="1:21" ht="15.75" customHeight="1">
      <c r="A73" s="46">
        <v>19</v>
      </c>
      <c r="B73" s="18" t="s">
        <v>77</v>
      </c>
      <c r="C73" s="20" t="s">
        <v>78</v>
      </c>
      <c r="D73" s="18" t="s">
        <v>69</v>
      </c>
      <c r="E73" s="23">
        <v>5</v>
      </c>
      <c r="F73" s="250">
        <f>SUM(E73)</f>
        <v>5</v>
      </c>
      <c r="G73" s="16">
        <v>53.32</v>
      </c>
      <c r="H73" s="244">
        <f t="shared" si="6"/>
        <v>0.2666</v>
      </c>
      <c r="I73" s="16">
        <f t="shared" si="7"/>
        <v>266.60000000000002</v>
      </c>
    </row>
    <row r="74" spans="1:21" ht="15.75" customHeight="1">
      <c r="A74" s="46">
        <v>20</v>
      </c>
      <c r="B74" s="18" t="s">
        <v>233</v>
      </c>
      <c r="C74" s="20" t="s">
        <v>78</v>
      </c>
      <c r="D74" s="18" t="s">
        <v>36</v>
      </c>
      <c r="E74" s="23">
        <v>1</v>
      </c>
      <c r="F74" s="237">
        <v>12</v>
      </c>
      <c r="G74" s="16">
        <v>711</v>
      </c>
      <c r="H74" s="244">
        <v>8.5310000000000006</v>
      </c>
      <c r="I74" s="16">
        <f>F74/12*G74</f>
        <v>711</v>
      </c>
    </row>
    <row r="75" spans="1:21" ht="15.75" hidden="1" customHeight="1">
      <c r="A75" s="46"/>
      <c r="B75" s="198" t="s">
        <v>97</v>
      </c>
      <c r="C75" s="20"/>
      <c r="D75" s="18"/>
      <c r="E75" s="23"/>
      <c r="F75" s="16"/>
      <c r="G75" s="16"/>
      <c r="H75" s="244" t="s">
        <v>225</v>
      </c>
      <c r="I75" s="16"/>
    </row>
    <row r="76" spans="1:21" ht="15.75" hidden="1" customHeight="1">
      <c r="A76" s="46"/>
      <c r="B76" s="18" t="s">
        <v>98</v>
      </c>
      <c r="C76" s="20" t="s">
        <v>38</v>
      </c>
      <c r="D76" s="18" t="s">
        <v>90</v>
      </c>
      <c r="E76" s="23">
        <v>2</v>
      </c>
      <c r="F76" s="237">
        <v>0.2</v>
      </c>
      <c r="G76" s="16">
        <v>536.23</v>
      </c>
      <c r="H76" s="244">
        <v>0.107</v>
      </c>
      <c r="I76" s="16">
        <v>0</v>
      </c>
    </row>
    <row r="77" spans="1:21" ht="15.75" hidden="1" customHeight="1">
      <c r="A77" s="46"/>
      <c r="B77" s="18" t="s">
        <v>136</v>
      </c>
      <c r="C77" s="20" t="s">
        <v>37</v>
      </c>
      <c r="D77" s="18"/>
      <c r="E77" s="23">
        <v>1</v>
      </c>
      <c r="F77" s="250">
        <f>SUM(E77)</f>
        <v>1</v>
      </c>
      <c r="G77" s="16">
        <v>383.25</v>
      </c>
      <c r="H77" s="244">
        <f t="shared" si="6"/>
        <v>0.38324999999999998</v>
      </c>
      <c r="I77" s="16">
        <v>0</v>
      </c>
    </row>
    <row r="78" spans="1:21" ht="15.75" hidden="1" customHeight="1">
      <c r="A78" s="46"/>
      <c r="B78" s="18" t="s">
        <v>99</v>
      </c>
      <c r="C78" s="20" t="s">
        <v>37</v>
      </c>
      <c r="D78" s="18"/>
      <c r="E78" s="23">
        <v>1</v>
      </c>
      <c r="F78" s="16">
        <v>1</v>
      </c>
      <c r="G78" s="16">
        <v>911.85</v>
      </c>
      <c r="H78" s="244">
        <f>F78*G78/1000</f>
        <v>0.91185000000000005</v>
      </c>
      <c r="I78" s="16">
        <v>0</v>
      </c>
    </row>
    <row r="79" spans="1:21" ht="15.75" hidden="1" customHeight="1">
      <c r="A79" s="46"/>
      <c r="B79" s="265" t="s">
        <v>100</v>
      </c>
      <c r="C79" s="20"/>
      <c r="D79" s="18"/>
      <c r="E79" s="23"/>
      <c r="F79" s="16"/>
      <c r="G79" s="16" t="s">
        <v>225</v>
      </c>
      <c r="H79" s="244" t="s">
        <v>225</v>
      </c>
      <c r="I79" s="16"/>
    </row>
    <row r="80" spans="1:21" ht="15.75" hidden="1" customHeight="1">
      <c r="A80" s="46"/>
      <c r="B80" s="81" t="s">
        <v>226</v>
      </c>
      <c r="C80" s="20" t="s">
        <v>101</v>
      </c>
      <c r="D80" s="18"/>
      <c r="E80" s="23"/>
      <c r="F80" s="16">
        <v>0.6</v>
      </c>
      <c r="G80" s="16">
        <v>2949.85</v>
      </c>
      <c r="H80" s="244">
        <f t="shared" si="6"/>
        <v>1.7699099999999999</v>
      </c>
      <c r="I80" s="16">
        <v>0</v>
      </c>
      <c r="J80" s="5"/>
      <c r="K80" s="5"/>
      <c r="L80" s="5"/>
      <c r="M80" s="5"/>
      <c r="N80" s="5"/>
      <c r="O80" s="5"/>
      <c r="P80" s="5"/>
      <c r="Q80" s="5"/>
      <c r="R80" s="197"/>
      <c r="S80" s="197"/>
      <c r="T80" s="197"/>
      <c r="U80" s="197"/>
    </row>
    <row r="81" spans="1:21" ht="15.75" hidden="1" customHeight="1">
      <c r="A81" s="122"/>
      <c r="B81" s="198" t="s">
        <v>223</v>
      </c>
      <c r="C81" s="198"/>
      <c r="D81" s="198"/>
      <c r="E81" s="198"/>
      <c r="F81" s="198"/>
      <c r="G81" s="198"/>
      <c r="H81" s="198"/>
      <c r="I81" s="23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1:21" ht="15.75" hidden="1" customHeight="1">
      <c r="A82" s="46"/>
      <c r="B82" s="247" t="s">
        <v>224</v>
      </c>
      <c r="C82" s="20"/>
      <c r="D82" s="18"/>
      <c r="E82" s="238"/>
      <c r="F82" s="16">
        <v>1</v>
      </c>
      <c r="G82" s="16">
        <v>21062.799999999999</v>
      </c>
      <c r="H82" s="244">
        <f>G82*F82/1000</f>
        <v>21.062799999999999</v>
      </c>
      <c r="I82" s="16">
        <v>0</v>
      </c>
      <c r="J82" s="5"/>
      <c r="K82" s="5"/>
      <c r="L82" s="5"/>
      <c r="M82" s="5"/>
      <c r="N82" s="5"/>
      <c r="O82" s="5"/>
      <c r="P82" s="5"/>
      <c r="Q82" s="5"/>
      <c r="R82" s="197"/>
      <c r="S82" s="197"/>
      <c r="T82" s="197"/>
      <c r="U82" s="197"/>
    </row>
    <row r="83" spans="1:21" ht="15.75" customHeight="1">
      <c r="A83" s="234" t="s">
        <v>242</v>
      </c>
      <c r="B83" s="235"/>
      <c r="C83" s="235"/>
      <c r="D83" s="235"/>
      <c r="E83" s="235"/>
      <c r="F83" s="235"/>
      <c r="G83" s="235"/>
      <c r="H83" s="235"/>
      <c r="I83" s="236"/>
    </row>
    <row r="84" spans="1:21" ht="15.75" customHeight="1">
      <c r="A84" s="46">
        <v>21</v>
      </c>
      <c r="B84" s="247" t="s">
        <v>227</v>
      </c>
      <c r="C84" s="20" t="s">
        <v>73</v>
      </c>
      <c r="D84" s="266" t="s">
        <v>74</v>
      </c>
      <c r="E84" s="16">
        <v>5816.5</v>
      </c>
      <c r="F84" s="16">
        <f>SUM(E84*12)</f>
        <v>69798</v>
      </c>
      <c r="G84" s="16">
        <v>2.54</v>
      </c>
      <c r="H84" s="244">
        <f>SUM(F84*G84/1000)</f>
        <v>177.28692000000001</v>
      </c>
      <c r="I84" s="16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197"/>
      <c r="S84" s="197"/>
      <c r="T84" s="197"/>
      <c r="U84" s="197"/>
    </row>
    <row r="85" spans="1:21" ht="31.5" customHeight="1">
      <c r="A85" s="46">
        <v>22</v>
      </c>
      <c r="B85" s="18" t="s">
        <v>102</v>
      </c>
      <c r="C85" s="20"/>
      <c r="D85" s="266" t="s">
        <v>74</v>
      </c>
      <c r="E85" s="249">
        <f>E84</f>
        <v>5816.5</v>
      </c>
      <c r="F85" s="16">
        <f>E85*12</f>
        <v>69798</v>
      </c>
      <c r="G85" s="16">
        <v>2.0499999999999998</v>
      </c>
      <c r="H85" s="244">
        <f>F85*G85/1000</f>
        <v>143.08589999999998</v>
      </c>
      <c r="I85" s="16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197"/>
      <c r="S85" s="197"/>
      <c r="T85" s="197"/>
      <c r="U85" s="197"/>
    </row>
    <row r="86" spans="1:21" ht="15.75" customHeight="1">
      <c r="A86" s="122"/>
      <c r="B86" s="68" t="s">
        <v>108</v>
      </c>
      <c r="C86" s="70"/>
      <c r="D86" s="19"/>
      <c r="E86" s="19"/>
      <c r="F86" s="19"/>
      <c r="G86" s="23"/>
      <c r="H86" s="23"/>
      <c r="I86" s="53">
        <f>I16+I17+I18+I20+I21+I27+I28+I31+I32+I34+I35+I48+I49+I50+I51+I52+I64+I66+I73+I74+I84+I85</f>
        <v>94534.448052800013</v>
      </c>
    </row>
    <row r="87" spans="1:21" ht="15.75" customHeight="1">
      <c r="A87" s="122"/>
      <c r="B87" s="189" t="s">
        <v>80</v>
      </c>
      <c r="C87" s="189"/>
      <c r="D87" s="189"/>
      <c r="E87" s="189"/>
      <c r="F87" s="189"/>
      <c r="G87" s="189"/>
      <c r="H87" s="189"/>
      <c r="I87" s="189"/>
    </row>
    <row r="88" spans="1:21" ht="31.5" customHeight="1">
      <c r="A88" s="46">
        <v>23</v>
      </c>
      <c r="B88" s="138" t="s">
        <v>140</v>
      </c>
      <c r="C88" s="243" t="s">
        <v>149</v>
      </c>
      <c r="D88" s="81"/>
      <c r="E88" s="16"/>
      <c r="F88" s="16">
        <v>3</v>
      </c>
      <c r="G88" s="16">
        <v>559.62</v>
      </c>
      <c r="H88" s="244">
        <f t="shared" ref="H88" si="8">G88*F88/1000</f>
        <v>1.67886</v>
      </c>
      <c r="I88" s="16">
        <f>G88</f>
        <v>559.62</v>
      </c>
      <c r="J88" s="5"/>
      <c r="K88" s="5"/>
      <c r="L88" s="5"/>
      <c r="M88" s="5"/>
      <c r="N88" s="5"/>
      <c r="O88" s="5"/>
      <c r="P88" s="5"/>
      <c r="Q88" s="5"/>
      <c r="R88" s="197"/>
      <c r="S88" s="197"/>
      <c r="T88" s="197"/>
      <c r="U88" s="197"/>
    </row>
    <row r="89" spans="1:21" ht="15.75" customHeight="1">
      <c r="A89" s="46">
        <v>24</v>
      </c>
      <c r="B89" s="245" t="s">
        <v>145</v>
      </c>
      <c r="C89" s="246" t="s">
        <v>146</v>
      </c>
      <c r="D89" s="81"/>
      <c r="E89" s="16"/>
      <c r="F89" s="16">
        <f>50/3</f>
        <v>16.666666666666668</v>
      </c>
      <c r="G89" s="16">
        <v>1063.47</v>
      </c>
      <c r="H89" s="244">
        <f t="shared" ref="H89:H92" si="9">G89*F89/1000</f>
        <v>17.724499999999999</v>
      </c>
      <c r="I89" s="16">
        <f>G89*2</f>
        <v>2126.94</v>
      </c>
      <c r="J89" s="5"/>
      <c r="K89" s="5"/>
      <c r="L89" s="5"/>
      <c r="M89" s="5"/>
      <c r="N89" s="5"/>
      <c r="O89" s="5"/>
      <c r="P89" s="5"/>
      <c r="Q89" s="5"/>
      <c r="R89" s="197"/>
      <c r="S89" s="197"/>
      <c r="T89" s="197"/>
      <c r="U89" s="197"/>
    </row>
    <row r="90" spans="1:21" ht="31.5" customHeight="1">
      <c r="A90" s="46">
        <v>25</v>
      </c>
      <c r="B90" s="138" t="s">
        <v>271</v>
      </c>
      <c r="C90" s="243" t="s">
        <v>110</v>
      </c>
      <c r="D90" s="81"/>
      <c r="E90" s="16"/>
      <c r="F90" s="16">
        <v>6</v>
      </c>
      <c r="G90" s="16">
        <v>1187</v>
      </c>
      <c r="H90" s="244">
        <f t="shared" si="9"/>
        <v>7.1219999999999999</v>
      </c>
      <c r="I90" s="16">
        <f>G90*6</f>
        <v>7122</v>
      </c>
      <c r="J90" s="5"/>
      <c r="K90" s="5"/>
      <c r="L90" s="5"/>
      <c r="M90" s="5"/>
      <c r="N90" s="5"/>
      <c r="O90" s="5"/>
      <c r="P90" s="5"/>
      <c r="Q90" s="5"/>
      <c r="R90" s="197"/>
      <c r="S90" s="197"/>
      <c r="T90" s="197"/>
      <c r="U90" s="197"/>
    </row>
    <row r="91" spans="1:21" ht="31.5" customHeight="1">
      <c r="A91" s="46">
        <v>26</v>
      </c>
      <c r="B91" s="138" t="s">
        <v>272</v>
      </c>
      <c r="C91" s="243" t="s">
        <v>163</v>
      </c>
      <c r="D91" s="81"/>
      <c r="E91" s="16"/>
      <c r="F91" s="16">
        <f>70/10</f>
        <v>7</v>
      </c>
      <c r="G91" s="16">
        <v>2055.5300000000002</v>
      </c>
      <c r="H91" s="244">
        <f t="shared" si="9"/>
        <v>14.388710000000001</v>
      </c>
      <c r="I91" s="16">
        <f>G91*7</f>
        <v>14388.710000000001</v>
      </c>
      <c r="J91" s="5"/>
      <c r="K91" s="5"/>
      <c r="L91" s="5"/>
      <c r="M91" s="5"/>
      <c r="N91" s="5"/>
      <c r="O91" s="5"/>
      <c r="P91" s="5"/>
      <c r="Q91" s="5"/>
      <c r="R91" s="197"/>
      <c r="S91" s="197"/>
      <c r="T91" s="197"/>
      <c r="U91" s="197"/>
    </row>
    <row r="92" spans="1:21" ht="15.75" customHeight="1">
      <c r="A92" s="46">
        <v>27</v>
      </c>
      <c r="B92" s="138" t="s">
        <v>273</v>
      </c>
      <c r="C92" s="243" t="s">
        <v>274</v>
      </c>
      <c r="D92" s="81"/>
      <c r="E92" s="16"/>
      <c r="F92" s="16">
        <v>3</v>
      </c>
      <c r="G92" s="16">
        <v>1501</v>
      </c>
      <c r="H92" s="244">
        <f t="shared" si="9"/>
        <v>4.5030000000000001</v>
      </c>
      <c r="I92" s="16">
        <f>G92*3</f>
        <v>4503</v>
      </c>
      <c r="J92" s="5"/>
      <c r="K92" s="5"/>
      <c r="L92" s="5"/>
      <c r="M92" s="5"/>
      <c r="N92" s="5"/>
      <c r="O92" s="5"/>
      <c r="P92" s="5"/>
      <c r="Q92" s="5"/>
      <c r="R92" s="197"/>
      <c r="S92" s="197"/>
      <c r="T92" s="197"/>
      <c r="U92" s="197"/>
    </row>
    <row r="93" spans="1:21" ht="15.75" customHeight="1">
      <c r="A93" s="46"/>
      <c r="B93" s="75" t="s">
        <v>66</v>
      </c>
      <c r="C93" s="71"/>
      <c r="D93" s="124"/>
      <c r="E93" s="71">
        <v>1</v>
      </c>
      <c r="F93" s="71"/>
      <c r="G93" s="71"/>
      <c r="H93" s="71"/>
      <c r="I93" s="53">
        <f>SUM(I88:I92)</f>
        <v>28700.27</v>
      </c>
    </row>
    <row r="94" spans="1:21" ht="15.75" customHeight="1">
      <c r="A94" s="46"/>
      <c r="B94" s="81" t="s">
        <v>103</v>
      </c>
      <c r="C94" s="19"/>
      <c r="D94" s="19"/>
      <c r="E94" s="72"/>
      <c r="F94" s="72"/>
      <c r="G94" s="73"/>
      <c r="H94" s="73"/>
      <c r="I94" s="22">
        <v>0</v>
      </c>
    </row>
    <row r="95" spans="1:21" ht="15.75" customHeight="1">
      <c r="A95" s="125"/>
      <c r="B95" s="76" t="s">
        <v>67</v>
      </c>
      <c r="C95" s="59"/>
      <c r="D95" s="59"/>
      <c r="E95" s="59"/>
      <c r="F95" s="59"/>
      <c r="G95" s="59"/>
      <c r="H95" s="59"/>
      <c r="I95" s="74">
        <f>I86+I93</f>
        <v>123234.71805280002</v>
      </c>
    </row>
    <row r="96" spans="1:21" ht="15.75" customHeight="1">
      <c r="A96" s="223" t="s">
        <v>309</v>
      </c>
      <c r="B96" s="223"/>
      <c r="C96" s="223"/>
      <c r="D96" s="223"/>
      <c r="E96" s="223"/>
      <c r="F96" s="223"/>
      <c r="G96" s="223"/>
      <c r="H96" s="223"/>
      <c r="I96" s="223"/>
    </row>
    <row r="97" spans="1:9" ht="15.75" customHeight="1">
      <c r="A97" s="201"/>
      <c r="B97" s="224" t="s">
        <v>310</v>
      </c>
      <c r="C97" s="224"/>
      <c r="D97" s="224"/>
      <c r="E97" s="224"/>
      <c r="F97" s="224"/>
      <c r="G97" s="224"/>
      <c r="H97" s="241"/>
      <c r="I97" s="3"/>
    </row>
    <row r="98" spans="1:9" ht="15.75" customHeight="1">
      <c r="A98" s="197"/>
      <c r="B98" s="212" t="s">
        <v>7</v>
      </c>
      <c r="C98" s="212"/>
      <c r="D98" s="212"/>
      <c r="E98" s="212"/>
      <c r="F98" s="212"/>
      <c r="G98" s="212"/>
      <c r="H98" s="36"/>
      <c r="I98" s="5"/>
    </row>
    <row r="99" spans="1:9" ht="15.75" customHeight="1">
      <c r="A99" s="11"/>
      <c r="B99" s="11"/>
      <c r="C99" s="11"/>
      <c r="D99" s="11"/>
      <c r="E99" s="11"/>
      <c r="F99" s="11"/>
      <c r="G99" s="11"/>
      <c r="H99" s="11"/>
      <c r="I99" s="11"/>
    </row>
    <row r="100" spans="1:9" ht="15.75" customHeight="1">
      <c r="A100" s="225" t="s">
        <v>8</v>
      </c>
      <c r="B100" s="225"/>
      <c r="C100" s="225"/>
      <c r="D100" s="225"/>
      <c r="E100" s="225"/>
      <c r="F100" s="225"/>
      <c r="G100" s="225"/>
      <c r="H100" s="225"/>
      <c r="I100" s="225"/>
    </row>
    <row r="101" spans="1:9" ht="15.75" customHeight="1">
      <c r="A101" s="225" t="s">
        <v>9</v>
      </c>
      <c r="B101" s="225"/>
      <c r="C101" s="225"/>
      <c r="D101" s="225"/>
      <c r="E101" s="225"/>
      <c r="F101" s="225"/>
      <c r="G101" s="225"/>
      <c r="H101" s="225"/>
      <c r="I101" s="225"/>
    </row>
    <row r="102" spans="1:9" ht="15.75" customHeight="1">
      <c r="A102" s="221" t="s">
        <v>82</v>
      </c>
      <c r="B102" s="221"/>
      <c r="C102" s="221"/>
      <c r="D102" s="221"/>
      <c r="E102" s="221"/>
      <c r="F102" s="221"/>
      <c r="G102" s="221"/>
      <c r="H102" s="221"/>
      <c r="I102" s="221"/>
    </row>
    <row r="103" spans="1:9" ht="15.75" customHeight="1">
      <c r="A103" s="12"/>
    </row>
    <row r="104" spans="1:9" ht="15.75" customHeight="1">
      <c r="A104" s="222" t="s">
        <v>11</v>
      </c>
      <c r="B104" s="222"/>
      <c r="C104" s="222"/>
      <c r="D104" s="222"/>
      <c r="E104" s="222"/>
      <c r="F104" s="222"/>
      <c r="G104" s="222"/>
      <c r="H104" s="222"/>
      <c r="I104" s="222"/>
    </row>
    <row r="105" spans="1:9" ht="15.75" customHeight="1">
      <c r="A105" s="4"/>
    </row>
    <row r="106" spans="1:9" ht="15.75" customHeight="1">
      <c r="B106" s="200" t="s">
        <v>12</v>
      </c>
      <c r="C106" s="214" t="s">
        <v>142</v>
      </c>
      <c r="D106" s="214"/>
      <c r="E106" s="214"/>
      <c r="F106" s="239"/>
      <c r="I106" s="196"/>
    </row>
    <row r="107" spans="1:9" ht="15.75" customHeight="1">
      <c r="A107" s="197"/>
      <c r="C107" s="212" t="s">
        <v>13</v>
      </c>
      <c r="D107" s="212"/>
      <c r="E107" s="212"/>
      <c r="F107" s="36"/>
      <c r="I107" s="195" t="s">
        <v>14</v>
      </c>
    </row>
    <row r="108" spans="1:9" ht="15.75" customHeight="1">
      <c r="A108" s="37"/>
      <c r="C108" s="13"/>
      <c r="D108" s="13"/>
      <c r="G108" s="13"/>
      <c r="H108" s="13"/>
    </row>
    <row r="109" spans="1:9" ht="15.75" customHeight="1">
      <c r="B109" s="200" t="s">
        <v>15</v>
      </c>
      <c r="C109" s="213"/>
      <c r="D109" s="213"/>
      <c r="E109" s="213"/>
      <c r="F109" s="240"/>
      <c r="I109" s="196"/>
    </row>
    <row r="110" spans="1:9" ht="15.75" customHeight="1">
      <c r="A110" s="197"/>
      <c r="C110" s="207" t="s">
        <v>13</v>
      </c>
      <c r="D110" s="207"/>
      <c r="E110" s="207"/>
      <c r="F110" s="197"/>
      <c r="I110" s="195" t="s">
        <v>14</v>
      </c>
    </row>
    <row r="111" spans="1:9" ht="15.75" customHeight="1">
      <c r="A111" s="4" t="s">
        <v>16</v>
      </c>
    </row>
    <row r="112" spans="1:9" ht="15.75" customHeight="1">
      <c r="A112" s="220" t="s">
        <v>17</v>
      </c>
      <c r="B112" s="220"/>
      <c r="C112" s="220"/>
      <c r="D112" s="220"/>
      <c r="E112" s="220"/>
      <c r="F112" s="220"/>
      <c r="G112" s="220"/>
      <c r="H112" s="220"/>
      <c r="I112" s="220"/>
    </row>
    <row r="113" spans="1:9" ht="45" customHeight="1">
      <c r="A113" s="219" t="s">
        <v>18</v>
      </c>
      <c r="B113" s="219"/>
      <c r="C113" s="219"/>
      <c r="D113" s="219"/>
      <c r="E113" s="219"/>
      <c r="F113" s="219"/>
      <c r="G113" s="219"/>
      <c r="H113" s="219"/>
      <c r="I113" s="219"/>
    </row>
    <row r="114" spans="1:9" ht="30" customHeight="1">
      <c r="A114" s="219" t="s">
        <v>19</v>
      </c>
      <c r="B114" s="219"/>
      <c r="C114" s="219"/>
      <c r="D114" s="219"/>
      <c r="E114" s="219"/>
      <c r="F114" s="219"/>
      <c r="G114" s="219"/>
      <c r="H114" s="219"/>
      <c r="I114" s="219"/>
    </row>
    <row r="115" spans="1:9" ht="30" customHeight="1">
      <c r="A115" s="219" t="s">
        <v>24</v>
      </c>
      <c r="B115" s="219"/>
      <c r="C115" s="219"/>
      <c r="D115" s="219"/>
      <c r="E115" s="219"/>
      <c r="F115" s="219"/>
      <c r="G115" s="219"/>
      <c r="H115" s="219"/>
      <c r="I115" s="219"/>
    </row>
    <row r="116" spans="1:9" ht="15" customHeight="1">
      <c r="A116" s="219" t="s">
        <v>23</v>
      </c>
      <c r="B116" s="219"/>
      <c r="C116" s="219"/>
      <c r="D116" s="219"/>
      <c r="E116" s="219"/>
      <c r="F116" s="219"/>
      <c r="G116" s="219"/>
      <c r="H116" s="219"/>
      <c r="I116" s="219"/>
    </row>
  </sheetData>
  <autoFilter ref="I12:I62"/>
  <mergeCells count="28"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  <mergeCell ref="A96:I96"/>
    <mergeCell ref="B97:G97"/>
    <mergeCell ref="B98:G98"/>
    <mergeCell ref="A100:I100"/>
    <mergeCell ref="A101:I101"/>
    <mergeCell ref="A102:I102"/>
    <mergeCell ref="A15:I15"/>
    <mergeCell ref="A29:I29"/>
    <mergeCell ref="A47:I47"/>
    <mergeCell ref="A57:I57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13</vt:i4>
      </vt:variant>
    </vt:vector>
  </HeadingPairs>
  <TitlesOfParts>
    <vt:vector size="25" baseType="lpstr">
      <vt:lpstr>01.16</vt:lpstr>
      <vt:lpstr>02.16</vt:lpstr>
      <vt:lpstr>03.16</vt:lpstr>
      <vt:lpstr>04.16</vt:lpstr>
      <vt:lpstr>05.16</vt:lpstr>
      <vt:lpstr>06.16</vt:lpstr>
      <vt:lpstr>07.16</vt:lpstr>
      <vt:lpstr>08.16</vt:lpstr>
      <vt:lpstr>09.16</vt:lpstr>
      <vt:lpstr>10.16</vt:lpstr>
      <vt:lpstr>11.16</vt:lpstr>
      <vt:lpstr>12.16</vt:lpstr>
      <vt:lpstr>'11.16'!Заголовки_для_печати</vt:lpstr>
      <vt:lpstr>'01.16'!Область_печати</vt:lpstr>
      <vt:lpstr>'02.16'!Область_печати</vt:lpstr>
      <vt:lpstr>'03.16'!Область_печати</vt:lpstr>
      <vt:lpstr>'04.16'!Область_печати</vt:lpstr>
      <vt:lpstr>'05.16'!Область_печати</vt:lpstr>
      <vt:lpstr>'06.16'!Область_печати</vt:lpstr>
      <vt:lpstr>'07.16'!Область_печати</vt:lpstr>
      <vt:lpstr>'08.16'!Область_печати</vt:lpstr>
      <vt:lpstr>'09.16'!Область_печати</vt:lpstr>
      <vt:lpstr>'10.16'!Область_печати</vt:lpstr>
      <vt:lpstr>'11.16'!Область_печати</vt:lpstr>
      <vt:lpstr>'12.16'!Область_печати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2017-05-23T12:42:55Z</cp:lastPrinted>
  <dcterms:created xsi:type="dcterms:W3CDTF">2016-03-25T08:33:47Z</dcterms:created>
  <dcterms:modified xsi:type="dcterms:W3CDTF">2017-05-23T12:42:56Z</dcterms:modified>
</cp:coreProperties>
</file>