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'Шахт.,7'!$A$1:$U$115</definedName>
  </definedNames>
  <calcPr calcId="124519"/>
</workbook>
</file>

<file path=xl/calcChain.xml><?xml version="1.0" encoding="utf-8"?>
<calcChain xmlns="http://schemas.openxmlformats.org/spreadsheetml/2006/main">
  <c r="T99" i="1"/>
  <c r="T102"/>
  <c r="U102"/>
  <c r="H102"/>
  <c r="T86" l="1"/>
  <c r="U101"/>
  <c r="T101"/>
  <c r="H101"/>
  <c r="T90"/>
  <c r="T61"/>
  <c r="T88"/>
  <c r="S88"/>
  <c r="T89"/>
  <c r="T91"/>
  <c r="S61"/>
  <c r="S86"/>
  <c r="T38"/>
  <c r="S38"/>
  <c r="T33"/>
  <c r="S33"/>
  <c r="R100"/>
  <c r="U100" s="1"/>
  <c r="H100"/>
  <c r="R99"/>
  <c r="U99" s="1"/>
  <c r="U103" s="1"/>
  <c r="H99"/>
  <c r="H103" s="1"/>
  <c r="O98"/>
  <c r="U98" s="1"/>
  <c r="H98"/>
  <c r="O97"/>
  <c r="U97" s="1"/>
  <c r="H97"/>
  <c r="R96"/>
  <c r="U96" s="1"/>
  <c r="H96"/>
  <c r="R59"/>
  <c r="N91"/>
  <c r="R91"/>
  <c r="Q91"/>
  <c r="R95"/>
  <c r="N95"/>
  <c r="U95" s="1"/>
  <c r="H95"/>
  <c r="N87"/>
  <c r="R86"/>
  <c r="Q86"/>
  <c r="P86"/>
  <c r="O86"/>
  <c r="N86"/>
  <c r="R88"/>
  <c r="P51"/>
  <c r="O50"/>
  <c r="N20" l="1"/>
  <c r="M94"/>
  <c r="U94" s="1"/>
  <c r="H94"/>
  <c r="M86"/>
  <c r="L51"/>
  <c r="F27"/>
  <c r="R27" s="1"/>
  <c r="L93"/>
  <c r="U93" s="1"/>
  <c r="H93"/>
  <c r="L86"/>
  <c r="L38"/>
  <c r="L33"/>
  <c r="F75"/>
  <c r="N75" s="1"/>
  <c r="U75" s="1"/>
  <c r="H75"/>
  <c r="K92"/>
  <c r="U92" s="1"/>
  <c r="H92"/>
  <c r="K90"/>
  <c r="K88"/>
  <c r="K86"/>
  <c r="I86"/>
  <c r="U86" s="1"/>
  <c r="K38"/>
  <c r="K33"/>
  <c r="J91"/>
  <c r="U91" s="1"/>
  <c r="H91"/>
  <c r="J90"/>
  <c r="U90" s="1"/>
  <c r="H90"/>
  <c r="J89"/>
  <c r="U89" s="1"/>
  <c r="H89"/>
  <c r="J88"/>
  <c r="H88"/>
  <c r="J87"/>
  <c r="U87" s="1"/>
  <c r="H87"/>
  <c r="F57"/>
  <c r="M57" s="1"/>
  <c r="J51"/>
  <c r="J50"/>
  <c r="J38"/>
  <c r="J33"/>
  <c r="F11"/>
  <c r="R11" s="1"/>
  <c r="F51"/>
  <c r="U73"/>
  <c r="U71"/>
  <c r="U70"/>
  <c r="U62"/>
  <c r="U61"/>
  <c r="U59"/>
  <c r="U56"/>
  <c r="U51"/>
  <c r="U50"/>
  <c r="U29"/>
  <c r="I57"/>
  <c r="I33"/>
  <c r="U33" s="1"/>
  <c r="I38"/>
  <c r="U38" s="1"/>
  <c r="I11"/>
  <c r="U20"/>
  <c r="J11" l="1"/>
  <c r="U11" s="1"/>
  <c r="H57"/>
  <c r="U88"/>
  <c r="L11"/>
  <c r="M11"/>
  <c r="N11"/>
  <c r="P11"/>
  <c r="N27"/>
  <c r="O27"/>
  <c r="Q27"/>
  <c r="T11"/>
  <c r="S11"/>
  <c r="S57"/>
  <c r="Q57"/>
  <c r="O57"/>
  <c r="T57"/>
  <c r="R57"/>
  <c r="P57"/>
  <c r="N57"/>
  <c r="J57"/>
  <c r="U57" s="1"/>
  <c r="K11"/>
  <c r="K57"/>
  <c r="L57"/>
  <c r="O11"/>
  <c r="Q11"/>
  <c r="M27"/>
  <c r="P27"/>
  <c r="H86"/>
  <c r="F34"/>
  <c r="F19"/>
  <c r="N19" s="1"/>
  <c r="U19" s="1"/>
  <c r="F106"/>
  <c r="E78"/>
  <c r="H82" s="1"/>
  <c r="F76"/>
  <c r="H73"/>
  <c r="F71"/>
  <c r="H71" s="1"/>
  <c r="H70"/>
  <c r="F68"/>
  <c r="F67"/>
  <c r="F66"/>
  <c r="F65"/>
  <c r="F64"/>
  <c r="F63"/>
  <c r="H62"/>
  <c r="H61"/>
  <c r="F59"/>
  <c r="H59" s="1"/>
  <c r="F54"/>
  <c r="H51"/>
  <c r="H50"/>
  <c r="F49"/>
  <c r="F48"/>
  <c r="F47"/>
  <c r="F46"/>
  <c r="F45"/>
  <c r="F44"/>
  <c r="F43"/>
  <c r="F42"/>
  <c r="H39"/>
  <c r="H38"/>
  <c r="F37"/>
  <c r="F36"/>
  <c r="F35"/>
  <c r="H34"/>
  <c r="H33"/>
  <c r="F30"/>
  <c r="H29"/>
  <c r="F28"/>
  <c r="H27"/>
  <c r="F26"/>
  <c r="F25"/>
  <c r="F24"/>
  <c r="F21"/>
  <c r="F18"/>
  <c r="F17"/>
  <c r="F16"/>
  <c r="F15"/>
  <c r="F14"/>
  <c r="E13"/>
  <c r="F12"/>
  <c r="H11"/>
  <c r="H12" l="1"/>
  <c r="T12"/>
  <c r="S12"/>
  <c r="R12"/>
  <c r="P12"/>
  <c r="N12"/>
  <c r="M12"/>
  <c r="L12"/>
  <c r="J12"/>
  <c r="Q12"/>
  <c r="O12"/>
  <c r="K12"/>
  <c r="I12"/>
  <c r="U12" s="1"/>
  <c r="H16"/>
  <c r="T16"/>
  <c r="S16"/>
  <c r="R16"/>
  <c r="P16"/>
  <c r="N16"/>
  <c r="K16"/>
  <c r="I16"/>
  <c r="Q16"/>
  <c r="O16"/>
  <c r="M16"/>
  <c r="L16"/>
  <c r="J16"/>
  <c r="H24"/>
  <c r="R24"/>
  <c r="P24"/>
  <c r="N24"/>
  <c r="M24"/>
  <c r="Q24"/>
  <c r="O24"/>
  <c r="H28"/>
  <c r="T28"/>
  <c r="S28"/>
  <c r="Q28"/>
  <c r="O28"/>
  <c r="L28"/>
  <c r="J28"/>
  <c r="R28"/>
  <c r="P28"/>
  <c r="N28"/>
  <c r="M28"/>
  <c r="K28"/>
  <c r="I28"/>
  <c r="H15"/>
  <c r="T15"/>
  <c r="S15"/>
  <c r="Q15"/>
  <c r="O15"/>
  <c r="M15"/>
  <c r="L15"/>
  <c r="J15"/>
  <c r="R15"/>
  <c r="P15"/>
  <c r="N15"/>
  <c r="K15"/>
  <c r="I15"/>
  <c r="U15" s="1"/>
  <c r="H17"/>
  <c r="N17"/>
  <c r="U17" s="1"/>
  <c r="H21"/>
  <c r="N21"/>
  <c r="U21" s="1"/>
  <c r="H25"/>
  <c r="Q25"/>
  <c r="O25"/>
  <c r="R25"/>
  <c r="P25"/>
  <c r="N25"/>
  <c r="M25"/>
  <c r="H35"/>
  <c r="T35"/>
  <c r="S35"/>
  <c r="L35"/>
  <c r="J35"/>
  <c r="I35"/>
  <c r="K35"/>
  <c r="H37"/>
  <c r="T37"/>
  <c r="S37"/>
  <c r="L37"/>
  <c r="J37"/>
  <c r="K37"/>
  <c r="I37"/>
  <c r="H43"/>
  <c r="R43"/>
  <c r="L43"/>
  <c r="U43" s="1"/>
  <c r="H45"/>
  <c r="R45"/>
  <c r="L45"/>
  <c r="H47"/>
  <c r="Q47"/>
  <c r="T47"/>
  <c r="J47"/>
  <c r="M47"/>
  <c r="I47"/>
  <c r="H49"/>
  <c r="O49"/>
  <c r="J49"/>
  <c r="U49" s="1"/>
  <c r="H64"/>
  <c r="M64"/>
  <c r="U64" s="1"/>
  <c r="H66"/>
  <c r="M66"/>
  <c r="U66" s="1"/>
  <c r="H68"/>
  <c r="Q68"/>
  <c r="U68" s="1"/>
  <c r="H76"/>
  <c r="S76"/>
  <c r="R76"/>
  <c r="P76"/>
  <c r="N76"/>
  <c r="T76"/>
  <c r="Q76"/>
  <c r="O76"/>
  <c r="I76"/>
  <c r="M76"/>
  <c r="L76"/>
  <c r="K76"/>
  <c r="J76"/>
  <c r="T34"/>
  <c r="S34"/>
  <c r="K34"/>
  <c r="L34"/>
  <c r="J34"/>
  <c r="I34"/>
  <c r="U27"/>
  <c r="H14"/>
  <c r="M14"/>
  <c r="U14" s="1"/>
  <c r="H18"/>
  <c r="N18"/>
  <c r="U18" s="1"/>
  <c r="H26"/>
  <c r="M26"/>
  <c r="U26" s="1"/>
  <c r="H30"/>
  <c r="T30"/>
  <c r="S30"/>
  <c r="R30"/>
  <c r="P30"/>
  <c r="N30"/>
  <c r="M30"/>
  <c r="K30"/>
  <c r="Q30"/>
  <c r="O30"/>
  <c r="L30"/>
  <c r="J30"/>
  <c r="I30"/>
  <c r="H36"/>
  <c r="T36"/>
  <c r="S36"/>
  <c r="K36"/>
  <c r="L36"/>
  <c r="J36"/>
  <c r="I36"/>
  <c r="U36" s="1"/>
  <c r="H42"/>
  <c r="R42"/>
  <c r="L42"/>
  <c r="H44"/>
  <c r="H52" s="1"/>
  <c r="R44"/>
  <c r="L44"/>
  <c r="U44" s="1"/>
  <c r="H46"/>
  <c r="R46"/>
  <c r="L46"/>
  <c r="H48"/>
  <c r="O48"/>
  <c r="J48"/>
  <c r="U48" s="1"/>
  <c r="H54"/>
  <c r="S54"/>
  <c r="T54"/>
  <c r="I54"/>
  <c r="L54"/>
  <c r="K54"/>
  <c r="J54"/>
  <c r="H63"/>
  <c r="M63"/>
  <c r="U63" s="1"/>
  <c r="H65"/>
  <c r="M65"/>
  <c r="U65" s="1"/>
  <c r="H67"/>
  <c r="M67"/>
  <c r="U67" s="1"/>
  <c r="H105"/>
  <c r="C112"/>
  <c r="H31"/>
  <c r="F13"/>
  <c r="H77"/>
  <c r="F78"/>
  <c r="H19"/>
  <c r="H40"/>
  <c r="H74"/>
  <c r="S78" l="1"/>
  <c r="Q78"/>
  <c r="O78"/>
  <c r="T78"/>
  <c r="R78"/>
  <c r="P78"/>
  <c r="N78"/>
  <c r="M78"/>
  <c r="L78"/>
  <c r="K78"/>
  <c r="J78"/>
  <c r="I78"/>
  <c r="T13"/>
  <c r="T106" s="1"/>
  <c r="S13"/>
  <c r="S106" s="1"/>
  <c r="Q13"/>
  <c r="Q106" s="1"/>
  <c r="O13"/>
  <c r="O106" s="1"/>
  <c r="K13"/>
  <c r="K106" s="1"/>
  <c r="R13"/>
  <c r="P13"/>
  <c r="P106" s="1"/>
  <c r="N13"/>
  <c r="N106" s="1"/>
  <c r="M13"/>
  <c r="M106" s="1"/>
  <c r="L13"/>
  <c r="L106" s="1"/>
  <c r="J13"/>
  <c r="J106" s="1"/>
  <c r="I13"/>
  <c r="U46"/>
  <c r="U42"/>
  <c r="U30"/>
  <c r="U34"/>
  <c r="U76"/>
  <c r="U77" s="1"/>
  <c r="U47"/>
  <c r="U45"/>
  <c r="U37"/>
  <c r="U35"/>
  <c r="U25"/>
  <c r="U28"/>
  <c r="R106"/>
  <c r="U54"/>
  <c r="U74" s="1"/>
  <c r="U24"/>
  <c r="U16"/>
  <c r="H78"/>
  <c r="H79" s="1"/>
  <c r="H13"/>
  <c r="H22" s="1"/>
  <c r="U31" l="1"/>
  <c r="U40"/>
  <c r="U52"/>
  <c r="U13"/>
  <c r="U22" s="1"/>
  <c r="U78"/>
  <c r="U79" s="1"/>
  <c r="I106"/>
  <c r="H80"/>
  <c r="H83" s="1"/>
  <c r="G106" s="1"/>
  <c r="H106" s="1"/>
  <c r="U80" l="1"/>
  <c r="U106" s="1"/>
  <c r="C111" s="1"/>
  <c r="C115" l="1"/>
</calcChain>
</file>

<file path=xl/sharedStrings.xml><?xml version="1.0" encoding="utf-8"?>
<sst xmlns="http://schemas.openxmlformats.org/spreadsheetml/2006/main" count="311" uniqueCount="234">
  <si>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</si>
  <si>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</si>
  <si>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</si>
  <si>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</si>
  <si>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</si>
  <si>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</si>
  <si>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</si>
  <si>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</si>
  <si>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</si>
  <si>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</si>
  <si>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</si>
  <si>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</si>
  <si>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</si>
  <si>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</si>
  <si>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</si>
  <si>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</si>
  <si>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</si>
  <si>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</si>
  <si>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</si>
  <si>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</si>
  <si>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</si>
  <si>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</si>
  <si>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</si>
  <si>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</si>
  <si>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</si>
  <si>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</si>
  <si>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</si>
  <si>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</si>
  <si>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</si>
  <si>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</si>
  <si>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</si>
  <si>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</si>
  <si>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51-020</t>
  </si>
  <si>
    <t>Влажная протирка подоконников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</si>
  <si>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</si>
  <si>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</si>
  <si>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</si>
  <si>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</si>
  <si>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</si>
  <si>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</si>
  <si>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</si>
  <si>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</si>
  <si>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</si>
  <si>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</si>
  <si>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</si>
  <si>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</si>
  <si>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</si>
  <si>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</si>
  <si>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</si>
  <si>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</si>
  <si>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</si>
  <si>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</si>
  <si>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</si>
  <si>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</si>
  <si>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</si>
  <si>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</si>
  <si>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</si>
  <si>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</si>
  <si>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</si>
  <si>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</si>
  <si>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</si>
  <si>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</si>
  <si>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</si>
  <si>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</si>
  <si>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</si>
  <si>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</si>
  <si>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 xml:space="preserve">Сдвигание снега в дни снегопада 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</si>
  <si>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</si>
  <si>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</si>
  <si>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</si>
  <si>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</si>
  <si>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</si>
  <si>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</si>
  <si>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70 раз за сезон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</si>
  <si>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</si>
  <si>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</si>
  <si>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</si>
  <si>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</si>
  <si>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>Очистка отмостки от снега</t>
  </si>
  <si>
    <t xml:space="preserve"> II. Плановые осмотры</t>
  </si>
  <si>
    <t>ТЭР 42-002</t>
  </si>
  <si>
    <t>Осмотр шиферной  кровли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</si>
  <si>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</si>
  <si>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</si>
  <si>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</si>
  <si>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</si>
  <si>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</si>
  <si>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</si>
  <si>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</si>
  <si>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42-003</t>
  </si>
  <si>
    <t>Осмотр деревянных конструкций стропил</t>
  </si>
  <si>
    <t>100 м3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</si>
  <si>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</si>
  <si>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</si>
  <si>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</si>
  <si>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</si>
  <si>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</si>
  <si>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</si>
  <si>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</si>
  <si>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</si>
  <si>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</si>
  <si>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</si>
  <si>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</si>
  <si>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</si>
  <si>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</si>
  <si>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</si>
  <si>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</si>
  <si>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ТЭР 54-041 и 42</t>
  </si>
  <si>
    <t xml:space="preserve">6 раз за сезон </t>
  </si>
  <si>
    <t>Чердак, подвал, технический этаж</t>
  </si>
  <si>
    <t>ТЭР 51-034</t>
  </si>
  <si>
    <t>м2</t>
  </si>
  <si>
    <t>12 раз в год</t>
  </si>
  <si>
    <t>Лестничная клетка</t>
  </si>
  <si>
    <t>ТЭР 15-018</t>
  </si>
  <si>
    <t xml:space="preserve"> - установка пружин на входных дверях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</si>
  <si>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</si>
  <si>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</si>
  <si>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</si>
  <si>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</si>
  <si>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</si>
  <si>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</si>
  <si>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</si>
  <si>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</si>
  <si>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</si>
  <si>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</si>
  <si>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</si>
  <si>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</si>
  <si>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</si>
  <si>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</si>
  <si>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</si>
  <si>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</si>
  <si>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</si>
  <si>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</si>
  <si>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</si>
  <si>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</si>
  <si>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</si>
  <si>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</si>
  <si>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</si>
  <si>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</si>
  <si>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</si>
  <si>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</si>
  <si>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</si>
  <si>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</si>
  <si>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</si>
  <si>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</si>
  <si>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</si>
  <si>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</si>
  <si>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</si>
  <si>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</si>
  <si>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</si>
  <si>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</si>
  <si>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</si>
  <si>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</si>
  <si>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>2 раза в неделю 156 раз в год</t>
  </si>
  <si>
    <t xml:space="preserve">1 раз в год     </t>
  </si>
  <si>
    <t>1 раз в месяц</t>
  </si>
  <si>
    <t xml:space="preserve">1 раз в год    </t>
  </si>
  <si>
    <t>ТЭР 51-022</t>
  </si>
  <si>
    <t>Влажная протирка шкафов для щитов и слаботочных устройств</t>
  </si>
  <si>
    <t>1 раз в неделю 52 раза в сезон</t>
  </si>
  <si>
    <t>2 раза в неделю 78 раз за сезон</t>
  </si>
  <si>
    <t xml:space="preserve"> Очистка края кровли от слежавшегося снега со сбрасыванием сосулек (10% от S кровли) и козырьки </t>
  </si>
  <si>
    <t>Очистка от мусора</t>
  </si>
  <si>
    <t>Дератизация</t>
  </si>
  <si>
    <t>Вода для промывки СО</t>
  </si>
  <si>
    <t>Сброс воды после промывки СО в канализацию</t>
  </si>
  <si>
    <t>30 раз за сезон</t>
  </si>
  <si>
    <t>Генеральный директор ООО "Жилсервис"_______Ю.Л.Куканов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</si>
  <si>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</si>
  <si>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</si>
  <si>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</si>
  <si>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</si>
  <si>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</si>
  <si>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</si>
  <si>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</si>
  <si>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</si>
  <si>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</si>
  <si>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</si>
  <si>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</si>
  <si>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</si>
  <si>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Снятие показаний эл.счетчика коммунального назначения</t>
  </si>
  <si>
    <t>ТЭР 33-037</t>
  </si>
  <si>
    <t>Баланс выполненных работ на 01.01.2015 г.( -долг за предприятием, +долг за населением)</t>
  </si>
  <si>
    <t>3 раза в год</t>
  </si>
  <si>
    <t>С учетом показателя инфляции ( К=1,064)</t>
  </si>
  <si>
    <t>Ремонт групповых щитков на лестничной клетке без ремонта автоматов</t>
  </si>
  <si>
    <t>ТЭР 33-030</t>
  </si>
  <si>
    <t>калькуляция</t>
  </si>
  <si>
    <t>Работа автовышки</t>
  </si>
  <si>
    <t>маш/час</t>
  </si>
  <si>
    <t>смета</t>
  </si>
  <si>
    <t>1 м</t>
  </si>
  <si>
    <t>Смена арматуры - вентилей и клапанов обратных муфтовых диаметром до 20 мм</t>
  </si>
  <si>
    <t>1 шт</t>
  </si>
  <si>
    <t>ТЭР 32-027</t>
  </si>
  <si>
    <t>место</t>
  </si>
  <si>
    <t>Устройство хомута</t>
  </si>
  <si>
    <t>прим.ТЭР 32-098</t>
  </si>
  <si>
    <t>Внеплановый осмотр электросетей, арматуры и электрооборудования на лестничных клетках</t>
  </si>
  <si>
    <t>5 этажей, 3 подъезда</t>
  </si>
  <si>
    <t>Стоимость (руб.)</t>
  </si>
  <si>
    <t>договор</t>
  </si>
  <si>
    <t>ТО внутридомового газ.оборудования</t>
  </si>
  <si>
    <t>10 м</t>
  </si>
  <si>
    <t>Щебень</t>
  </si>
  <si>
    <t>Смена арматуры - задвижек диаметром 50 мм</t>
  </si>
  <si>
    <t>ТЭР 32-034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</si>
  <si>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Мира, 5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 2015 год</t>
    </r>
  </si>
  <si>
    <t>С учетом показателя инфляции     ( К=1,064)</t>
  </si>
  <si>
    <t>Подключение и отключение сварочного аппарата</t>
  </si>
  <si>
    <t>ТЭР 33-060</t>
  </si>
  <si>
    <t>Смена дверных приборов - шпингалеты</t>
  </si>
  <si>
    <t>ТЭР 15-014</t>
  </si>
  <si>
    <t>Ремонт отдельных мест покрытия из асбоцементных листов обыкновенного профиля</t>
  </si>
  <si>
    <t>10 м2</t>
  </si>
  <si>
    <t>ТЭР 17-006</t>
  </si>
  <si>
    <t>Смена негодных листов кровли до 5 шт.в одном месте из листовой кровельной стали - оцинкованной</t>
  </si>
  <si>
    <t>1 лист</t>
  </si>
  <si>
    <t>ТЭР 17-019</t>
  </si>
  <si>
    <t>Ремонт штукатурки внугренних стен по камню известковым раствором площадью до 1 м2 толщиной слоя до 20 мм</t>
  </si>
  <si>
    <t>ТЭР 21-001</t>
  </si>
  <si>
    <t>Ремонт кирпичной кладки (после ремонта ВДИС)</t>
  </si>
  <si>
    <t>Начислено за содержание и текущий ремонт за 2015  г.</t>
  </si>
  <si>
    <t>Выполнено работ по содержанию за   2015 г.</t>
  </si>
  <si>
    <t>Выполнено работ по текущему ремонту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</si>
  <si>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</si>
  <si>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</si>
  <si>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</si>
  <si>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Смена трубопроводов на металл-полимерные трубы д=20</t>
  </si>
  <si>
    <t>Смена арматуры - вентилей и клапанов обратных муфтовых диаметром до 32 мм</t>
  </si>
  <si>
    <t>ТЭР 32-028</t>
  </si>
  <si>
    <t xml:space="preserve">прим.ТЭР 31-010 </t>
  </si>
  <si>
    <t>Смена тройника (25*15*25)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</si>
</sst>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0"/>
      <name val="Cambria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4" borderId="3" xfId="0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3" fontId="2" fillId="8" borderId="8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4" fontId="2" fillId="8" borderId="8" xfId="0" applyNumberFormat="1" applyFont="1" applyFill="1" applyBorder="1" applyAlignment="1">
      <alignment vertical="center"/>
    </xf>
    <xf numFmtId="0" fontId="2" fillId="8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10" borderId="2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9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" fontId="2" fillId="4" borderId="12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4" fontId="2" fillId="7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10" borderId="8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4" fontId="2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horizontal="center" vertical="center"/>
    </xf>
    <xf numFmtId="4" fontId="16" fillId="4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16" fillId="2" borderId="9" xfId="0" applyNumberFormat="1" applyFont="1" applyFill="1" applyBorder="1" applyAlignment="1">
      <alignment horizontal="center" vertical="center"/>
    </xf>
    <xf numFmtId="4" fontId="4" fillId="2" borderId="1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" fontId="17" fillId="0" borderId="0" xfId="0" applyNumberFormat="1" applyFont="1"/>
    <xf numFmtId="0" fontId="17" fillId="0" borderId="0" xfId="0" applyFont="1"/>
    <xf numFmtId="0" fontId="9" fillId="0" borderId="3" xfId="0" applyFont="1" applyBorder="1" applyAlignment="1">
      <alignment horizontal="center" wrapText="1"/>
    </xf>
    <xf numFmtId="0" fontId="18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4" fontId="4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4" fontId="2" fillId="4" borderId="8" xfId="0" applyNumberFormat="1" applyFont="1" applyFill="1" applyBorder="1" applyAlignment="1">
      <alignment horizontal="center" vertical="center"/>
    </xf>
    <xf numFmtId="0" fontId="2" fillId="12" borderId="3" xfId="0" applyNumberFormat="1" applyFont="1" applyFill="1" applyBorder="1" applyAlignment="1" applyProtection="1">
      <alignment horizontal="center" vertical="center"/>
    </xf>
    <xf numFmtId="0" fontId="2" fillId="12" borderId="3" xfId="0" applyNumberFormat="1" applyFont="1" applyFill="1" applyBorder="1" applyAlignment="1" applyProtection="1">
      <alignment horizontal="left" vertical="center" wrapText="1"/>
    </xf>
    <xf numFmtId="0" fontId="2" fillId="12" borderId="3" xfId="0" applyNumberFormat="1" applyFont="1" applyFill="1" applyBorder="1" applyAlignment="1" applyProtection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4" fillId="10" borderId="3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8" borderId="3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4" fontId="0" fillId="8" borderId="3" xfId="0" applyNumberForma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vertical="center" wrapText="1"/>
    </xf>
    <xf numFmtId="0" fontId="8" fillId="12" borderId="0" xfId="0" applyNumberFormat="1" applyFont="1" applyFill="1" applyBorder="1" applyAlignment="1" applyProtection="1">
      <alignment horizontal="center" vertical="center" wrapText="1"/>
    </xf>
    <xf numFmtId="0" fontId="21" fillId="12" borderId="3" xfId="0" applyFont="1" applyFill="1" applyBorder="1" applyAlignment="1">
      <alignment horizontal="center" vertical="center" wrapText="1"/>
    </xf>
    <xf numFmtId="0" fontId="2" fillId="12" borderId="3" xfId="0" applyNumberFormat="1" applyFont="1" applyFill="1" applyBorder="1" applyAlignment="1" applyProtection="1">
      <alignment horizontal="left" vertical="center"/>
    </xf>
    <xf numFmtId="4" fontId="2" fillId="4" borderId="3" xfId="0" applyNumberFormat="1" applyFont="1" applyFill="1" applyBorder="1" applyAlignment="1">
      <alignment vertical="center"/>
    </xf>
    <xf numFmtId="4" fontId="2" fillId="4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19"/>
  <sheetViews>
    <sheetView tabSelected="1" view="pageBreakPreview" zoomScaleNormal="75" zoomScaleSheetLayoutView="100" workbookViewId="0">
      <pane ySplit="7" topLeftCell="A94" activePane="bottomLeft" state="frozen"/>
      <selection activeCell="B1" sqref="B1"/>
      <selection pane="bottomLeft" activeCell="T101" sqref="T101"/>
    </sheetView>
  </sheetViews>
  <sheetFormatPr defaultRowHeight="12.75"/>
  <cols>
    <col min="1" max="1" width="15" customWidth="1"/>
    <col min="2" max="2" width="42.7109375" customWidth="1"/>
    <col min="3" max="3" width="9.28515625" customWidth="1"/>
    <col min="4" max="4" width="21.42578125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42578125" customWidth="1"/>
    <col min="10" max="10" width="10.140625" customWidth="1"/>
    <col min="11" max="11" width="10.28515625" customWidth="1"/>
    <col min="12" max="12" width="10.140625" customWidth="1"/>
    <col min="13" max="13" width="9.85546875" customWidth="1"/>
    <col min="14" max="14" width="9.5703125" customWidth="1"/>
    <col min="15" max="15" width="10" customWidth="1"/>
    <col min="16" max="16" width="9.7109375" customWidth="1"/>
    <col min="17" max="17" width="10" customWidth="1"/>
    <col min="18" max="18" width="10.28515625" customWidth="1"/>
    <col min="19" max="20" width="10" customWidth="1"/>
    <col min="21" max="21" width="11.85546875" customWidth="1"/>
  </cols>
  <sheetData>
    <row r="1" spans="1:21" ht="14.25" customHeight="1"/>
    <row r="3" spans="1:21" ht="18">
      <c r="A3" s="1"/>
      <c r="B3" s="155" t="s">
        <v>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21" ht="36" customHeight="1">
      <c r="B4" s="156" t="s">
        <v>1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21" ht="18">
      <c r="B5" s="156" t="s">
        <v>208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0"/>
    </row>
    <row r="6" spans="1:21" ht="15">
      <c r="B6" s="157" t="s">
        <v>200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</row>
    <row r="7" spans="1:21" ht="54.75" customHeight="1">
      <c r="A7" s="30" t="s">
        <v>2</v>
      </c>
      <c r="B7" s="30" t="s">
        <v>3</v>
      </c>
      <c r="C7" s="30" t="s">
        <v>4</v>
      </c>
      <c r="D7" s="30" t="s">
        <v>5</v>
      </c>
      <c r="E7" s="30" t="s">
        <v>6</v>
      </c>
      <c r="F7" s="30" t="s">
        <v>7</v>
      </c>
      <c r="G7" s="30" t="s">
        <v>8</v>
      </c>
      <c r="H7" s="31" t="s">
        <v>9</v>
      </c>
      <c r="I7" s="29" t="s">
        <v>169</v>
      </c>
      <c r="J7" s="29" t="s">
        <v>170</v>
      </c>
      <c r="K7" s="29" t="s">
        <v>171</v>
      </c>
      <c r="L7" s="29" t="s">
        <v>172</v>
      </c>
      <c r="M7" s="29" t="s">
        <v>173</v>
      </c>
      <c r="N7" s="29" t="s">
        <v>174</v>
      </c>
      <c r="O7" s="29" t="s">
        <v>175</v>
      </c>
      <c r="P7" s="29" t="s">
        <v>176</v>
      </c>
      <c r="Q7" s="29" t="s">
        <v>177</v>
      </c>
      <c r="R7" s="29" t="s">
        <v>178</v>
      </c>
      <c r="S7" s="29" t="s">
        <v>179</v>
      </c>
      <c r="T7" s="29" t="s">
        <v>180</v>
      </c>
      <c r="U7" s="29" t="s">
        <v>201</v>
      </c>
    </row>
    <row r="8" spans="1:21">
      <c r="A8" s="32">
        <v>1</v>
      </c>
      <c r="B8" s="9">
        <v>2</v>
      </c>
      <c r="C8" s="32">
        <v>3</v>
      </c>
      <c r="D8" s="9">
        <v>4</v>
      </c>
      <c r="E8" s="9">
        <v>5</v>
      </c>
      <c r="F8" s="32">
        <v>6</v>
      </c>
      <c r="G8" s="32">
        <v>7</v>
      </c>
      <c r="H8" s="33">
        <v>8</v>
      </c>
      <c r="I8" s="34">
        <v>10</v>
      </c>
      <c r="J8" s="34">
        <v>11</v>
      </c>
      <c r="K8" s="34">
        <v>12</v>
      </c>
      <c r="L8" s="34">
        <v>13</v>
      </c>
      <c r="M8" s="35">
        <v>14</v>
      </c>
      <c r="N8" s="34">
        <v>15</v>
      </c>
      <c r="O8" s="34">
        <v>16</v>
      </c>
      <c r="P8" s="34">
        <v>17</v>
      </c>
      <c r="Q8" s="34">
        <v>18</v>
      </c>
      <c r="R8" s="34">
        <v>19</v>
      </c>
      <c r="S8" s="34">
        <v>20</v>
      </c>
      <c r="T8" s="34">
        <v>21</v>
      </c>
      <c r="U8" s="34">
        <v>22</v>
      </c>
    </row>
    <row r="9" spans="1:21" ht="38.25">
      <c r="A9" s="32"/>
      <c r="B9" s="11" t="s">
        <v>10</v>
      </c>
      <c r="C9" s="32"/>
      <c r="D9" s="12"/>
      <c r="E9" s="12"/>
      <c r="F9" s="32"/>
      <c r="G9" s="32"/>
      <c r="H9" s="36"/>
      <c r="I9" s="37"/>
      <c r="J9" s="37"/>
      <c r="K9" s="37"/>
      <c r="L9" s="37"/>
      <c r="M9" s="38"/>
      <c r="N9" s="39"/>
      <c r="O9" s="39"/>
      <c r="P9" s="39"/>
      <c r="Q9" s="39"/>
      <c r="R9" s="39"/>
      <c r="S9" s="39"/>
      <c r="T9" s="39"/>
      <c r="U9" s="39"/>
    </row>
    <row r="10" spans="1:21">
      <c r="A10" s="32"/>
      <c r="B10" s="11" t="s">
        <v>11</v>
      </c>
      <c r="C10" s="32"/>
      <c r="D10" s="12"/>
      <c r="E10" s="12"/>
      <c r="F10" s="32"/>
      <c r="G10" s="32"/>
      <c r="H10" s="36"/>
      <c r="I10" s="37"/>
      <c r="J10" s="37"/>
      <c r="K10" s="37"/>
      <c r="L10" s="37"/>
      <c r="M10" s="38"/>
      <c r="N10" s="39"/>
      <c r="O10" s="39"/>
      <c r="P10" s="39"/>
      <c r="Q10" s="39"/>
      <c r="R10" s="39"/>
      <c r="S10" s="39"/>
      <c r="T10" s="39"/>
      <c r="U10" s="39"/>
    </row>
    <row r="11" spans="1:21" ht="25.5">
      <c r="A11" s="32" t="s">
        <v>12</v>
      </c>
      <c r="B11" s="12" t="s">
        <v>13</v>
      </c>
      <c r="C11" s="32" t="s">
        <v>14</v>
      </c>
      <c r="D11" s="12" t="s">
        <v>154</v>
      </c>
      <c r="E11" s="40">
        <v>47.52</v>
      </c>
      <c r="F11" s="41">
        <f>SUM(E11*156/100)</f>
        <v>74.131200000000007</v>
      </c>
      <c r="G11" s="41">
        <v>175.38</v>
      </c>
      <c r="H11" s="42">
        <f t="shared" ref="H11:H21" si="0">SUM(F11*G11/1000)</f>
        <v>13.001129856000002</v>
      </c>
      <c r="I11" s="43">
        <f>F11/12*G11</f>
        <v>1083.427488</v>
      </c>
      <c r="J11" s="43">
        <f>F11/12*G11</f>
        <v>1083.427488</v>
      </c>
      <c r="K11" s="43">
        <f>F11/12*G11</f>
        <v>1083.427488</v>
      </c>
      <c r="L11" s="43">
        <f>F11/12*G11</f>
        <v>1083.427488</v>
      </c>
      <c r="M11" s="43">
        <f>F11/12*G11</f>
        <v>1083.427488</v>
      </c>
      <c r="N11" s="43">
        <f>F11/12*G11</f>
        <v>1083.427488</v>
      </c>
      <c r="O11" s="43">
        <f>F11/12*G11</f>
        <v>1083.427488</v>
      </c>
      <c r="P11" s="43">
        <f>F11/12*G11</f>
        <v>1083.427488</v>
      </c>
      <c r="Q11" s="43">
        <f>F11/12*G11</f>
        <v>1083.427488</v>
      </c>
      <c r="R11" s="43">
        <f>F11/12*G11</f>
        <v>1083.427488</v>
      </c>
      <c r="S11" s="43">
        <f>F11/12*G11</f>
        <v>1083.427488</v>
      </c>
      <c r="T11" s="43">
        <f>F11/12*G11</f>
        <v>1083.427488</v>
      </c>
      <c r="U11" s="43">
        <f t="shared" ref="U11:U21" si="1">SUM(I11:T11)</f>
        <v>13001.129855999998</v>
      </c>
    </row>
    <row r="12" spans="1:21" ht="25.5">
      <c r="A12" s="32" t="s">
        <v>12</v>
      </c>
      <c r="B12" s="12" t="s">
        <v>15</v>
      </c>
      <c r="C12" s="32" t="s">
        <v>14</v>
      </c>
      <c r="D12" s="12" t="s">
        <v>16</v>
      </c>
      <c r="E12" s="40">
        <v>190.08</v>
      </c>
      <c r="F12" s="41">
        <f>SUM(E12*104/100)</f>
        <v>197.6832</v>
      </c>
      <c r="G12" s="41">
        <v>175.38</v>
      </c>
      <c r="H12" s="42">
        <f t="shared" si="0"/>
        <v>34.669679616000003</v>
      </c>
      <c r="I12" s="43">
        <f>F12/12*G12</f>
        <v>2889.139968</v>
      </c>
      <c r="J12" s="43">
        <f>F12/12*G12</f>
        <v>2889.139968</v>
      </c>
      <c r="K12" s="43">
        <f>F12/12*G12</f>
        <v>2889.139968</v>
      </c>
      <c r="L12" s="43">
        <f>F12/12*G12</f>
        <v>2889.139968</v>
      </c>
      <c r="M12" s="43">
        <f>F12/12*G12</f>
        <v>2889.139968</v>
      </c>
      <c r="N12" s="43">
        <f>F12/12*G12</f>
        <v>2889.139968</v>
      </c>
      <c r="O12" s="43">
        <f>F12/12*G12</f>
        <v>2889.139968</v>
      </c>
      <c r="P12" s="43">
        <f>F12/12*G12</f>
        <v>2889.139968</v>
      </c>
      <c r="Q12" s="43">
        <f>F12/12*G12</f>
        <v>2889.139968</v>
      </c>
      <c r="R12" s="43">
        <f>F12/12*G12</f>
        <v>2889.139968</v>
      </c>
      <c r="S12" s="43">
        <f>F12/12*G12</f>
        <v>2889.139968</v>
      </c>
      <c r="T12" s="43">
        <f>F12/12*G12</f>
        <v>2889.139968</v>
      </c>
      <c r="U12" s="43">
        <f t="shared" si="1"/>
        <v>34669.679616000001</v>
      </c>
    </row>
    <row r="13" spans="1:21" ht="25.5">
      <c r="A13" s="32" t="s">
        <v>17</v>
      </c>
      <c r="B13" s="12" t="s">
        <v>18</v>
      </c>
      <c r="C13" s="32" t="s">
        <v>14</v>
      </c>
      <c r="D13" s="12" t="s">
        <v>19</v>
      </c>
      <c r="E13" s="40">
        <f>SUM(E11+E12)</f>
        <v>237.60000000000002</v>
      </c>
      <c r="F13" s="41">
        <f>SUM(E13*24/100)</f>
        <v>57.024000000000008</v>
      </c>
      <c r="G13" s="41">
        <v>504.5</v>
      </c>
      <c r="H13" s="42">
        <f t="shared" si="0"/>
        <v>28.768608000000004</v>
      </c>
      <c r="I13" s="43">
        <f>F13/12*G13</f>
        <v>2397.3840000000005</v>
      </c>
      <c r="J13" s="43">
        <f>F13/12*G13</f>
        <v>2397.3840000000005</v>
      </c>
      <c r="K13" s="43">
        <f>F13/12*G13</f>
        <v>2397.3840000000005</v>
      </c>
      <c r="L13" s="43">
        <f>F13/12*G13</f>
        <v>2397.3840000000005</v>
      </c>
      <c r="M13" s="43">
        <f>F13/12*G13</f>
        <v>2397.3840000000005</v>
      </c>
      <c r="N13" s="43">
        <f>F13/12*G13</f>
        <v>2397.3840000000005</v>
      </c>
      <c r="O13" s="43">
        <f>F13/12*G13</f>
        <v>2397.3840000000005</v>
      </c>
      <c r="P13" s="43">
        <f>F13/12*G13</f>
        <v>2397.3840000000005</v>
      </c>
      <c r="Q13" s="43">
        <f>F13/12*G13</f>
        <v>2397.3840000000005</v>
      </c>
      <c r="R13" s="43">
        <f>F13/12*G13</f>
        <v>2397.3840000000005</v>
      </c>
      <c r="S13" s="43">
        <f>F13/12*G13</f>
        <v>2397.3840000000005</v>
      </c>
      <c r="T13" s="43">
        <f>F13/12*G13</f>
        <v>2397.3840000000005</v>
      </c>
      <c r="U13" s="43">
        <f t="shared" si="1"/>
        <v>28768.608000000011</v>
      </c>
    </row>
    <row r="14" spans="1:21">
      <c r="A14" s="32" t="s">
        <v>20</v>
      </c>
      <c r="B14" s="12" t="s">
        <v>21</v>
      </c>
      <c r="C14" s="32" t="s">
        <v>22</v>
      </c>
      <c r="D14" s="12" t="s">
        <v>155</v>
      </c>
      <c r="E14" s="40">
        <v>18.48</v>
      </c>
      <c r="F14" s="41">
        <f>SUM(E14/10)</f>
        <v>1.8480000000000001</v>
      </c>
      <c r="G14" s="41">
        <v>170.16</v>
      </c>
      <c r="H14" s="42">
        <f t="shared" si="0"/>
        <v>0.31445568000000002</v>
      </c>
      <c r="I14" s="43">
        <v>0</v>
      </c>
      <c r="J14" s="43">
        <v>0</v>
      </c>
      <c r="K14" s="43">
        <v>0</v>
      </c>
      <c r="L14" s="43">
        <v>0</v>
      </c>
      <c r="M14" s="43">
        <f>F14*G14</f>
        <v>314.45568000000003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f t="shared" si="1"/>
        <v>314.45568000000003</v>
      </c>
    </row>
    <row r="15" spans="1:21">
      <c r="A15" s="32" t="s">
        <v>23</v>
      </c>
      <c r="B15" s="12" t="s">
        <v>24</v>
      </c>
      <c r="C15" s="32" t="s">
        <v>14</v>
      </c>
      <c r="D15" s="12" t="s">
        <v>156</v>
      </c>
      <c r="E15" s="40">
        <v>10.5</v>
      </c>
      <c r="F15" s="41">
        <f>SUM(E15*12/100)</f>
        <v>1.26</v>
      </c>
      <c r="G15" s="41">
        <v>217.88</v>
      </c>
      <c r="H15" s="42">
        <f t="shared" si="0"/>
        <v>0.27452880000000002</v>
      </c>
      <c r="I15" s="43">
        <f>F15/12*G15</f>
        <v>22.877399999999998</v>
      </c>
      <c r="J15" s="43">
        <f>F15/12*G15</f>
        <v>22.877399999999998</v>
      </c>
      <c r="K15" s="43">
        <f>F15/12*G15</f>
        <v>22.877399999999998</v>
      </c>
      <c r="L15" s="43">
        <f>F15/12*G15</f>
        <v>22.877399999999998</v>
      </c>
      <c r="M15" s="43">
        <f>F15/12*G15</f>
        <v>22.877399999999998</v>
      </c>
      <c r="N15" s="43">
        <f>F15/12*G15</f>
        <v>22.877399999999998</v>
      </c>
      <c r="O15" s="43">
        <f>F15/12*G15</f>
        <v>22.877399999999998</v>
      </c>
      <c r="P15" s="43">
        <f>F15/12*G15</f>
        <v>22.877399999999998</v>
      </c>
      <c r="Q15" s="43">
        <f>F15/12*G15</f>
        <v>22.877399999999998</v>
      </c>
      <c r="R15" s="43">
        <f>F15/12*G15</f>
        <v>22.877399999999998</v>
      </c>
      <c r="S15" s="43">
        <f>F15/12*G15</f>
        <v>22.877399999999998</v>
      </c>
      <c r="T15" s="43">
        <f>F15/12*G15</f>
        <v>22.877399999999998</v>
      </c>
      <c r="U15" s="43">
        <f t="shared" si="1"/>
        <v>274.52879999999999</v>
      </c>
    </row>
    <row r="16" spans="1:21">
      <c r="A16" s="32" t="s">
        <v>25</v>
      </c>
      <c r="B16" s="12" t="s">
        <v>26</v>
      </c>
      <c r="C16" s="32" t="s">
        <v>14</v>
      </c>
      <c r="D16" s="12" t="s">
        <v>156</v>
      </c>
      <c r="E16" s="40">
        <v>2.7</v>
      </c>
      <c r="F16" s="41">
        <f>SUM(E16*12/100)</f>
        <v>0.32400000000000007</v>
      </c>
      <c r="G16" s="41">
        <v>203.5</v>
      </c>
      <c r="H16" s="42">
        <f t="shared" si="0"/>
        <v>6.5934000000000006E-2</v>
      </c>
      <c r="I16" s="43">
        <f>F16/12*G16</f>
        <v>5.4945000000000013</v>
      </c>
      <c r="J16" s="43">
        <f>F16/12*G16</f>
        <v>5.4945000000000013</v>
      </c>
      <c r="K16" s="43">
        <f>F16/12*G16</f>
        <v>5.4945000000000013</v>
      </c>
      <c r="L16" s="43">
        <f>F16/12*G16</f>
        <v>5.4945000000000013</v>
      </c>
      <c r="M16" s="43">
        <f>F16/12*G16</f>
        <v>5.4945000000000013</v>
      </c>
      <c r="N16" s="43">
        <f>F16/12*G16</f>
        <v>5.4945000000000013</v>
      </c>
      <c r="O16" s="43">
        <f>F16/12*G16</f>
        <v>5.4945000000000013</v>
      </c>
      <c r="P16" s="43">
        <f>F16/12*G16</f>
        <v>5.4945000000000013</v>
      </c>
      <c r="Q16" s="43">
        <f>F16/12*G16</f>
        <v>5.4945000000000013</v>
      </c>
      <c r="R16" s="43">
        <f>F16/12*G16</f>
        <v>5.4945000000000013</v>
      </c>
      <c r="S16" s="43">
        <f>F16/12*G16</f>
        <v>5.4945000000000013</v>
      </c>
      <c r="T16" s="43">
        <f>F16/12*G16</f>
        <v>5.4945000000000013</v>
      </c>
      <c r="U16" s="43">
        <f t="shared" si="1"/>
        <v>65.934000000000012</v>
      </c>
    </row>
    <row r="17" spans="1:21">
      <c r="A17" s="32" t="s">
        <v>27</v>
      </c>
      <c r="B17" s="12" t="s">
        <v>28</v>
      </c>
      <c r="C17" s="32" t="s">
        <v>29</v>
      </c>
      <c r="D17" s="12" t="s">
        <v>155</v>
      </c>
      <c r="E17" s="40">
        <v>267.75</v>
      </c>
      <c r="F17" s="41">
        <f>SUM(E17/100)</f>
        <v>2.6775000000000002</v>
      </c>
      <c r="G17" s="41">
        <v>269.26</v>
      </c>
      <c r="H17" s="42">
        <f t="shared" si="0"/>
        <v>0.72094365000000005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f>F17*G17</f>
        <v>720.94365000000005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f t="shared" si="1"/>
        <v>720.94365000000005</v>
      </c>
    </row>
    <row r="18" spans="1:21">
      <c r="A18" s="32" t="s">
        <v>30</v>
      </c>
      <c r="B18" s="12" t="s">
        <v>31</v>
      </c>
      <c r="C18" s="32" t="s">
        <v>29</v>
      </c>
      <c r="D18" s="12" t="s">
        <v>155</v>
      </c>
      <c r="E18" s="45">
        <v>21.8</v>
      </c>
      <c r="F18" s="41">
        <f>SUM(E18/100)</f>
        <v>0.218</v>
      </c>
      <c r="G18" s="41">
        <v>44.29</v>
      </c>
      <c r="H18" s="42">
        <f t="shared" si="0"/>
        <v>9.6552199999999991E-3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f>F18*G18</f>
        <v>9.6552199999999999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f t="shared" si="1"/>
        <v>9.6552199999999999</v>
      </c>
    </row>
    <row r="19" spans="1:21">
      <c r="A19" s="32" t="s">
        <v>32</v>
      </c>
      <c r="B19" s="12" t="s">
        <v>33</v>
      </c>
      <c r="C19" s="32" t="s">
        <v>29</v>
      </c>
      <c r="D19" s="12" t="s">
        <v>157</v>
      </c>
      <c r="E19" s="40">
        <v>15</v>
      </c>
      <c r="F19" s="41">
        <f>E19/100</f>
        <v>0.15</v>
      </c>
      <c r="G19" s="41">
        <v>389.72</v>
      </c>
      <c r="H19" s="42">
        <f t="shared" si="0"/>
        <v>5.8457999999999996E-2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f>F19*G19</f>
        <v>58.457999999999998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f t="shared" si="1"/>
        <v>58.457999999999998</v>
      </c>
    </row>
    <row r="20" spans="1:21" ht="25.5">
      <c r="A20" s="32" t="s">
        <v>158</v>
      </c>
      <c r="B20" s="12" t="s">
        <v>159</v>
      </c>
      <c r="C20" s="32" t="s">
        <v>14</v>
      </c>
      <c r="D20" s="12" t="s">
        <v>46</v>
      </c>
      <c r="E20" s="40">
        <v>14.25</v>
      </c>
      <c r="F20" s="41">
        <v>0.1</v>
      </c>
      <c r="G20" s="41">
        <v>216.12</v>
      </c>
      <c r="H20" s="42">
        <v>3.1E-2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f>F20*G20</f>
        <v>21.612000000000002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f t="shared" si="1"/>
        <v>21.612000000000002</v>
      </c>
    </row>
    <row r="21" spans="1:21">
      <c r="A21" s="32" t="s">
        <v>34</v>
      </c>
      <c r="B21" s="12" t="s">
        <v>35</v>
      </c>
      <c r="C21" s="32" t="s">
        <v>29</v>
      </c>
      <c r="D21" s="12" t="s">
        <v>155</v>
      </c>
      <c r="E21" s="40">
        <v>6.38</v>
      </c>
      <c r="F21" s="41">
        <f>SUM(E21/100)</f>
        <v>6.3799999999999996E-2</v>
      </c>
      <c r="G21" s="41">
        <v>520.79999999999995</v>
      </c>
      <c r="H21" s="42">
        <f t="shared" si="0"/>
        <v>3.3227039999999992E-2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f>F21*G21</f>
        <v>33.227039999999995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f t="shared" si="1"/>
        <v>33.227039999999995</v>
      </c>
    </row>
    <row r="22" spans="1:21" s="21" customFormat="1">
      <c r="A22" s="46"/>
      <c r="B22" s="22" t="s">
        <v>36</v>
      </c>
      <c r="C22" s="47"/>
      <c r="D22" s="22"/>
      <c r="E22" s="48"/>
      <c r="F22" s="49"/>
      <c r="G22" s="49"/>
      <c r="H22" s="50">
        <f>SUM(H11:H21)</f>
        <v>77.947619861999996</v>
      </c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>
        <f>SUM(U11:U21)</f>
        <v>77938.231862000001</v>
      </c>
    </row>
    <row r="23" spans="1:21">
      <c r="A23" s="32"/>
      <c r="B23" s="14" t="s">
        <v>37</v>
      </c>
      <c r="C23" s="32"/>
      <c r="D23" s="12"/>
      <c r="E23" s="40"/>
      <c r="F23" s="41"/>
      <c r="G23" s="41"/>
      <c r="H23" s="42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t="27.75" customHeight="1">
      <c r="A24" s="32" t="s">
        <v>38</v>
      </c>
      <c r="B24" s="12" t="s">
        <v>39</v>
      </c>
      <c r="C24" s="32" t="s">
        <v>40</v>
      </c>
      <c r="D24" s="12" t="s">
        <v>160</v>
      </c>
      <c r="E24" s="41">
        <v>1167.4000000000001</v>
      </c>
      <c r="F24" s="41">
        <f>SUM(E24*52/1000)</f>
        <v>60.704800000000006</v>
      </c>
      <c r="G24" s="41">
        <v>155.88999999999999</v>
      </c>
      <c r="H24" s="42">
        <f t="shared" ref="H24:H30" si="2">SUM(F24*G24/1000)</f>
        <v>9.4632712720000001</v>
      </c>
      <c r="I24" s="43">
        <v>0</v>
      </c>
      <c r="J24" s="43">
        <v>0</v>
      </c>
      <c r="K24" s="43">
        <v>0</v>
      </c>
      <c r="L24" s="43">
        <v>0</v>
      </c>
      <c r="M24" s="43">
        <f>F24/6*G24</f>
        <v>1577.2118786666665</v>
      </c>
      <c r="N24" s="43">
        <f>F24/6*G24</f>
        <v>1577.2118786666665</v>
      </c>
      <c r="O24" s="43">
        <f>F24/6*G24</f>
        <v>1577.2118786666665</v>
      </c>
      <c r="P24" s="43">
        <f>F24/6*G24</f>
        <v>1577.2118786666665</v>
      </c>
      <c r="Q24" s="43">
        <f>F24/6*G24</f>
        <v>1577.2118786666665</v>
      </c>
      <c r="R24" s="43">
        <f>F24/6*G24</f>
        <v>1577.2118786666665</v>
      </c>
      <c r="S24" s="43">
        <v>0</v>
      </c>
      <c r="T24" s="43">
        <v>0</v>
      </c>
      <c r="U24" s="43">
        <f t="shared" ref="U24:U30" si="3">SUM(I24:T24)</f>
        <v>9463.271272</v>
      </c>
    </row>
    <row r="25" spans="1:21" ht="38.25" customHeight="1">
      <c r="A25" s="32" t="s">
        <v>41</v>
      </c>
      <c r="B25" s="12" t="s">
        <v>42</v>
      </c>
      <c r="C25" s="32" t="s">
        <v>43</v>
      </c>
      <c r="D25" s="12" t="s">
        <v>161</v>
      </c>
      <c r="E25" s="41">
        <v>540.04999999999995</v>
      </c>
      <c r="F25" s="41">
        <f>SUM(E25*78/1000)</f>
        <v>42.123899999999992</v>
      </c>
      <c r="G25" s="41">
        <v>258.63</v>
      </c>
      <c r="H25" s="42">
        <f t="shared" si="2"/>
        <v>10.894504256999998</v>
      </c>
      <c r="I25" s="43">
        <v>0</v>
      </c>
      <c r="J25" s="43">
        <v>0</v>
      </c>
      <c r="K25" s="43">
        <v>0</v>
      </c>
      <c r="L25" s="43">
        <v>0</v>
      </c>
      <c r="M25" s="43">
        <f>F25/6*G25</f>
        <v>1815.7507094999996</v>
      </c>
      <c r="N25" s="43">
        <f>F25/6*G25</f>
        <v>1815.7507094999996</v>
      </c>
      <c r="O25" s="43">
        <f>F25/6*G25</f>
        <v>1815.7507094999996</v>
      </c>
      <c r="P25" s="43">
        <f>F25/6*G25</f>
        <v>1815.7507094999996</v>
      </c>
      <c r="Q25" s="43">
        <f>F25/6*G25</f>
        <v>1815.7507094999996</v>
      </c>
      <c r="R25" s="43">
        <f>F25/6*G25</f>
        <v>1815.7507094999996</v>
      </c>
      <c r="S25" s="43">
        <v>0</v>
      </c>
      <c r="T25" s="43">
        <v>0</v>
      </c>
      <c r="U25" s="43">
        <f t="shared" si="3"/>
        <v>10894.504256999999</v>
      </c>
    </row>
    <row r="26" spans="1:21">
      <c r="A26" s="32" t="s">
        <v>44</v>
      </c>
      <c r="B26" s="12" t="s">
        <v>45</v>
      </c>
      <c r="C26" s="32" t="s">
        <v>43</v>
      </c>
      <c r="D26" s="12" t="s">
        <v>46</v>
      </c>
      <c r="E26" s="41">
        <v>1167.4000000000001</v>
      </c>
      <c r="F26" s="41">
        <f>SUM(E26/1000)</f>
        <v>1.1674</v>
      </c>
      <c r="G26" s="41">
        <v>3020.33</v>
      </c>
      <c r="H26" s="42">
        <f t="shared" si="2"/>
        <v>3.5259332420000002</v>
      </c>
      <c r="I26" s="43">
        <v>0</v>
      </c>
      <c r="J26" s="43">
        <v>0</v>
      </c>
      <c r="K26" s="43">
        <v>0</v>
      </c>
      <c r="L26" s="43">
        <v>0</v>
      </c>
      <c r="M26" s="43">
        <f>F26*G26</f>
        <v>3525.9332420000001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f t="shared" si="3"/>
        <v>3525.9332420000001</v>
      </c>
    </row>
    <row r="27" spans="1:21">
      <c r="A27" s="32" t="s">
        <v>47</v>
      </c>
      <c r="B27" s="12" t="s">
        <v>48</v>
      </c>
      <c r="C27" s="32" t="s">
        <v>49</v>
      </c>
      <c r="D27" s="12" t="s">
        <v>50</v>
      </c>
      <c r="E27" s="53">
        <v>0.33333333333333331</v>
      </c>
      <c r="F27" s="41">
        <f>155/3</f>
        <v>51.666666666666664</v>
      </c>
      <c r="G27" s="41">
        <v>56.69</v>
      </c>
      <c r="H27" s="42">
        <f>SUM(G27*155/3/1000)</f>
        <v>2.9289833333333331</v>
      </c>
      <c r="I27" s="43">
        <v>0</v>
      </c>
      <c r="J27" s="43">
        <v>0</v>
      </c>
      <c r="K27" s="43">
        <v>0</v>
      </c>
      <c r="L27" s="43">
        <v>0</v>
      </c>
      <c r="M27" s="43">
        <f>F27/6*G27</f>
        <v>488.16388888888883</v>
      </c>
      <c r="N27" s="43">
        <f>F27/6*G27</f>
        <v>488.16388888888883</v>
      </c>
      <c r="O27" s="43">
        <f>F27/6*G27</f>
        <v>488.16388888888883</v>
      </c>
      <c r="P27" s="43">
        <f>F27/6*G27</f>
        <v>488.16388888888883</v>
      </c>
      <c r="Q27" s="43">
        <f>F27/6*G27</f>
        <v>488.16388888888883</v>
      </c>
      <c r="R27" s="43">
        <f>F27/6*G27</f>
        <v>488.16388888888883</v>
      </c>
      <c r="S27" s="43">
        <v>0</v>
      </c>
      <c r="T27" s="43">
        <v>0</v>
      </c>
      <c r="U27" s="43">
        <f t="shared" si="3"/>
        <v>2928.9833333333331</v>
      </c>
    </row>
    <row r="28" spans="1:21" ht="12.75" customHeight="1">
      <c r="A28" s="32" t="s">
        <v>51</v>
      </c>
      <c r="B28" s="12" t="s">
        <v>52</v>
      </c>
      <c r="C28" s="32" t="s">
        <v>53</v>
      </c>
      <c r="D28" s="12" t="s">
        <v>54</v>
      </c>
      <c r="E28" s="54">
        <v>0.1</v>
      </c>
      <c r="F28" s="41">
        <f>SUM(E28*365)</f>
        <v>36.5</v>
      </c>
      <c r="G28" s="41">
        <v>147.03</v>
      </c>
      <c r="H28" s="42">
        <f t="shared" si="2"/>
        <v>5.3665950000000002</v>
      </c>
      <c r="I28" s="43">
        <f>F28/12*G28</f>
        <v>447.21625</v>
      </c>
      <c r="J28" s="43">
        <f>F28/12*G28</f>
        <v>447.21625</v>
      </c>
      <c r="K28" s="43">
        <f>F28/12*G28</f>
        <v>447.21625</v>
      </c>
      <c r="L28" s="43">
        <f>F28/12*G28</f>
        <v>447.21625</v>
      </c>
      <c r="M28" s="43">
        <f>F28/12*G28</f>
        <v>447.21625</v>
      </c>
      <c r="N28" s="43">
        <f>F28/12*G28</f>
        <v>447.21625</v>
      </c>
      <c r="O28" s="43">
        <f>F28/12*G28</f>
        <v>447.21625</v>
      </c>
      <c r="P28" s="43">
        <f>F28/12*G28</f>
        <v>447.21625</v>
      </c>
      <c r="Q28" s="43">
        <f>F28/12*G28</f>
        <v>447.21625</v>
      </c>
      <c r="R28" s="43">
        <f>F28/12*G28</f>
        <v>447.21625</v>
      </c>
      <c r="S28" s="43">
        <f>F28/12*G28</f>
        <v>447.21625</v>
      </c>
      <c r="T28" s="43">
        <f>F28/12*G28</f>
        <v>447.21625</v>
      </c>
      <c r="U28" s="43">
        <f t="shared" si="3"/>
        <v>5366.5950000000012</v>
      </c>
    </row>
    <row r="29" spans="1:21" ht="12.75" customHeight="1">
      <c r="A29" s="32" t="s">
        <v>56</v>
      </c>
      <c r="B29" s="12" t="s">
        <v>57</v>
      </c>
      <c r="C29" s="32" t="s">
        <v>53</v>
      </c>
      <c r="D29" s="12" t="s">
        <v>55</v>
      </c>
      <c r="E29" s="40"/>
      <c r="F29" s="41">
        <v>3</v>
      </c>
      <c r="G29" s="41">
        <v>191.32</v>
      </c>
      <c r="H29" s="42">
        <f t="shared" si="2"/>
        <v>0.57396000000000003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f t="shared" si="3"/>
        <v>0</v>
      </c>
    </row>
    <row r="30" spans="1:21">
      <c r="A30" s="32"/>
      <c r="B30" s="55" t="s">
        <v>60</v>
      </c>
      <c r="C30" s="32" t="s">
        <v>61</v>
      </c>
      <c r="D30" s="55" t="s">
        <v>62</v>
      </c>
      <c r="E30" s="40">
        <v>2581.1999999999998</v>
      </c>
      <c r="F30" s="41">
        <f>SUM(E30*12)</f>
        <v>30974.399999999998</v>
      </c>
      <c r="G30" s="41">
        <v>4.8099999999999996</v>
      </c>
      <c r="H30" s="42">
        <f t="shared" si="2"/>
        <v>148.98686399999997</v>
      </c>
      <c r="I30" s="43">
        <f>F30/12*G30</f>
        <v>12415.571999999998</v>
      </c>
      <c r="J30" s="43">
        <f>F30/12*G30</f>
        <v>12415.571999999998</v>
      </c>
      <c r="K30" s="43">
        <f>F30/12*G30</f>
        <v>12415.571999999998</v>
      </c>
      <c r="L30" s="43">
        <f>F30/12*G30</f>
        <v>12415.571999999998</v>
      </c>
      <c r="M30" s="43">
        <f>F30/12*G30</f>
        <v>12415.571999999998</v>
      </c>
      <c r="N30" s="43">
        <f>F30/12*G30</f>
        <v>12415.571999999998</v>
      </c>
      <c r="O30" s="43">
        <f>F30/12*G30</f>
        <v>12415.571999999998</v>
      </c>
      <c r="P30" s="43">
        <f>F30/12*G30</f>
        <v>12415.571999999998</v>
      </c>
      <c r="Q30" s="43">
        <f>F30/12*G30</f>
        <v>12415.571999999998</v>
      </c>
      <c r="R30" s="43">
        <f>F30/12*G30</f>
        <v>12415.571999999998</v>
      </c>
      <c r="S30" s="43">
        <f>F30/12*G30</f>
        <v>12415.571999999998</v>
      </c>
      <c r="T30" s="43">
        <f>F30/12*G30</f>
        <v>12415.571999999998</v>
      </c>
      <c r="U30" s="43">
        <f t="shared" si="3"/>
        <v>148986.86399999997</v>
      </c>
    </row>
    <row r="31" spans="1:21" s="21" customFormat="1">
      <c r="A31" s="46"/>
      <c r="B31" s="22" t="s">
        <v>36</v>
      </c>
      <c r="C31" s="47"/>
      <c r="D31" s="22"/>
      <c r="E31" s="48"/>
      <c r="F31" s="49"/>
      <c r="G31" s="49"/>
      <c r="H31" s="56">
        <f>SUM(H24:H30)</f>
        <v>181.74011110433329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>
        <f>SUM(U24:U30)</f>
        <v>181166.15110433332</v>
      </c>
    </row>
    <row r="32" spans="1:21">
      <c r="A32" s="32"/>
      <c r="B32" s="14" t="s">
        <v>63</v>
      </c>
      <c r="C32" s="32"/>
      <c r="D32" s="12"/>
      <c r="E32" s="40"/>
      <c r="F32" s="41"/>
      <c r="G32" s="41"/>
      <c r="H32" s="42" t="s">
        <v>62</v>
      </c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ht="25.5">
      <c r="A33" s="32" t="s">
        <v>58</v>
      </c>
      <c r="B33" s="15" t="s">
        <v>64</v>
      </c>
      <c r="C33" s="32" t="s">
        <v>59</v>
      </c>
      <c r="D33" s="12"/>
      <c r="E33" s="40"/>
      <c r="F33" s="41">
        <v>6</v>
      </c>
      <c r="G33" s="41">
        <v>1527.2</v>
      </c>
      <c r="H33" s="42">
        <f t="shared" ref="H33:H39" si="4">SUM(F33*G33/1000)</f>
        <v>9.1632000000000016</v>
      </c>
      <c r="I33" s="43">
        <f t="shared" ref="I33:I38" si="5">F33/6*G33</f>
        <v>1527.2</v>
      </c>
      <c r="J33" s="43">
        <f t="shared" ref="J33:J38" si="6">F33/6*G33</f>
        <v>1527.2</v>
      </c>
      <c r="K33" s="43">
        <f t="shared" ref="K33:K38" si="7">F33/6*G33</f>
        <v>1527.2</v>
      </c>
      <c r="L33" s="43">
        <f t="shared" ref="L33:L38" si="8">F33/6*G33</f>
        <v>1527.2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f t="shared" ref="S33:S38" si="9">F33/6*G33</f>
        <v>1527.2</v>
      </c>
      <c r="T33" s="43">
        <f t="shared" ref="T33:T38" si="10">F33/6*G33</f>
        <v>1527.2</v>
      </c>
      <c r="U33" s="43">
        <f t="shared" ref="U33:U38" si="11">SUM(I33:T33)</f>
        <v>9163.2000000000007</v>
      </c>
    </row>
    <row r="34" spans="1:21" s="2" customFormat="1">
      <c r="A34" s="57" t="s">
        <v>65</v>
      </c>
      <c r="B34" s="15" t="s">
        <v>66</v>
      </c>
      <c r="C34" s="57" t="s">
        <v>67</v>
      </c>
      <c r="D34" s="15" t="s">
        <v>167</v>
      </c>
      <c r="E34" s="58">
        <v>1080.0999999999999</v>
      </c>
      <c r="F34" s="58">
        <f>SUM(E34*30/1000)</f>
        <v>32.402999999999999</v>
      </c>
      <c r="G34" s="58">
        <v>2102.6999999999998</v>
      </c>
      <c r="H34" s="42">
        <f t="shared" si="4"/>
        <v>68.13378809999999</v>
      </c>
      <c r="I34" s="59">
        <f t="shared" si="5"/>
        <v>11355.63135</v>
      </c>
      <c r="J34" s="59">
        <f t="shared" si="6"/>
        <v>11355.63135</v>
      </c>
      <c r="K34" s="59">
        <f t="shared" si="7"/>
        <v>11355.63135</v>
      </c>
      <c r="L34" s="59">
        <f t="shared" si="8"/>
        <v>11355.63135</v>
      </c>
      <c r="M34" s="59">
        <v>0</v>
      </c>
      <c r="N34" s="59">
        <v>0</v>
      </c>
      <c r="O34" s="59">
        <v>0</v>
      </c>
      <c r="P34" s="59">
        <v>0</v>
      </c>
      <c r="Q34" s="59">
        <v>0</v>
      </c>
      <c r="R34" s="59">
        <v>0</v>
      </c>
      <c r="S34" s="59">
        <f t="shared" si="9"/>
        <v>11355.63135</v>
      </c>
      <c r="T34" s="59">
        <f t="shared" si="10"/>
        <v>11355.63135</v>
      </c>
      <c r="U34" s="43">
        <f t="shared" si="11"/>
        <v>68133.788099999991</v>
      </c>
    </row>
    <row r="35" spans="1:21" ht="24.75" customHeight="1">
      <c r="A35" s="32" t="s">
        <v>68</v>
      </c>
      <c r="B35" s="12" t="s">
        <v>69</v>
      </c>
      <c r="C35" s="32" t="s">
        <v>67</v>
      </c>
      <c r="D35" s="12" t="s">
        <v>70</v>
      </c>
      <c r="E35" s="41">
        <v>45</v>
      </c>
      <c r="F35" s="58">
        <f>SUM(E35*155/1000)</f>
        <v>6.9749999999999996</v>
      </c>
      <c r="G35" s="41">
        <v>350.75</v>
      </c>
      <c r="H35" s="42">
        <f t="shared" si="4"/>
        <v>2.4464812499999997</v>
      </c>
      <c r="I35" s="43">
        <f t="shared" si="5"/>
        <v>407.74687499999993</v>
      </c>
      <c r="J35" s="43">
        <f t="shared" si="6"/>
        <v>407.74687499999993</v>
      </c>
      <c r="K35" s="43">
        <f t="shared" si="7"/>
        <v>407.74687499999993</v>
      </c>
      <c r="L35" s="43">
        <f t="shared" si="8"/>
        <v>407.74687499999993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f t="shared" si="9"/>
        <v>407.74687499999993</v>
      </c>
      <c r="T35" s="43">
        <f t="shared" si="10"/>
        <v>407.74687499999993</v>
      </c>
      <c r="U35" s="43">
        <f t="shared" si="11"/>
        <v>2446.4812499999994</v>
      </c>
    </row>
    <row r="36" spans="1:21" ht="51" customHeight="1">
      <c r="A36" s="32" t="s">
        <v>71</v>
      </c>
      <c r="B36" s="12" t="s">
        <v>72</v>
      </c>
      <c r="C36" s="32" t="s">
        <v>43</v>
      </c>
      <c r="D36" s="12" t="s">
        <v>73</v>
      </c>
      <c r="E36" s="41">
        <v>45</v>
      </c>
      <c r="F36" s="58">
        <f>SUM(E36*70/1000)</f>
        <v>3.15</v>
      </c>
      <c r="G36" s="41">
        <v>5803.28</v>
      </c>
      <c r="H36" s="42">
        <f t="shared" si="4"/>
        <v>18.280331999999998</v>
      </c>
      <c r="I36" s="43">
        <f t="shared" si="5"/>
        <v>3046.7220000000002</v>
      </c>
      <c r="J36" s="43">
        <f t="shared" si="6"/>
        <v>3046.7220000000002</v>
      </c>
      <c r="K36" s="43">
        <f t="shared" si="7"/>
        <v>3046.7220000000002</v>
      </c>
      <c r="L36" s="43">
        <f t="shared" si="8"/>
        <v>3046.7220000000002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f t="shared" si="9"/>
        <v>3046.7220000000002</v>
      </c>
      <c r="T36" s="43">
        <f t="shared" si="10"/>
        <v>3046.7220000000002</v>
      </c>
      <c r="U36" s="43">
        <f t="shared" si="11"/>
        <v>18280.332000000002</v>
      </c>
    </row>
    <row r="37" spans="1:21" ht="12.75" customHeight="1">
      <c r="A37" s="32" t="s">
        <v>74</v>
      </c>
      <c r="B37" s="12" t="s">
        <v>75</v>
      </c>
      <c r="C37" s="32" t="s">
        <v>43</v>
      </c>
      <c r="D37" s="12" t="s">
        <v>76</v>
      </c>
      <c r="E37" s="41">
        <v>45</v>
      </c>
      <c r="F37" s="58">
        <f>SUM(E37*45/1000)</f>
        <v>2.0249999999999999</v>
      </c>
      <c r="G37" s="41">
        <v>428.7</v>
      </c>
      <c r="H37" s="42">
        <f t="shared" si="4"/>
        <v>0.86811749999999999</v>
      </c>
      <c r="I37" s="43">
        <f t="shared" si="5"/>
        <v>144.68624999999997</v>
      </c>
      <c r="J37" s="43">
        <f t="shared" si="6"/>
        <v>144.68624999999997</v>
      </c>
      <c r="K37" s="43">
        <f t="shared" si="7"/>
        <v>144.68624999999997</v>
      </c>
      <c r="L37" s="43">
        <f t="shared" si="8"/>
        <v>144.68624999999997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f t="shared" si="9"/>
        <v>144.68624999999997</v>
      </c>
      <c r="T37" s="43">
        <f t="shared" si="10"/>
        <v>144.68624999999997</v>
      </c>
      <c r="U37" s="43">
        <f t="shared" si="11"/>
        <v>868.11749999999984</v>
      </c>
    </row>
    <row r="38" spans="1:21" s="3" customFormat="1">
      <c r="A38" s="57"/>
      <c r="B38" s="15" t="s">
        <v>77</v>
      </c>
      <c r="C38" s="57" t="s">
        <v>53</v>
      </c>
      <c r="D38" s="15"/>
      <c r="E38" s="54"/>
      <c r="F38" s="58">
        <v>0.6</v>
      </c>
      <c r="G38" s="58">
        <v>798</v>
      </c>
      <c r="H38" s="42">
        <f t="shared" si="4"/>
        <v>0.47879999999999995</v>
      </c>
      <c r="I38" s="59">
        <f t="shared" si="5"/>
        <v>79.8</v>
      </c>
      <c r="J38" s="59">
        <f t="shared" si="6"/>
        <v>79.8</v>
      </c>
      <c r="K38" s="59">
        <f t="shared" si="7"/>
        <v>79.8</v>
      </c>
      <c r="L38" s="59">
        <f t="shared" si="8"/>
        <v>79.8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f t="shared" si="9"/>
        <v>79.8</v>
      </c>
      <c r="T38" s="59">
        <f t="shared" si="10"/>
        <v>79.8</v>
      </c>
      <c r="U38" s="43">
        <f t="shared" si="11"/>
        <v>478.8</v>
      </c>
    </row>
    <row r="39" spans="1:21" hidden="1">
      <c r="A39" s="32" t="s">
        <v>65</v>
      </c>
      <c r="B39" s="12" t="s">
        <v>78</v>
      </c>
      <c r="C39" s="32" t="s">
        <v>43</v>
      </c>
      <c r="D39" s="12"/>
      <c r="E39" s="40"/>
      <c r="F39" s="41"/>
      <c r="G39" s="41">
        <v>1481.29</v>
      </c>
      <c r="H39" s="42">
        <f t="shared" si="4"/>
        <v>0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1:21" s="21" customFormat="1">
      <c r="A40" s="46"/>
      <c r="B40" s="22" t="s">
        <v>36</v>
      </c>
      <c r="C40" s="47"/>
      <c r="D40" s="22"/>
      <c r="E40" s="48"/>
      <c r="F40" s="49" t="s">
        <v>62</v>
      </c>
      <c r="G40" s="49"/>
      <c r="H40" s="56">
        <f>SUM(H33:H39)</f>
        <v>99.370718850000003</v>
      </c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>
        <f>SUM(U33:U38)</f>
        <v>99370.71884999999</v>
      </c>
    </row>
    <row r="41" spans="1:21">
      <c r="A41" s="32"/>
      <c r="B41" s="16" t="s">
        <v>79</v>
      </c>
      <c r="C41" s="32"/>
      <c r="D41" s="12"/>
      <c r="E41" s="40"/>
      <c r="F41" s="41"/>
      <c r="G41" s="41"/>
      <c r="H41" s="42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>
      <c r="A42" s="32" t="s">
        <v>80</v>
      </c>
      <c r="B42" s="12" t="s">
        <v>81</v>
      </c>
      <c r="C42" s="32" t="s">
        <v>43</v>
      </c>
      <c r="D42" s="12" t="s">
        <v>82</v>
      </c>
      <c r="E42" s="40">
        <v>965.8</v>
      </c>
      <c r="F42" s="41">
        <f>SUM(E42*2/1000)</f>
        <v>1.9316</v>
      </c>
      <c r="G42" s="60">
        <v>849.49</v>
      </c>
      <c r="H42" s="42">
        <f t="shared" ref="H42:H51" si="12">SUM(F42*G42/1000)</f>
        <v>1.640874884</v>
      </c>
      <c r="I42" s="43">
        <v>0</v>
      </c>
      <c r="J42" s="43">
        <v>0</v>
      </c>
      <c r="K42" s="43">
        <v>0</v>
      </c>
      <c r="L42" s="43">
        <f>F42/2*G42</f>
        <v>820.43744200000003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f>F42/2*G42</f>
        <v>820.43744200000003</v>
      </c>
      <c r="S42" s="43">
        <v>0</v>
      </c>
      <c r="T42" s="43">
        <v>0</v>
      </c>
      <c r="U42" s="43">
        <f t="shared" ref="U42:U51" si="13">SUM(I42:T42)</f>
        <v>1640.8748840000001</v>
      </c>
    </row>
    <row r="43" spans="1:21">
      <c r="A43" s="32" t="s">
        <v>83</v>
      </c>
      <c r="B43" s="12" t="s">
        <v>84</v>
      </c>
      <c r="C43" s="32" t="s">
        <v>43</v>
      </c>
      <c r="D43" s="12" t="s">
        <v>82</v>
      </c>
      <c r="E43" s="40">
        <v>36</v>
      </c>
      <c r="F43" s="41">
        <f>SUM(E43*2/1000)</f>
        <v>7.1999999999999995E-2</v>
      </c>
      <c r="G43" s="60">
        <v>579.48</v>
      </c>
      <c r="H43" s="42">
        <f t="shared" si="12"/>
        <v>4.1722559999999999E-2</v>
      </c>
      <c r="I43" s="43">
        <v>0</v>
      </c>
      <c r="J43" s="43">
        <v>0</v>
      </c>
      <c r="K43" s="43">
        <v>0</v>
      </c>
      <c r="L43" s="43">
        <f>F43/2*G43</f>
        <v>20.861280000000001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f>F43/2*G43</f>
        <v>20.861280000000001</v>
      </c>
      <c r="S43" s="43">
        <v>0</v>
      </c>
      <c r="T43" s="43">
        <v>0</v>
      </c>
      <c r="U43" s="43">
        <f t="shared" si="13"/>
        <v>41.722560000000001</v>
      </c>
    </row>
    <row r="44" spans="1:21" ht="25.5">
      <c r="A44" s="32" t="s">
        <v>85</v>
      </c>
      <c r="B44" s="12" t="s">
        <v>86</v>
      </c>
      <c r="C44" s="32" t="s">
        <v>43</v>
      </c>
      <c r="D44" s="12" t="s">
        <v>82</v>
      </c>
      <c r="E44" s="40">
        <v>1197.7</v>
      </c>
      <c r="F44" s="41">
        <f>SUM(E44*2/1000)</f>
        <v>2.3954</v>
      </c>
      <c r="G44" s="60">
        <v>579.48</v>
      </c>
      <c r="H44" s="42">
        <f t="shared" si="12"/>
        <v>1.3880863919999999</v>
      </c>
      <c r="I44" s="43">
        <v>0</v>
      </c>
      <c r="J44" s="43">
        <v>0</v>
      </c>
      <c r="K44" s="43">
        <v>0</v>
      </c>
      <c r="L44" s="43">
        <f>F44/2*G44</f>
        <v>694.04319599999997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f>F44/2*G44</f>
        <v>694.04319599999997</v>
      </c>
      <c r="S44" s="43">
        <v>0</v>
      </c>
      <c r="T44" s="43">
        <v>0</v>
      </c>
      <c r="U44" s="43">
        <f t="shared" si="13"/>
        <v>1388.0863919999999</v>
      </c>
    </row>
    <row r="45" spans="1:21">
      <c r="A45" s="32" t="s">
        <v>87</v>
      </c>
      <c r="B45" s="12" t="s">
        <v>88</v>
      </c>
      <c r="C45" s="32" t="s">
        <v>43</v>
      </c>
      <c r="D45" s="12" t="s">
        <v>82</v>
      </c>
      <c r="E45" s="40">
        <v>2275.92</v>
      </c>
      <c r="F45" s="41">
        <f>SUM(E45*2/1000)</f>
        <v>4.5518400000000003</v>
      </c>
      <c r="G45" s="60">
        <v>606.77</v>
      </c>
      <c r="H45" s="42">
        <f t="shared" si="12"/>
        <v>2.7619199567999999</v>
      </c>
      <c r="I45" s="43">
        <v>0</v>
      </c>
      <c r="J45" s="43">
        <v>0</v>
      </c>
      <c r="K45" s="43">
        <v>0</v>
      </c>
      <c r="L45" s="43">
        <f>F45/2*G45</f>
        <v>1380.9599784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f>F45/2*G45</f>
        <v>1380.9599784</v>
      </c>
      <c r="S45" s="43">
        <v>0</v>
      </c>
      <c r="T45" s="43">
        <v>0</v>
      </c>
      <c r="U45" s="43">
        <f t="shared" si="13"/>
        <v>2761.9199567999999</v>
      </c>
    </row>
    <row r="46" spans="1:21">
      <c r="A46" s="32" t="s">
        <v>89</v>
      </c>
      <c r="B46" s="12" t="s">
        <v>90</v>
      </c>
      <c r="C46" s="32" t="s">
        <v>91</v>
      </c>
      <c r="D46" s="12" t="s">
        <v>82</v>
      </c>
      <c r="E46" s="40">
        <v>81.709999999999994</v>
      </c>
      <c r="F46" s="41">
        <f>SUM(E46*2/100)</f>
        <v>1.6341999999999999</v>
      </c>
      <c r="G46" s="60">
        <v>68.56</v>
      </c>
      <c r="H46" s="42">
        <f t="shared" si="12"/>
        <v>0.11204075199999999</v>
      </c>
      <c r="I46" s="43">
        <v>0</v>
      </c>
      <c r="J46" s="43">
        <v>0</v>
      </c>
      <c r="K46" s="43">
        <v>0</v>
      </c>
      <c r="L46" s="43">
        <f>F46/2*G46</f>
        <v>56.020375999999999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f>F46/2*G46</f>
        <v>56.020375999999999</v>
      </c>
      <c r="S46" s="43">
        <v>0</v>
      </c>
      <c r="T46" s="43">
        <v>0</v>
      </c>
      <c r="U46" s="43">
        <f t="shared" si="13"/>
        <v>112.040752</v>
      </c>
    </row>
    <row r="47" spans="1:21" ht="25.5">
      <c r="A47" s="32" t="s">
        <v>92</v>
      </c>
      <c r="B47" s="12" t="s">
        <v>93</v>
      </c>
      <c r="C47" s="32" t="s">
        <v>43</v>
      </c>
      <c r="D47" s="12" t="s">
        <v>94</v>
      </c>
      <c r="E47" s="40">
        <v>1711.8</v>
      </c>
      <c r="F47" s="41">
        <f>SUM(E47*5/1000)</f>
        <v>8.5589999999999993</v>
      </c>
      <c r="G47" s="60">
        <v>1213.55</v>
      </c>
      <c r="H47" s="42">
        <f t="shared" si="12"/>
        <v>10.386774449999999</v>
      </c>
      <c r="I47" s="43">
        <f>F47/5*G47</f>
        <v>2077.3548899999996</v>
      </c>
      <c r="J47" s="43">
        <f>F47/5*G47</f>
        <v>2077.3548899999996</v>
      </c>
      <c r="K47" s="43">
        <v>0</v>
      </c>
      <c r="L47" s="43">
        <v>0</v>
      </c>
      <c r="M47" s="43">
        <f>F47/5*G47</f>
        <v>2077.3548899999996</v>
      </c>
      <c r="N47" s="43">
        <v>0</v>
      </c>
      <c r="O47" s="43">
        <v>0</v>
      </c>
      <c r="P47" s="43">
        <v>0</v>
      </c>
      <c r="Q47" s="43">
        <f>F47/5*G47</f>
        <v>2077.3548899999996</v>
      </c>
      <c r="R47" s="43">
        <v>0</v>
      </c>
      <c r="S47" s="43">
        <v>0</v>
      </c>
      <c r="T47" s="43">
        <f>F47/5*G47</f>
        <v>2077.3548899999996</v>
      </c>
      <c r="U47" s="43">
        <f t="shared" si="13"/>
        <v>10386.774449999997</v>
      </c>
    </row>
    <row r="48" spans="1:21" ht="39.6" customHeight="1">
      <c r="A48" s="32" t="s">
        <v>95</v>
      </c>
      <c r="B48" s="12" t="s">
        <v>96</v>
      </c>
      <c r="C48" s="32" t="s">
        <v>43</v>
      </c>
      <c r="D48" s="12" t="s">
        <v>82</v>
      </c>
      <c r="E48" s="40">
        <v>1711.8</v>
      </c>
      <c r="F48" s="41">
        <f>SUM(E48*2/1000)</f>
        <v>3.4236</v>
      </c>
      <c r="G48" s="60">
        <v>1213.55</v>
      </c>
      <c r="H48" s="42">
        <f t="shared" si="12"/>
        <v>4.1547097800000001</v>
      </c>
      <c r="I48" s="43">
        <v>0</v>
      </c>
      <c r="J48" s="43">
        <f>F48/2*G48</f>
        <v>2077.3548900000001</v>
      </c>
      <c r="K48" s="43">
        <v>0</v>
      </c>
      <c r="L48" s="43">
        <v>0</v>
      </c>
      <c r="M48" s="43">
        <v>0</v>
      </c>
      <c r="N48" s="43">
        <v>0</v>
      </c>
      <c r="O48" s="43">
        <f>F48/2*G48</f>
        <v>2077.3548900000001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f t="shared" si="13"/>
        <v>4154.7097800000001</v>
      </c>
    </row>
    <row r="49" spans="1:21" ht="28.9" customHeight="1">
      <c r="A49" s="32" t="s">
        <v>97</v>
      </c>
      <c r="B49" s="12" t="s">
        <v>98</v>
      </c>
      <c r="C49" s="32" t="s">
        <v>99</v>
      </c>
      <c r="D49" s="12" t="s">
        <v>82</v>
      </c>
      <c r="E49" s="40">
        <v>15</v>
      </c>
      <c r="F49" s="41">
        <f>SUM(E49*2/100)</f>
        <v>0.3</v>
      </c>
      <c r="G49" s="60">
        <v>2730.49</v>
      </c>
      <c r="H49" s="42">
        <f t="shared" si="12"/>
        <v>0.81914699999999996</v>
      </c>
      <c r="I49" s="43">
        <v>0</v>
      </c>
      <c r="J49" s="43">
        <f>F49/2*G49</f>
        <v>409.57349999999997</v>
      </c>
      <c r="K49" s="43">
        <v>0</v>
      </c>
      <c r="L49" s="43">
        <v>0</v>
      </c>
      <c r="M49" s="43">
        <v>0</v>
      </c>
      <c r="N49" s="43">
        <v>0</v>
      </c>
      <c r="O49" s="43">
        <f>F49/2*G49</f>
        <v>409.57349999999997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f t="shared" si="13"/>
        <v>819.14699999999993</v>
      </c>
    </row>
    <row r="50" spans="1:21">
      <c r="A50" s="32" t="s">
        <v>100</v>
      </c>
      <c r="B50" s="12" t="s">
        <v>101</v>
      </c>
      <c r="C50" s="32" t="s">
        <v>102</v>
      </c>
      <c r="D50" s="12" t="s">
        <v>82</v>
      </c>
      <c r="E50" s="40">
        <v>1</v>
      </c>
      <c r="F50" s="41">
        <v>0.02</v>
      </c>
      <c r="G50" s="60">
        <v>5322.15</v>
      </c>
      <c r="H50" s="42">
        <f t="shared" si="12"/>
        <v>0.106443</v>
      </c>
      <c r="I50" s="43">
        <v>0</v>
      </c>
      <c r="J50" s="43">
        <f>F50/2*G50</f>
        <v>53.221499999999999</v>
      </c>
      <c r="K50" s="43">
        <v>0</v>
      </c>
      <c r="L50" s="43">
        <v>0</v>
      </c>
      <c r="M50" s="43">
        <v>0</v>
      </c>
      <c r="N50" s="43">
        <v>0</v>
      </c>
      <c r="O50" s="43">
        <f>F50/2*G50</f>
        <v>53.221499999999999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f t="shared" si="13"/>
        <v>106.443</v>
      </c>
    </row>
    <row r="51" spans="1:21" ht="13.5" customHeight="1">
      <c r="A51" s="32" t="s">
        <v>104</v>
      </c>
      <c r="B51" s="12" t="s">
        <v>105</v>
      </c>
      <c r="C51" s="32" t="s">
        <v>103</v>
      </c>
      <c r="D51" s="12" t="s">
        <v>184</v>
      </c>
      <c r="E51" s="40">
        <v>90</v>
      </c>
      <c r="F51" s="41">
        <f>SUM(E51)*3</f>
        <v>270</v>
      </c>
      <c r="G51" s="61">
        <v>65.67</v>
      </c>
      <c r="H51" s="42">
        <f t="shared" si="12"/>
        <v>17.730900000000002</v>
      </c>
      <c r="I51" s="43">
        <v>0</v>
      </c>
      <c r="J51" s="43">
        <f>E51*G51</f>
        <v>5910.3</v>
      </c>
      <c r="K51" s="43">
        <v>0</v>
      </c>
      <c r="L51" s="43">
        <f>E51*G51</f>
        <v>5910.3</v>
      </c>
      <c r="M51" s="43">
        <v>0</v>
      </c>
      <c r="N51" s="43">
        <v>0</v>
      </c>
      <c r="O51" s="43">
        <v>0</v>
      </c>
      <c r="P51" s="43">
        <f>E51*G51</f>
        <v>5910.3</v>
      </c>
      <c r="Q51" s="43">
        <v>0</v>
      </c>
      <c r="R51" s="43">
        <v>0</v>
      </c>
      <c r="S51" s="43">
        <v>0</v>
      </c>
      <c r="T51" s="43">
        <v>0</v>
      </c>
      <c r="U51" s="43">
        <f t="shared" si="13"/>
        <v>17730.900000000001</v>
      </c>
    </row>
    <row r="52" spans="1:21" s="23" customFormat="1">
      <c r="A52" s="62"/>
      <c r="B52" s="22" t="s">
        <v>36</v>
      </c>
      <c r="C52" s="63"/>
      <c r="D52" s="22"/>
      <c r="E52" s="64"/>
      <c r="F52" s="65"/>
      <c r="G52" s="65"/>
      <c r="H52" s="56">
        <f>SUM(H42:H51)</f>
        <v>39.142618774799999</v>
      </c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>
        <f>SUM(U42:U51)</f>
        <v>39142.618774800001</v>
      </c>
    </row>
    <row r="53" spans="1:21">
      <c r="A53" s="32"/>
      <c r="B53" s="14" t="s">
        <v>106</v>
      </c>
      <c r="C53" s="32"/>
      <c r="D53" s="12"/>
      <c r="E53" s="40"/>
      <c r="F53" s="41"/>
      <c r="G53" s="41"/>
      <c r="H53" s="42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</row>
    <row r="54" spans="1:21" ht="42" customHeight="1">
      <c r="A54" s="9" t="s">
        <v>107</v>
      </c>
      <c r="B54" s="12" t="s">
        <v>162</v>
      </c>
      <c r="C54" s="32" t="s">
        <v>14</v>
      </c>
      <c r="D54" s="12" t="s">
        <v>108</v>
      </c>
      <c r="E54" s="40">
        <v>107.83</v>
      </c>
      <c r="F54" s="41">
        <f>SUM(E54*6/100)</f>
        <v>6.4698000000000002</v>
      </c>
      <c r="G54" s="60">
        <v>1547.28</v>
      </c>
      <c r="H54" s="42">
        <f>SUM(F54*G54/1000)</f>
        <v>10.010592144</v>
      </c>
      <c r="I54" s="43">
        <f>F54/6*G54</f>
        <v>1668.432024</v>
      </c>
      <c r="J54" s="43">
        <f>F54/6*G54</f>
        <v>1668.432024</v>
      </c>
      <c r="K54" s="43">
        <f>F54/6*G54</f>
        <v>1668.432024</v>
      </c>
      <c r="L54" s="43">
        <f>F54/6*G54</f>
        <v>1668.432024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f>F54/6*G54</f>
        <v>1668.432024</v>
      </c>
      <c r="T54" s="43">
        <f>F54/6*G54</f>
        <v>1668.432024</v>
      </c>
      <c r="U54" s="43">
        <f>SUM(I54:T54)</f>
        <v>10010.592144</v>
      </c>
    </row>
    <row r="55" spans="1:21">
      <c r="A55" s="32"/>
      <c r="B55" s="13" t="s">
        <v>109</v>
      </c>
      <c r="C55" s="32"/>
      <c r="D55" s="12"/>
      <c r="E55" s="40"/>
      <c r="F55" s="41"/>
      <c r="G55" s="67"/>
      <c r="H55" s="42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>
      <c r="A56" s="32" t="s">
        <v>110</v>
      </c>
      <c r="B56" s="12" t="s">
        <v>163</v>
      </c>
      <c r="C56" s="32" t="s">
        <v>14</v>
      </c>
      <c r="D56" s="12" t="s">
        <v>46</v>
      </c>
      <c r="E56" s="40">
        <v>855.9</v>
      </c>
      <c r="F56" s="42">
        <v>8.6</v>
      </c>
      <c r="G56" s="60">
        <v>747.3</v>
      </c>
      <c r="H56" s="68">
        <v>6.4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f>SUM(I56:T56)</f>
        <v>0</v>
      </c>
    </row>
    <row r="57" spans="1:21">
      <c r="A57" s="32"/>
      <c r="B57" s="12" t="s">
        <v>164</v>
      </c>
      <c r="C57" s="32" t="s">
        <v>111</v>
      </c>
      <c r="D57" s="12" t="s">
        <v>112</v>
      </c>
      <c r="E57" s="40">
        <v>256</v>
      </c>
      <c r="F57" s="41">
        <f>E57*12</f>
        <v>3072</v>
      </c>
      <c r="G57" s="67">
        <v>2.5958999999999999</v>
      </c>
      <c r="H57" s="42">
        <f>F57*G57/1000</f>
        <v>7.9746047999999989</v>
      </c>
      <c r="I57" s="43">
        <f>F57/12*G57</f>
        <v>664.55039999999997</v>
      </c>
      <c r="J57" s="43">
        <f>F57/12*G57</f>
        <v>664.55039999999997</v>
      </c>
      <c r="K57" s="43">
        <f>F57/12*G57</f>
        <v>664.55039999999997</v>
      </c>
      <c r="L57" s="43">
        <f>F57/12*G57</f>
        <v>664.55039999999997</v>
      </c>
      <c r="M57" s="43">
        <f>F57/12*G57</f>
        <v>664.55039999999997</v>
      </c>
      <c r="N57" s="43">
        <f>F57/12*G57</f>
        <v>664.55039999999997</v>
      </c>
      <c r="O57" s="43">
        <f>F57/12*G57</f>
        <v>664.55039999999997</v>
      </c>
      <c r="P57" s="43">
        <f>F57/12*G57</f>
        <v>664.55039999999997</v>
      </c>
      <c r="Q57" s="43">
        <f>F57/12*G57</f>
        <v>664.55039999999997</v>
      </c>
      <c r="R57" s="43">
        <f>F57/12*G57</f>
        <v>664.55039999999997</v>
      </c>
      <c r="S57" s="43">
        <f>F57/12*G57</f>
        <v>664.55039999999997</v>
      </c>
      <c r="T57" s="43">
        <f>F57/12*G57</f>
        <v>664.55039999999997</v>
      </c>
      <c r="U57" s="43">
        <f>SUM(I57:T57)</f>
        <v>7974.6048000000001</v>
      </c>
    </row>
    <row r="58" spans="1:21">
      <c r="A58" s="32"/>
      <c r="B58" s="14" t="s">
        <v>113</v>
      </c>
      <c r="C58" s="32"/>
      <c r="D58" s="12"/>
      <c r="E58" s="40"/>
      <c r="F58" s="41"/>
      <c r="G58" s="41"/>
      <c r="H58" s="42" t="s">
        <v>62</v>
      </c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</row>
    <row r="59" spans="1:21" ht="17.25" customHeight="1">
      <c r="A59" s="32" t="s">
        <v>114</v>
      </c>
      <c r="B59" s="12" t="s">
        <v>115</v>
      </c>
      <c r="C59" s="32" t="s">
        <v>103</v>
      </c>
      <c r="D59" s="12" t="s">
        <v>55</v>
      </c>
      <c r="E59" s="40">
        <v>2</v>
      </c>
      <c r="F59" s="41">
        <f>SUM(E59)</f>
        <v>2</v>
      </c>
      <c r="G59" s="69">
        <v>237.75</v>
      </c>
      <c r="H59" s="42">
        <f t="shared" ref="H59:H73" si="14">SUM(F59*G59/1000)</f>
        <v>0.47549999999999998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f>G59*2</f>
        <v>475.5</v>
      </c>
      <c r="S59" s="43">
        <v>0</v>
      </c>
      <c r="T59" s="43">
        <v>0</v>
      </c>
      <c r="U59" s="43">
        <f>SUM(I59:T59)</f>
        <v>475.5</v>
      </c>
    </row>
    <row r="60" spans="1:21">
      <c r="A60" s="70"/>
      <c r="B60" s="17" t="s">
        <v>116</v>
      </c>
      <c r="C60" s="70"/>
      <c r="D60" s="71"/>
      <c r="E60" s="72"/>
      <c r="F60" s="73"/>
      <c r="G60" s="73"/>
      <c r="H60" s="74" t="s">
        <v>62</v>
      </c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ht="12.75" customHeight="1">
      <c r="A61" s="26" t="s">
        <v>117</v>
      </c>
      <c r="B61" s="18" t="s">
        <v>118</v>
      </c>
      <c r="C61" s="26" t="s">
        <v>103</v>
      </c>
      <c r="D61" s="10" t="s">
        <v>55</v>
      </c>
      <c r="E61" s="75">
        <v>10</v>
      </c>
      <c r="F61" s="41">
        <v>10</v>
      </c>
      <c r="G61" s="60">
        <v>222.4</v>
      </c>
      <c r="H61" s="76">
        <f t="shared" si="14"/>
        <v>2.2240000000000002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f>G61</f>
        <v>222.4</v>
      </c>
      <c r="T61" s="43">
        <f>G61</f>
        <v>222.4</v>
      </c>
      <c r="U61" s="43">
        <f t="shared" ref="U61:U68" si="15">SUM(I61:T61)</f>
        <v>444.8</v>
      </c>
    </row>
    <row r="62" spans="1:21" ht="12.75" customHeight="1">
      <c r="A62" s="26" t="s">
        <v>119</v>
      </c>
      <c r="B62" s="18" t="s">
        <v>120</v>
      </c>
      <c r="C62" s="26" t="s">
        <v>103</v>
      </c>
      <c r="D62" s="10" t="s">
        <v>55</v>
      </c>
      <c r="E62" s="75">
        <v>5</v>
      </c>
      <c r="F62" s="41">
        <v>5</v>
      </c>
      <c r="G62" s="60">
        <v>75.25</v>
      </c>
      <c r="H62" s="76">
        <f t="shared" si="14"/>
        <v>0.37624999999999997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f t="shared" si="15"/>
        <v>0</v>
      </c>
    </row>
    <row r="63" spans="1:21" s="3" customFormat="1">
      <c r="A63" s="77" t="s">
        <v>121</v>
      </c>
      <c r="B63" s="18" t="s">
        <v>122</v>
      </c>
      <c r="C63" s="77" t="s">
        <v>123</v>
      </c>
      <c r="D63" s="10" t="s">
        <v>46</v>
      </c>
      <c r="E63" s="40">
        <v>13018</v>
      </c>
      <c r="F63" s="61">
        <f>SUM(E63/100)</f>
        <v>130.18</v>
      </c>
      <c r="G63" s="60">
        <v>212.15</v>
      </c>
      <c r="H63" s="76">
        <f t="shared" si="14"/>
        <v>27.617687</v>
      </c>
      <c r="I63" s="59">
        <v>0</v>
      </c>
      <c r="J63" s="59">
        <v>0</v>
      </c>
      <c r="K63" s="59">
        <v>0</v>
      </c>
      <c r="L63" s="59">
        <v>0</v>
      </c>
      <c r="M63" s="59">
        <f>F63*G63</f>
        <v>27617.687000000002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43">
        <f t="shared" si="15"/>
        <v>27617.687000000002</v>
      </c>
    </row>
    <row r="64" spans="1:21" ht="25.5">
      <c r="A64" s="26" t="s">
        <v>124</v>
      </c>
      <c r="B64" s="18" t="s">
        <v>125</v>
      </c>
      <c r="C64" s="26" t="s">
        <v>126</v>
      </c>
      <c r="D64" s="10"/>
      <c r="E64" s="40">
        <v>13018</v>
      </c>
      <c r="F64" s="60">
        <f>SUM(E64/1000)</f>
        <v>13.018000000000001</v>
      </c>
      <c r="G64" s="60">
        <v>165.21</v>
      </c>
      <c r="H64" s="76">
        <f t="shared" si="14"/>
        <v>2.1507037800000002</v>
      </c>
      <c r="I64" s="43">
        <v>0</v>
      </c>
      <c r="J64" s="43">
        <v>0</v>
      </c>
      <c r="K64" s="43">
        <v>0</v>
      </c>
      <c r="L64" s="43">
        <v>0</v>
      </c>
      <c r="M64" s="43">
        <f>F64*G64</f>
        <v>2150.7037800000003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f t="shared" si="15"/>
        <v>2150.7037800000003</v>
      </c>
    </row>
    <row r="65" spans="1:26">
      <c r="A65" s="26" t="s">
        <v>127</v>
      </c>
      <c r="B65" s="18" t="s">
        <v>128</v>
      </c>
      <c r="C65" s="26" t="s">
        <v>129</v>
      </c>
      <c r="D65" s="10" t="s">
        <v>46</v>
      </c>
      <c r="E65" s="40">
        <v>1279</v>
      </c>
      <c r="F65" s="60">
        <f>SUM(E65/100)</f>
        <v>12.79</v>
      </c>
      <c r="G65" s="60">
        <v>2074.63</v>
      </c>
      <c r="H65" s="76">
        <f t="shared" si="14"/>
        <v>26.534517700000002</v>
      </c>
      <c r="I65" s="43">
        <v>0</v>
      </c>
      <c r="J65" s="43">
        <v>0</v>
      </c>
      <c r="K65" s="43">
        <v>0</v>
      </c>
      <c r="L65" s="43">
        <v>0</v>
      </c>
      <c r="M65" s="43">
        <f>F65*G65</f>
        <v>26534.5177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f t="shared" si="15"/>
        <v>26534.5177</v>
      </c>
    </row>
    <row r="66" spans="1:26">
      <c r="A66" s="26"/>
      <c r="B66" s="19" t="s">
        <v>165</v>
      </c>
      <c r="C66" s="26" t="s">
        <v>53</v>
      </c>
      <c r="D66" s="10"/>
      <c r="E66" s="40">
        <v>12</v>
      </c>
      <c r="F66" s="60">
        <f>SUM(E66)</f>
        <v>12</v>
      </c>
      <c r="G66" s="60">
        <v>42.67</v>
      </c>
      <c r="H66" s="76">
        <f t="shared" si="14"/>
        <v>0.51203999999999994</v>
      </c>
      <c r="I66" s="43">
        <v>0</v>
      </c>
      <c r="J66" s="43">
        <v>0</v>
      </c>
      <c r="K66" s="43">
        <v>0</v>
      </c>
      <c r="L66" s="43">
        <v>0</v>
      </c>
      <c r="M66" s="43">
        <f>F66*G66</f>
        <v>512.04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f t="shared" si="15"/>
        <v>512.04</v>
      </c>
    </row>
    <row r="67" spans="1:26" ht="25.5">
      <c r="A67" s="26"/>
      <c r="B67" s="19" t="s">
        <v>166</v>
      </c>
      <c r="C67" s="26" t="s">
        <v>53</v>
      </c>
      <c r="D67" s="10"/>
      <c r="E67" s="40">
        <v>12</v>
      </c>
      <c r="F67" s="60">
        <f>SUM(E67)</f>
        <v>12</v>
      </c>
      <c r="G67" s="60">
        <v>39.81</v>
      </c>
      <c r="H67" s="76">
        <f t="shared" si="14"/>
        <v>0.47772000000000003</v>
      </c>
      <c r="I67" s="43">
        <v>0</v>
      </c>
      <c r="J67" s="43">
        <v>0</v>
      </c>
      <c r="K67" s="43">
        <v>0</v>
      </c>
      <c r="L67" s="43">
        <v>0</v>
      </c>
      <c r="M67" s="43">
        <f>F67*G67</f>
        <v>477.72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f t="shared" si="15"/>
        <v>477.72</v>
      </c>
    </row>
    <row r="68" spans="1:26">
      <c r="A68" s="26" t="s">
        <v>130</v>
      </c>
      <c r="B68" s="10" t="s">
        <v>131</v>
      </c>
      <c r="C68" s="26" t="s">
        <v>132</v>
      </c>
      <c r="D68" s="10" t="s">
        <v>46</v>
      </c>
      <c r="E68" s="75">
        <v>1</v>
      </c>
      <c r="F68" s="41">
        <f>SUM(E68)</f>
        <v>1</v>
      </c>
      <c r="G68" s="60">
        <v>49.88</v>
      </c>
      <c r="H68" s="76">
        <f t="shared" si="14"/>
        <v>4.9880000000000001E-2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f>F68*G68</f>
        <v>49.88</v>
      </c>
      <c r="R68" s="43">
        <v>0</v>
      </c>
      <c r="S68" s="43">
        <v>0</v>
      </c>
      <c r="T68" s="43">
        <v>0</v>
      </c>
      <c r="U68" s="43">
        <f t="shared" si="15"/>
        <v>49.88</v>
      </c>
    </row>
    <row r="69" spans="1:26">
      <c r="A69" s="26"/>
      <c r="B69" s="20" t="s">
        <v>133</v>
      </c>
      <c r="C69" s="26"/>
      <c r="D69" s="10"/>
      <c r="E69" s="75"/>
      <c r="F69" s="60"/>
      <c r="G69" s="60"/>
      <c r="H69" s="76" t="s">
        <v>62</v>
      </c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6" ht="25.5">
      <c r="A70" s="26" t="s">
        <v>134</v>
      </c>
      <c r="B70" s="10" t="s">
        <v>135</v>
      </c>
      <c r="C70" s="26" t="s">
        <v>136</v>
      </c>
      <c r="D70" s="10" t="s">
        <v>55</v>
      </c>
      <c r="E70" s="75">
        <v>5</v>
      </c>
      <c r="F70" s="60">
        <v>0.5</v>
      </c>
      <c r="G70" s="60">
        <v>501.62</v>
      </c>
      <c r="H70" s="76">
        <f t="shared" si="14"/>
        <v>0.25080999999999998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f>SUM(I70:T70)</f>
        <v>0</v>
      </c>
    </row>
    <row r="71" spans="1:26">
      <c r="A71" s="26" t="s">
        <v>137</v>
      </c>
      <c r="B71" s="10" t="s">
        <v>138</v>
      </c>
      <c r="C71" s="26" t="s">
        <v>103</v>
      </c>
      <c r="D71" s="10"/>
      <c r="E71" s="75">
        <v>1</v>
      </c>
      <c r="F71" s="41">
        <f>SUM(E71)</f>
        <v>1</v>
      </c>
      <c r="G71" s="60">
        <v>358.51</v>
      </c>
      <c r="H71" s="76">
        <f t="shared" si="14"/>
        <v>0.35851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f>SUM(I71:T71)</f>
        <v>0</v>
      </c>
    </row>
    <row r="72" spans="1:26">
      <c r="A72" s="26"/>
      <c r="B72" s="78" t="s">
        <v>139</v>
      </c>
      <c r="C72" s="26"/>
      <c r="D72" s="10"/>
      <c r="E72" s="75"/>
      <c r="F72" s="60"/>
      <c r="G72" s="60" t="s">
        <v>62</v>
      </c>
      <c r="H72" s="76" t="s">
        <v>62</v>
      </c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6" s="3" customFormat="1">
      <c r="A73" s="77" t="s">
        <v>140</v>
      </c>
      <c r="B73" s="79" t="s">
        <v>141</v>
      </c>
      <c r="C73" s="77" t="s">
        <v>129</v>
      </c>
      <c r="D73" s="18"/>
      <c r="E73" s="80"/>
      <c r="F73" s="61">
        <v>0.3</v>
      </c>
      <c r="G73" s="61">
        <v>2759.44</v>
      </c>
      <c r="H73" s="76">
        <f t="shared" si="14"/>
        <v>0.82783200000000001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43">
        <f>SUM(I73:T73)</f>
        <v>0</v>
      </c>
    </row>
    <row r="74" spans="1:26" s="23" customFormat="1">
      <c r="A74" s="81"/>
      <c r="B74" s="22" t="s">
        <v>36</v>
      </c>
      <c r="C74" s="82"/>
      <c r="D74" s="83"/>
      <c r="E74" s="84"/>
      <c r="F74" s="66"/>
      <c r="G74" s="66"/>
      <c r="H74" s="85">
        <f>SUM(H54:H73)</f>
        <v>86.240647424000002</v>
      </c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>
        <f>SUM(U54:U73)</f>
        <v>76248.045424000011</v>
      </c>
    </row>
    <row r="75" spans="1:26">
      <c r="A75" s="144" t="s">
        <v>202</v>
      </c>
      <c r="B75" s="12" t="s">
        <v>203</v>
      </c>
      <c r="C75" s="86" t="s">
        <v>204</v>
      </c>
      <c r="D75" s="87"/>
      <c r="E75" s="145"/>
      <c r="F75" s="88">
        <f>137/10</f>
        <v>13.7</v>
      </c>
      <c r="G75" s="89">
        <v>9</v>
      </c>
      <c r="H75" s="139">
        <f>G75*F75/1000</f>
        <v>0.12329999999999999</v>
      </c>
      <c r="I75" s="43">
        <v>0</v>
      </c>
      <c r="J75" s="43">
        <v>0</v>
      </c>
      <c r="K75" s="43">
        <v>0</v>
      </c>
      <c r="L75" s="43">
        <v>0</v>
      </c>
      <c r="M75" s="44">
        <v>0</v>
      </c>
      <c r="N75" s="43">
        <f>F75*G75</f>
        <v>123.3</v>
      </c>
      <c r="O75" s="43">
        <v>0</v>
      </c>
      <c r="P75" s="146">
        <v>0</v>
      </c>
      <c r="Q75" s="146">
        <v>0</v>
      </c>
      <c r="R75" s="146">
        <v>0</v>
      </c>
      <c r="S75" s="146">
        <v>0</v>
      </c>
      <c r="T75" s="146">
        <v>0</v>
      </c>
      <c r="U75" s="146">
        <f>SUM(I75:T75)</f>
        <v>123.3</v>
      </c>
    </row>
    <row r="76" spans="1:26" ht="19.149999999999999" customHeight="1">
      <c r="A76" s="90"/>
      <c r="B76" s="13" t="s">
        <v>142</v>
      </c>
      <c r="C76" s="26" t="s">
        <v>143</v>
      </c>
      <c r="D76" s="91"/>
      <c r="E76" s="60">
        <v>2581.1999999999998</v>
      </c>
      <c r="F76" s="60">
        <f>SUM(E76*12)</f>
        <v>30974.399999999998</v>
      </c>
      <c r="G76" s="92">
        <v>2.1</v>
      </c>
      <c r="H76" s="76">
        <f>SUM(F76*G76/1000)</f>
        <v>65.046239999999997</v>
      </c>
      <c r="I76" s="43">
        <f>F76/12*G76</f>
        <v>5420.5199999999995</v>
      </c>
      <c r="J76" s="43">
        <f>F76/12*G76</f>
        <v>5420.5199999999995</v>
      </c>
      <c r="K76" s="43">
        <f>F76/12*G76</f>
        <v>5420.5199999999995</v>
      </c>
      <c r="L76" s="43">
        <f>F76/12*G76</f>
        <v>5420.5199999999995</v>
      </c>
      <c r="M76" s="43">
        <f>F76/12*G76</f>
        <v>5420.5199999999995</v>
      </c>
      <c r="N76" s="43">
        <f>F76/12*G76</f>
        <v>5420.5199999999995</v>
      </c>
      <c r="O76" s="43">
        <f>F76/12*G76</f>
        <v>5420.5199999999995</v>
      </c>
      <c r="P76" s="43">
        <f>F76/12*G76</f>
        <v>5420.5199999999995</v>
      </c>
      <c r="Q76" s="43">
        <f>F76/12*G76</f>
        <v>5420.5199999999995</v>
      </c>
      <c r="R76" s="43">
        <f>F76/12*G76</f>
        <v>5420.5199999999995</v>
      </c>
      <c r="S76" s="43">
        <f>F76/12*G76</f>
        <v>5420.5199999999995</v>
      </c>
      <c r="T76" s="43">
        <f>F76/12*G76</f>
        <v>5420.5199999999995</v>
      </c>
      <c r="U76" s="43">
        <f>SUM(I76:T76)</f>
        <v>65046.239999999983</v>
      </c>
    </row>
    <row r="77" spans="1:26" s="21" customFormat="1">
      <c r="A77" s="93"/>
      <c r="B77" s="22" t="s">
        <v>36</v>
      </c>
      <c r="C77" s="94"/>
      <c r="D77" s="95"/>
      <c r="E77" s="96"/>
      <c r="F77" s="51"/>
      <c r="G77" s="97"/>
      <c r="H77" s="52">
        <f>SUM(H75:H76)</f>
        <v>65.169539999999998</v>
      </c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>
        <f>SUM(U75:U76)</f>
        <v>65169.539999999986</v>
      </c>
    </row>
    <row r="78" spans="1:26" ht="32.25" customHeight="1">
      <c r="A78" s="98"/>
      <c r="B78" s="10" t="s">
        <v>144</v>
      </c>
      <c r="C78" s="26"/>
      <c r="D78" s="24"/>
      <c r="E78" s="40">
        <f>E76</f>
        <v>2581.1999999999998</v>
      </c>
      <c r="F78" s="60">
        <f>E78*12</f>
        <v>30974.399999999998</v>
      </c>
      <c r="G78" s="60">
        <v>1.63</v>
      </c>
      <c r="H78" s="76">
        <f>F78*G78/1000</f>
        <v>50.488271999999988</v>
      </c>
      <c r="I78" s="43">
        <f>F78/12*G78</f>
        <v>4207.3559999999998</v>
      </c>
      <c r="J78" s="43">
        <f>F78/12*G78</f>
        <v>4207.3559999999998</v>
      </c>
      <c r="K78" s="43">
        <f>F78/12*G78</f>
        <v>4207.3559999999998</v>
      </c>
      <c r="L78" s="43">
        <f>F78/12*G78</f>
        <v>4207.3559999999998</v>
      </c>
      <c r="M78" s="43">
        <f>F78/12*G78</f>
        <v>4207.3559999999998</v>
      </c>
      <c r="N78" s="43">
        <f>F78/12*G78</f>
        <v>4207.3559999999998</v>
      </c>
      <c r="O78" s="43">
        <f>F78/12*G78</f>
        <v>4207.3559999999998</v>
      </c>
      <c r="P78" s="43">
        <f>F78/12*G78</f>
        <v>4207.3559999999998</v>
      </c>
      <c r="Q78" s="43">
        <f>F78/12*G78</f>
        <v>4207.3559999999998</v>
      </c>
      <c r="R78" s="43">
        <f>F78/12*G78</f>
        <v>4207.3559999999998</v>
      </c>
      <c r="S78" s="43">
        <f>F78/12*G78</f>
        <v>4207.3559999999998</v>
      </c>
      <c r="T78" s="43">
        <f>F78/12*G78</f>
        <v>4207.3559999999998</v>
      </c>
      <c r="U78" s="43">
        <f>SUM(I78:T78)</f>
        <v>50488.271999999997</v>
      </c>
      <c r="W78" s="159" t="s">
        <v>185</v>
      </c>
      <c r="X78" s="160"/>
      <c r="Y78" s="160"/>
      <c r="Z78" s="161"/>
    </row>
    <row r="79" spans="1:26" s="21" customFormat="1">
      <c r="A79" s="93"/>
      <c r="B79" s="99" t="s">
        <v>145</v>
      </c>
      <c r="C79" s="100"/>
      <c r="D79" s="99"/>
      <c r="E79" s="51"/>
      <c r="F79" s="51"/>
      <c r="G79" s="51"/>
      <c r="H79" s="85">
        <f>H78</f>
        <v>50.488271999999988</v>
      </c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140">
        <f>U78</f>
        <v>50488.271999999997</v>
      </c>
    </row>
    <row r="80" spans="1:26" s="21" customFormat="1">
      <c r="A80" s="93"/>
      <c r="B80" s="99" t="s">
        <v>146</v>
      </c>
      <c r="C80" s="101"/>
      <c r="D80" s="102"/>
      <c r="E80" s="103"/>
      <c r="F80" s="103"/>
      <c r="G80" s="103"/>
      <c r="H80" s="85">
        <f>SUM(H79+H77+H74+H52+H22+H40+H31)</f>
        <v>600.09952801513327</v>
      </c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40">
        <f>SUM(U79+U77+U74+U52+U40+U31+U22)*1.064</f>
        <v>627253.08700810187</v>
      </c>
    </row>
    <row r="81" spans="1:21" s="132" customFormat="1" ht="51" customHeight="1">
      <c r="A81" s="98"/>
      <c r="B81" s="78"/>
      <c r="C81" s="26"/>
      <c r="D81" s="24"/>
      <c r="E81" s="60"/>
      <c r="F81" s="60"/>
      <c r="G81" s="60"/>
      <c r="H81" s="131"/>
      <c r="I81" s="60"/>
      <c r="J81" s="60"/>
      <c r="K81" s="60"/>
      <c r="L81" s="60"/>
      <c r="M81" s="60"/>
      <c r="N81" s="60"/>
      <c r="O81" s="60"/>
      <c r="P81" s="60"/>
      <c r="Q81" s="60"/>
      <c r="R81" s="153"/>
      <c r="S81" s="153"/>
      <c r="T81" s="153"/>
      <c r="U81" s="149" t="s">
        <v>209</v>
      </c>
    </row>
    <row r="82" spans="1:21">
      <c r="A82" s="98"/>
      <c r="B82" s="24" t="s">
        <v>147</v>
      </c>
      <c r="C82" s="26"/>
      <c r="D82" s="24"/>
      <c r="E82" s="60"/>
      <c r="F82" s="60"/>
      <c r="G82" s="60" t="s">
        <v>148</v>
      </c>
      <c r="H82" s="104">
        <f>E78</f>
        <v>2581.1999999999998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1:21" s="21" customFormat="1">
      <c r="A83" s="93"/>
      <c r="B83" s="102" t="s">
        <v>149</v>
      </c>
      <c r="C83" s="101"/>
      <c r="D83" s="102"/>
      <c r="E83" s="103"/>
      <c r="F83" s="103"/>
      <c r="G83" s="103"/>
      <c r="H83" s="105">
        <f>SUM(H80/H82/12*1000)</f>
        <v>19.374048505060092</v>
      </c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41"/>
    </row>
    <row r="84" spans="1:21">
      <c r="A84" s="98"/>
      <c r="B84" s="24"/>
      <c r="C84" s="26"/>
      <c r="D84" s="24"/>
      <c r="E84" s="60"/>
      <c r="F84" s="60"/>
      <c r="G84" s="60"/>
      <c r="H84" s="106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142"/>
    </row>
    <row r="85" spans="1:21">
      <c r="A85" s="98"/>
      <c r="B85" s="78" t="s">
        <v>150</v>
      </c>
      <c r="C85" s="26"/>
      <c r="D85" s="24"/>
      <c r="E85" s="60"/>
      <c r="F85" s="60"/>
      <c r="G85" s="60"/>
      <c r="H85" s="60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1:21" ht="25.5">
      <c r="A86" s="130" t="s">
        <v>182</v>
      </c>
      <c r="B86" s="25" t="s">
        <v>181</v>
      </c>
      <c r="C86" s="130" t="s">
        <v>103</v>
      </c>
      <c r="D86" s="24"/>
      <c r="E86" s="60"/>
      <c r="F86" s="60">
        <v>506</v>
      </c>
      <c r="G86" s="60">
        <v>46.33</v>
      </c>
      <c r="H86" s="76">
        <f t="shared" ref="H86" si="16">G86*F86/1000</f>
        <v>23.442979999999999</v>
      </c>
      <c r="I86" s="43">
        <f>G86*46</f>
        <v>2131.1799999999998</v>
      </c>
      <c r="J86" s="43">
        <v>0</v>
      </c>
      <c r="K86" s="43">
        <f>G86*46</f>
        <v>2131.1799999999998</v>
      </c>
      <c r="L86" s="43">
        <f>G86*46</f>
        <v>2131.1799999999998</v>
      </c>
      <c r="M86" s="43">
        <f>G86*46</f>
        <v>2131.1799999999998</v>
      </c>
      <c r="N86" s="43">
        <f>G86*46</f>
        <v>2131.1799999999998</v>
      </c>
      <c r="O86" s="43">
        <f>G86*46</f>
        <v>2131.1799999999998</v>
      </c>
      <c r="P86" s="43">
        <f>G86*46</f>
        <v>2131.1799999999998</v>
      </c>
      <c r="Q86" s="43">
        <f>G86*46</f>
        <v>2131.1799999999998</v>
      </c>
      <c r="R86" s="43">
        <f>G86*46</f>
        <v>2131.1799999999998</v>
      </c>
      <c r="S86" s="43">
        <f>G86*46</f>
        <v>2131.1799999999998</v>
      </c>
      <c r="T86" s="43">
        <f>G86*46</f>
        <v>2131.1799999999998</v>
      </c>
      <c r="U86" s="43">
        <f t="shared" ref="U86:U100" si="17">SUM(I86:T86)</f>
        <v>23442.98</v>
      </c>
    </row>
    <row r="87" spans="1:21" ht="25.5">
      <c r="A87" s="134" t="s">
        <v>187</v>
      </c>
      <c r="B87" s="135" t="s">
        <v>186</v>
      </c>
      <c r="C87" s="136" t="s">
        <v>103</v>
      </c>
      <c r="D87" s="24"/>
      <c r="E87" s="60"/>
      <c r="F87" s="60">
        <v>2</v>
      </c>
      <c r="G87" s="60">
        <v>72.290000000000006</v>
      </c>
      <c r="H87" s="133">
        <f t="shared" ref="H87:H102" si="18">G87*F87/1000</f>
        <v>0.14458000000000001</v>
      </c>
      <c r="I87" s="43">
        <v>0</v>
      </c>
      <c r="J87" s="43">
        <f>G87</f>
        <v>72.290000000000006</v>
      </c>
      <c r="K87" s="43">
        <v>0</v>
      </c>
      <c r="L87" s="43">
        <v>0</v>
      </c>
      <c r="M87" s="43">
        <v>0</v>
      </c>
      <c r="N87" s="43">
        <f>G87</f>
        <v>72.290000000000006</v>
      </c>
      <c r="O87" s="43">
        <v>0</v>
      </c>
      <c r="P87" s="43">
        <v>0</v>
      </c>
      <c r="Q87" s="43">
        <v>0</v>
      </c>
      <c r="R87" s="43">
        <v>0</v>
      </c>
      <c r="S87" s="43">
        <v>0</v>
      </c>
      <c r="T87" s="43">
        <v>0</v>
      </c>
      <c r="U87" s="43">
        <f t="shared" si="17"/>
        <v>144.58000000000001</v>
      </c>
    </row>
    <row r="88" spans="1:21">
      <c r="A88" s="130" t="s">
        <v>188</v>
      </c>
      <c r="B88" s="25" t="s">
        <v>189</v>
      </c>
      <c r="C88" s="130" t="s">
        <v>190</v>
      </c>
      <c r="D88" s="24"/>
      <c r="E88" s="60"/>
      <c r="F88" s="60">
        <v>16</v>
      </c>
      <c r="G88" s="60">
        <v>1372</v>
      </c>
      <c r="H88" s="133">
        <f t="shared" si="18"/>
        <v>21.952000000000002</v>
      </c>
      <c r="I88" s="43">
        <v>0</v>
      </c>
      <c r="J88" s="43">
        <f>G88</f>
        <v>1372</v>
      </c>
      <c r="K88" s="43">
        <f>G88*4</f>
        <v>5488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f>G88*3</f>
        <v>4116</v>
      </c>
      <c r="S88" s="43">
        <f>G88*4</f>
        <v>5488</v>
      </c>
      <c r="T88" s="43">
        <f>G88*4</f>
        <v>5488</v>
      </c>
      <c r="U88" s="43">
        <f t="shared" si="17"/>
        <v>21952</v>
      </c>
    </row>
    <row r="89" spans="1:21" ht="25.5">
      <c r="A89" s="130" t="s">
        <v>191</v>
      </c>
      <c r="B89" s="25" t="s">
        <v>229</v>
      </c>
      <c r="C89" s="130" t="s">
        <v>192</v>
      </c>
      <c r="D89" s="24"/>
      <c r="E89" s="60"/>
      <c r="F89" s="60">
        <v>7</v>
      </c>
      <c r="G89" s="60">
        <v>2057</v>
      </c>
      <c r="H89" s="133">
        <f t="shared" si="18"/>
        <v>14.398999999999999</v>
      </c>
      <c r="I89" s="43">
        <v>0</v>
      </c>
      <c r="J89" s="43">
        <f>G89*2</f>
        <v>4114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  <c r="S89" s="43">
        <v>0</v>
      </c>
      <c r="T89" s="43">
        <f>G89*5</f>
        <v>10285</v>
      </c>
      <c r="U89" s="43">
        <f t="shared" si="17"/>
        <v>14399</v>
      </c>
    </row>
    <row r="90" spans="1:21" ht="25.5">
      <c r="A90" s="134" t="s">
        <v>195</v>
      </c>
      <c r="B90" s="135" t="s">
        <v>193</v>
      </c>
      <c r="C90" s="136" t="s">
        <v>194</v>
      </c>
      <c r="D90" s="24"/>
      <c r="E90" s="60"/>
      <c r="F90" s="60">
        <v>4</v>
      </c>
      <c r="G90" s="60">
        <v>561.67999999999995</v>
      </c>
      <c r="H90" s="133">
        <f t="shared" si="18"/>
        <v>2.2467199999999998</v>
      </c>
      <c r="I90" s="43">
        <v>0</v>
      </c>
      <c r="J90" s="43">
        <f>G90</f>
        <v>561.67999999999995</v>
      </c>
      <c r="K90" s="43">
        <f>G90*2</f>
        <v>1123.3599999999999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  <c r="S90" s="43">
        <v>0</v>
      </c>
      <c r="T90" s="43">
        <f>G90</f>
        <v>561.67999999999995</v>
      </c>
      <c r="U90" s="43">
        <f t="shared" si="17"/>
        <v>2246.7199999999998</v>
      </c>
    </row>
    <row r="91" spans="1:21" ht="25.5">
      <c r="A91" s="136" t="s">
        <v>198</v>
      </c>
      <c r="B91" s="135" t="s">
        <v>197</v>
      </c>
      <c r="C91" s="136" t="s">
        <v>196</v>
      </c>
      <c r="D91" s="24"/>
      <c r="E91" s="60"/>
      <c r="F91" s="60">
        <v>6</v>
      </c>
      <c r="G91" s="60">
        <v>169.85</v>
      </c>
      <c r="H91" s="133">
        <f t="shared" si="18"/>
        <v>1.0190999999999999</v>
      </c>
      <c r="I91" s="43">
        <v>0</v>
      </c>
      <c r="J91" s="43">
        <f>G91</f>
        <v>169.85</v>
      </c>
      <c r="K91" s="43">
        <v>0</v>
      </c>
      <c r="L91" s="43">
        <v>0</v>
      </c>
      <c r="M91" s="43">
        <v>0</v>
      </c>
      <c r="N91" s="43">
        <f>G91</f>
        <v>169.85</v>
      </c>
      <c r="O91" s="43">
        <v>0</v>
      </c>
      <c r="P91" s="43">
        <v>0</v>
      </c>
      <c r="Q91" s="43">
        <f>G91</f>
        <v>169.85</v>
      </c>
      <c r="R91" s="43">
        <f>G91*2</f>
        <v>339.7</v>
      </c>
      <c r="S91" s="43">
        <v>0</v>
      </c>
      <c r="T91" s="43">
        <f>G91</f>
        <v>169.85</v>
      </c>
      <c r="U91" s="43">
        <f t="shared" si="17"/>
        <v>1019.1</v>
      </c>
    </row>
    <row r="92" spans="1:21" ht="25.5">
      <c r="A92" s="130" t="s">
        <v>97</v>
      </c>
      <c r="B92" s="25" t="s">
        <v>199</v>
      </c>
      <c r="C92" s="130" t="s">
        <v>99</v>
      </c>
      <c r="D92" s="24"/>
      <c r="E92" s="60"/>
      <c r="F92" s="60">
        <v>0.01</v>
      </c>
      <c r="G92" s="60">
        <v>3105.72</v>
      </c>
      <c r="H92" s="137">
        <f t="shared" si="18"/>
        <v>3.1057199999999997E-2</v>
      </c>
      <c r="I92" s="43">
        <v>0</v>
      </c>
      <c r="J92" s="43">
        <v>0</v>
      </c>
      <c r="K92" s="43">
        <f>G92*0.01</f>
        <v>31.057199999999998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</v>
      </c>
      <c r="S92" s="43">
        <v>0</v>
      </c>
      <c r="T92" s="43">
        <v>0</v>
      </c>
      <c r="U92" s="43">
        <f t="shared" si="17"/>
        <v>31.057199999999998</v>
      </c>
    </row>
    <row r="93" spans="1:21">
      <c r="A93" s="130"/>
      <c r="B93" s="25" t="s">
        <v>205</v>
      </c>
      <c r="C93" s="130" t="s">
        <v>53</v>
      </c>
      <c r="D93" s="24"/>
      <c r="E93" s="60"/>
      <c r="F93" s="60">
        <v>4</v>
      </c>
      <c r="G93" s="60">
        <v>900</v>
      </c>
      <c r="H93" s="137">
        <f t="shared" si="18"/>
        <v>3.6</v>
      </c>
      <c r="I93" s="43">
        <v>0</v>
      </c>
      <c r="J93" s="43">
        <v>0</v>
      </c>
      <c r="K93" s="43">
        <v>0</v>
      </c>
      <c r="L93" s="43">
        <f>G93*4</f>
        <v>3600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  <c r="S93" s="43">
        <v>0</v>
      </c>
      <c r="T93" s="43">
        <v>0</v>
      </c>
      <c r="U93" s="43">
        <f t="shared" si="17"/>
        <v>3600</v>
      </c>
    </row>
    <row r="94" spans="1:21">
      <c r="A94" s="134" t="s">
        <v>207</v>
      </c>
      <c r="B94" s="135" t="s">
        <v>206</v>
      </c>
      <c r="C94" s="136" t="s">
        <v>194</v>
      </c>
      <c r="D94" s="24"/>
      <c r="E94" s="60"/>
      <c r="F94" s="60">
        <v>2</v>
      </c>
      <c r="G94" s="60">
        <v>2124.6</v>
      </c>
      <c r="H94" s="147">
        <f t="shared" si="18"/>
        <v>4.2492000000000001</v>
      </c>
      <c r="I94" s="43">
        <v>0</v>
      </c>
      <c r="J94" s="43">
        <v>0</v>
      </c>
      <c r="K94" s="43">
        <v>0</v>
      </c>
      <c r="L94" s="43">
        <v>0</v>
      </c>
      <c r="M94" s="43">
        <f>G94*2</f>
        <v>4249.2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  <c r="S94" s="43">
        <v>0</v>
      </c>
      <c r="T94" s="43">
        <v>0</v>
      </c>
      <c r="U94" s="43">
        <f t="shared" si="17"/>
        <v>4249.2</v>
      </c>
    </row>
    <row r="95" spans="1:21" ht="25.5">
      <c r="A95" s="136" t="s">
        <v>211</v>
      </c>
      <c r="B95" s="135" t="s">
        <v>210</v>
      </c>
      <c r="C95" s="136" t="s">
        <v>103</v>
      </c>
      <c r="D95" s="24"/>
      <c r="E95" s="60"/>
      <c r="F95" s="60">
        <v>3</v>
      </c>
      <c r="G95" s="60">
        <v>164.67</v>
      </c>
      <c r="H95" s="148">
        <f t="shared" si="18"/>
        <v>0.49401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f>G95</f>
        <v>164.67</v>
      </c>
      <c r="O95" s="43">
        <v>0</v>
      </c>
      <c r="P95" s="43">
        <v>0</v>
      </c>
      <c r="Q95" s="43">
        <v>0</v>
      </c>
      <c r="R95" s="43">
        <f>G95*2</f>
        <v>329.34</v>
      </c>
      <c r="S95" s="43">
        <v>0</v>
      </c>
      <c r="T95" s="43">
        <v>0</v>
      </c>
      <c r="U95" s="43">
        <f t="shared" si="17"/>
        <v>494.01</v>
      </c>
    </row>
    <row r="96" spans="1:21">
      <c r="A96" s="151" t="s">
        <v>213</v>
      </c>
      <c r="B96" s="152" t="s">
        <v>212</v>
      </c>
      <c r="C96" s="134" t="s">
        <v>103</v>
      </c>
      <c r="D96" s="24"/>
      <c r="E96" s="60"/>
      <c r="F96" s="60">
        <v>2</v>
      </c>
      <c r="G96" s="60">
        <v>604.46</v>
      </c>
      <c r="H96" s="148">
        <f t="shared" si="18"/>
        <v>1.20892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f>G96*2</f>
        <v>1208.92</v>
      </c>
      <c r="S96" s="43">
        <v>0</v>
      </c>
      <c r="T96" s="43">
        <v>0</v>
      </c>
      <c r="U96" s="43">
        <f t="shared" si="17"/>
        <v>1208.92</v>
      </c>
    </row>
    <row r="97" spans="1:21" ht="38.25">
      <c r="A97" s="130" t="s">
        <v>216</v>
      </c>
      <c r="B97" s="25" t="s">
        <v>214</v>
      </c>
      <c r="C97" s="130" t="s">
        <v>215</v>
      </c>
      <c r="D97" s="24"/>
      <c r="E97" s="60"/>
      <c r="F97" s="60">
        <v>0.6</v>
      </c>
      <c r="G97" s="60">
        <v>5156.5600000000004</v>
      </c>
      <c r="H97" s="148">
        <f t="shared" si="18"/>
        <v>3.0939360000000002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f>G97*0.6</f>
        <v>3093.9360000000001</v>
      </c>
      <c r="P97" s="43">
        <v>0</v>
      </c>
      <c r="Q97" s="43">
        <v>0</v>
      </c>
      <c r="R97" s="43">
        <v>0</v>
      </c>
      <c r="S97" s="43">
        <v>0</v>
      </c>
      <c r="T97" s="43">
        <v>0</v>
      </c>
      <c r="U97" s="43">
        <f t="shared" si="17"/>
        <v>3093.9360000000001</v>
      </c>
    </row>
    <row r="98" spans="1:21" ht="38.25">
      <c r="A98" s="136" t="s">
        <v>219</v>
      </c>
      <c r="B98" s="135" t="s">
        <v>217</v>
      </c>
      <c r="C98" s="136" t="s">
        <v>218</v>
      </c>
      <c r="D98" s="24"/>
      <c r="E98" s="60"/>
      <c r="F98" s="60">
        <v>0.5</v>
      </c>
      <c r="G98" s="60">
        <v>714.93</v>
      </c>
      <c r="H98" s="148">
        <f t="shared" si="18"/>
        <v>0.35746499999999998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  <c r="O98" s="43">
        <f>G98*0.5</f>
        <v>357.46499999999997</v>
      </c>
      <c r="P98" s="43">
        <v>0</v>
      </c>
      <c r="Q98" s="43">
        <v>0</v>
      </c>
      <c r="R98" s="43">
        <v>0</v>
      </c>
      <c r="S98" s="43">
        <v>0</v>
      </c>
      <c r="T98" s="43">
        <v>0</v>
      </c>
      <c r="U98" s="43">
        <f t="shared" si="17"/>
        <v>357.46499999999997</v>
      </c>
    </row>
    <row r="99" spans="1:21" ht="25.5">
      <c r="A99" s="136" t="s">
        <v>191</v>
      </c>
      <c r="B99" s="135" t="s">
        <v>222</v>
      </c>
      <c r="C99" s="136" t="s">
        <v>143</v>
      </c>
      <c r="D99" s="24"/>
      <c r="E99" s="60"/>
      <c r="F99" s="60">
        <v>1.2</v>
      </c>
      <c r="G99" s="60">
        <v>3402</v>
      </c>
      <c r="H99" s="148">
        <f t="shared" si="18"/>
        <v>4.0823999999999998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f>G99*0.2</f>
        <v>680.40000000000009</v>
      </c>
      <c r="S99" s="43">
        <v>0</v>
      </c>
      <c r="T99" s="43">
        <f>G99*1</f>
        <v>3402</v>
      </c>
      <c r="U99" s="43">
        <f t="shared" si="17"/>
        <v>4082.4</v>
      </c>
    </row>
    <row r="100" spans="1:21" ht="38.25">
      <c r="A100" s="151" t="s">
        <v>221</v>
      </c>
      <c r="B100" s="135" t="s">
        <v>220</v>
      </c>
      <c r="C100" s="136" t="s">
        <v>215</v>
      </c>
      <c r="D100" s="24"/>
      <c r="E100" s="60"/>
      <c r="F100" s="60">
        <v>0.02</v>
      </c>
      <c r="G100" s="60">
        <v>8527.7199999999993</v>
      </c>
      <c r="H100" s="148">
        <f t="shared" si="18"/>
        <v>0.17055439999999999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f>G100*0.02</f>
        <v>170.55439999999999</v>
      </c>
      <c r="S100" s="43">
        <v>0</v>
      </c>
      <c r="T100" s="43">
        <v>0</v>
      </c>
      <c r="U100" s="43">
        <f t="shared" si="17"/>
        <v>170.55439999999999</v>
      </c>
    </row>
    <row r="101" spans="1:21" ht="25.5">
      <c r="A101" s="134" t="s">
        <v>231</v>
      </c>
      <c r="B101" s="135" t="s">
        <v>230</v>
      </c>
      <c r="C101" s="136" t="s">
        <v>194</v>
      </c>
      <c r="D101" s="24"/>
      <c r="E101" s="60"/>
      <c r="F101" s="60">
        <v>2</v>
      </c>
      <c r="G101" s="60">
        <v>696.86</v>
      </c>
      <c r="H101" s="154">
        <f t="shared" si="18"/>
        <v>1.3937200000000001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43">
        <v>0</v>
      </c>
      <c r="P101" s="43">
        <v>0</v>
      </c>
      <c r="Q101" s="43">
        <v>0</v>
      </c>
      <c r="R101" s="43">
        <v>0</v>
      </c>
      <c r="S101" s="43">
        <v>0</v>
      </c>
      <c r="T101" s="43">
        <f>G101*2</f>
        <v>1393.72</v>
      </c>
      <c r="U101" s="43">
        <f>SUM(I101:T101)</f>
        <v>1393.72</v>
      </c>
    </row>
    <row r="102" spans="1:21" ht="25.5">
      <c r="A102" s="136" t="s">
        <v>232</v>
      </c>
      <c r="B102" s="135" t="s">
        <v>233</v>
      </c>
      <c r="C102" s="136" t="s">
        <v>49</v>
      </c>
      <c r="D102" s="24"/>
      <c r="E102" s="60"/>
      <c r="F102" s="60">
        <v>1</v>
      </c>
      <c r="G102" s="60">
        <v>342.4</v>
      </c>
      <c r="H102" s="154">
        <f t="shared" si="18"/>
        <v>0.34239999999999998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f>G102</f>
        <v>342.4</v>
      </c>
      <c r="U102" s="43">
        <f t="shared" ref="U102" si="19">SUM(I102:T102)</f>
        <v>342.4</v>
      </c>
    </row>
    <row r="103" spans="1:21" s="21" customFormat="1">
      <c r="A103" s="107"/>
      <c r="B103" s="108" t="s">
        <v>151</v>
      </c>
      <c r="C103" s="107"/>
      <c r="D103" s="107"/>
      <c r="E103" s="103"/>
      <c r="F103" s="103"/>
      <c r="G103" s="103"/>
      <c r="H103" s="52">
        <f>SUM(H86:H102)</f>
        <v>82.228042600000023</v>
      </c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51">
        <f>SUM(U86:U102)</f>
        <v>82228.042599999972</v>
      </c>
    </row>
    <row r="104" spans="1:21">
      <c r="A104" s="109"/>
      <c r="B104" s="110"/>
      <c r="C104" s="109"/>
      <c r="D104" s="109"/>
      <c r="E104" s="60"/>
      <c r="F104" s="60"/>
      <c r="G104" s="60"/>
      <c r="H104" s="111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143"/>
    </row>
    <row r="105" spans="1:21" ht="12" customHeight="1">
      <c r="A105" s="98"/>
      <c r="B105" s="20" t="s">
        <v>152</v>
      </c>
      <c r="C105" s="26"/>
      <c r="D105" s="24"/>
      <c r="E105" s="60"/>
      <c r="F105" s="60"/>
      <c r="G105" s="60"/>
      <c r="H105" s="112">
        <f>H103/E106/12*1000</f>
        <v>2.6547097796890342</v>
      </c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143"/>
    </row>
    <row r="106" spans="1:21" s="21" customFormat="1">
      <c r="A106" s="113"/>
      <c r="B106" s="114" t="s">
        <v>153</v>
      </c>
      <c r="C106" s="115"/>
      <c r="D106" s="114"/>
      <c r="E106" s="116">
        <v>2581.1999999999998</v>
      </c>
      <c r="F106" s="117">
        <f>SUM(E106*12)</f>
        <v>30974.399999999998</v>
      </c>
      <c r="G106" s="118">
        <f>H83+H105</f>
        <v>22.028758284749127</v>
      </c>
      <c r="H106" s="119">
        <f>SUM(F106*G106/1000)</f>
        <v>682.32757061513325</v>
      </c>
      <c r="I106" s="103">
        <f>SUM(I11:I105)</f>
        <v>51992.291395</v>
      </c>
      <c r="J106" s="103">
        <f>SUM(J11:J104)</f>
        <v>64601.381285000003</v>
      </c>
      <c r="K106" s="103">
        <f t="shared" ref="K106:R106" si="20">SUM(K11:K105)</f>
        <v>56557.353705000001</v>
      </c>
      <c r="L106" s="103">
        <f t="shared" si="20"/>
        <v>62397.558777400001</v>
      </c>
      <c r="M106" s="103">
        <f t="shared" si="20"/>
        <v>103025.45677505554</v>
      </c>
      <c r="N106" s="103">
        <f t="shared" si="20"/>
        <v>36939.850393055553</v>
      </c>
      <c r="O106" s="103">
        <f t="shared" si="20"/>
        <v>41557.395373055551</v>
      </c>
      <c r="P106" s="103">
        <f t="shared" si="20"/>
        <v>41476.144483055556</v>
      </c>
      <c r="Q106" s="103">
        <f t="shared" si="20"/>
        <v>37862.929373055551</v>
      </c>
      <c r="R106" s="103">
        <f t="shared" si="20"/>
        <v>45858.581155455548</v>
      </c>
      <c r="S106" s="103">
        <f>SUM(S11:S105)</f>
        <v>55625.336504999999</v>
      </c>
      <c r="T106" s="103">
        <f>SUM(T11:T105)</f>
        <v>73857.341394999996</v>
      </c>
      <c r="U106" s="51">
        <f>U80+U103</f>
        <v>709481.12960810179</v>
      </c>
    </row>
    <row r="107" spans="1:21">
      <c r="A107" s="121"/>
      <c r="B107" s="121"/>
      <c r="C107" s="121"/>
      <c r="D107" s="121"/>
      <c r="E107" s="120"/>
      <c r="F107" s="120"/>
      <c r="G107" s="120"/>
      <c r="H107" s="120"/>
      <c r="I107" s="120"/>
      <c r="J107" s="120"/>
      <c r="K107" s="120"/>
      <c r="L107" s="120"/>
      <c r="M107" s="121"/>
      <c r="N107" s="120"/>
      <c r="O107" s="121"/>
      <c r="P107" s="121"/>
      <c r="Q107" s="121"/>
      <c r="R107" s="121"/>
      <c r="S107" s="121"/>
      <c r="T107" s="121"/>
      <c r="U107" s="121"/>
    </row>
    <row r="108" spans="1:21">
      <c r="A108" s="121"/>
      <c r="B108" s="121"/>
      <c r="C108" s="121"/>
      <c r="D108" s="121"/>
      <c r="E108" s="120"/>
      <c r="F108" s="120"/>
      <c r="G108" s="120"/>
      <c r="H108" s="120"/>
      <c r="I108" s="120"/>
      <c r="J108" s="122"/>
      <c r="K108" s="123"/>
      <c r="L108" s="122"/>
      <c r="M108" s="120"/>
      <c r="N108" s="121"/>
      <c r="O108" s="121"/>
      <c r="P108" s="121"/>
      <c r="Q108" s="121"/>
      <c r="R108" s="121"/>
      <c r="S108" s="121"/>
      <c r="T108" s="121"/>
      <c r="U108" s="121"/>
    </row>
    <row r="109" spans="1:21" ht="45">
      <c r="A109" s="121"/>
      <c r="B109" s="124" t="s">
        <v>183</v>
      </c>
      <c r="C109" s="162">
        <v>-96285.75</v>
      </c>
      <c r="D109" s="163"/>
      <c r="E109" s="163"/>
      <c r="F109" s="164"/>
      <c r="G109" s="120"/>
      <c r="H109" s="120"/>
      <c r="I109" s="120"/>
      <c r="J109" s="122"/>
      <c r="K109" s="123"/>
      <c r="L109" s="122"/>
      <c r="M109" s="120"/>
      <c r="N109" s="121"/>
      <c r="O109" s="121"/>
      <c r="P109" s="121"/>
      <c r="Q109" s="121"/>
      <c r="R109" s="121"/>
      <c r="S109" s="121"/>
      <c r="T109" s="121"/>
      <c r="U109" s="121"/>
    </row>
    <row r="110" spans="1:21" ht="30">
      <c r="A110" s="121"/>
      <c r="B110" s="27" t="s">
        <v>223</v>
      </c>
      <c r="C110" s="166">
        <v>696075.84</v>
      </c>
      <c r="D110" s="167"/>
      <c r="E110" s="167"/>
      <c r="F110" s="168"/>
      <c r="G110" s="120"/>
      <c r="H110" s="120"/>
      <c r="I110" s="120"/>
      <c r="J110" s="122"/>
      <c r="K110" s="123"/>
      <c r="L110" s="122"/>
      <c r="M110" s="120"/>
      <c r="N110" s="121"/>
      <c r="O110" s="121"/>
      <c r="P110" s="121"/>
      <c r="Q110" s="121"/>
      <c r="R110" s="121"/>
      <c r="S110" s="121"/>
      <c r="T110" s="121"/>
      <c r="U110" s="121"/>
    </row>
    <row r="111" spans="1:21" ht="32.25" customHeight="1">
      <c r="A111" s="121"/>
      <c r="B111" s="27" t="s">
        <v>224</v>
      </c>
      <c r="C111" s="166">
        <f>SUM(U106-U103)</f>
        <v>627253.08700810187</v>
      </c>
      <c r="D111" s="167"/>
      <c r="E111" s="167"/>
      <c r="F111" s="168"/>
      <c r="G111" s="120"/>
      <c r="H111" s="120"/>
      <c r="I111" s="120"/>
      <c r="J111" s="122"/>
      <c r="K111" s="123"/>
      <c r="L111" s="122"/>
      <c r="M111" s="120"/>
      <c r="N111" s="121"/>
      <c r="O111" s="121"/>
      <c r="P111" s="121"/>
      <c r="Q111" s="121"/>
      <c r="R111" s="121"/>
      <c r="S111" s="121"/>
      <c r="T111" s="121"/>
      <c r="U111" s="121"/>
    </row>
    <row r="112" spans="1:21" ht="35.25" customHeight="1">
      <c r="A112" s="121"/>
      <c r="B112" s="27" t="s">
        <v>225</v>
      </c>
      <c r="C112" s="166">
        <f>SUM(U103)</f>
        <v>82228.042599999972</v>
      </c>
      <c r="D112" s="167"/>
      <c r="E112" s="167"/>
      <c r="F112" s="168"/>
      <c r="G112" s="120"/>
      <c r="H112" s="120"/>
      <c r="I112" s="120"/>
      <c r="J112" s="122"/>
      <c r="K112" s="123"/>
      <c r="L112" s="122"/>
      <c r="M112" s="120"/>
      <c r="N112" s="121"/>
      <c r="O112" s="121"/>
      <c r="P112" s="121"/>
      <c r="Q112" s="121"/>
      <c r="R112" s="121"/>
      <c r="S112" s="121"/>
      <c r="T112" s="121"/>
      <c r="U112" s="121"/>
    </row>
    <row r="113" spans="1:21" ht="22.5" customHeight="1">
      <c r="A113" s="121"/>
      <c r="B113" s="138" t="s">
        <v>226</v>
      </c>
      <c r="C113" s="162">
        <v>764840.02</v>
      </c>
      <c r="D113" s="163"/>
      <c r="E113" s="163"/>
      <c r="F113" s="164"/>
      <c r="H113" s="125" t="s">
        <v>168</v>
      </c>
      <c r="I113" s="126"/>
      <c r="J113" s="126"/>
      <c r="K113" s="127"/>
      <c r="L113" s="128"/>
      <c r="M113" s="125"/>
      <c r="N113" s="125"/>
      <c r="O113" s="121"/>
      <c r="P113" s="121"/>
      <c r="Q113" s="121"/>
      <c r="R113" s="121"/>
      <c r="S113" s="121"/>
      <c r="T113" s="121"/>
      <c r="U113" s="121"/>
    </row>
    <row r="114" spans="1:21" ht="78.75">
      <c r="A114" s="121"/>
      <c r="B114" s="28" t="s">
        <v>227</v>
      </c>
      <c r="C114" s="169">
        <v>86211.199999999997</v>
      </c>
      <c r="D114" s="170"/>
      <c r="E114" s="170"/>
      <c r="F114" s="17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</row>
    <row r="115" spans="1:21" ht="45">
      <c r="A115" s="121"/>
      <c r="B115" s="129" t="s">
        <v>228</v>
      </c>
      <c r="C115" s="165">
        <f>SUM(U106-C110)+C109</f>
        <v>-82880.460391898174</v>
      </c>
      <c r="D115" s="163"/>
      <c r="E115" s="163"/>
      <c r="F115" s="164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</row>
    <row r="117" spans="1:21">
      <c r="J117" s="5"/>
      <c r="K117" s="6"/>
      <c r="L117" s="6"/>
      <c r="M117" s="4"/>
    </row>
    <row r="118" spans="1:21">
      <c r="G118" s="7"/>
      <c r="H118" s="7"/>
    </row>
    <row r="119" spans="1:21">
      <c r="G119" s="8"/>
    </row>
  </sheetData>
  <mergeCells count="12">
    <mergeCell ref="C109:F109"/>
    <mergeCell ref="C115:F115"/>
    <mergeCell ref="C110:F110"/>
    <mergeCell ref="C111:F111"/>
    <mergeCell ref="C112:F112"/>
    <mergeCell ref="C113:F113"/>
    <mergeCell ref="C114:F114"/>
    <mergeCell ref="B3:L3"/>
    <mergeCell ref="B4:L4"/>
    <mergeCell ref="B5:L5"/>
    <mergeCell ref="B6:L6"/>
    <mergeCell ref="W78:Z78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2016-03-14T12:18:03Z</dcterms:modified>
</cp:coreProperties>
</file>