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 47" sheetId="1" r:id="rId1"/>
  </sheets>
  <definedNames>
    <definedName name="_xlnm.Print_Area" localSheetId="0">'Окт. 47'!$A$1:$U$108</definedName>
  </definedNames>
  <calcPr calcId="124519"/>
</workbook>
</file>

<file path=xl/calcChain.xml><?xml version="1.0" encoding="utf-8"?>
<calcChain xmlns="http://schemas.openxmlformats.org/spreadsheetml/2006/main">
  <c r="H96" i="1"/>
  <c r="U95"/>
  <c r="R95"/>
  <c r="H95"/>
  <c r="U94" l="1"/>
  <c r="O94"/>
  <c r="H94"/>
  <c r="U93"/>
  <c r="R93"/>
  <c r="H93"/>
  <c r="U92"/>
  <c r="Q92"/>
  <c r="H92"/>
  <c r="T85" l="1"/>
  <c r="U91"/>
  <c r="T91"/>
  <c r="H91"/>
  <c r="U90"/>
  <c r="U96" s="1"/>
  <c r="T90"/>
  <c r="S90"/>
  <c r="P90"/>
  <c r="N90"/>
  <c r="H90"/>
  <c r="P59"/>
  <c r="T59"/>
  <c r="O59"/>
  <c r="U89"/>
  <c r="S89"/>
  <c r="H89"/>
  <c r="T87"/>
  <c r="T99"/>
  <c r="S99"/>
  <c r="T78"/>
  <c r="S78"/>
  <c r="T76"/>
  <c r="S76"/>
  <c r="T55"/>
  <c r="S55"/>
  <c r="T48"/>
  <c r="T40"/>
  <c r="S40"/>
  <c r="T39"/>
  <c r="S39"/>
  <c r="T38"/>
  <c r="S38"/>
  <c r="T37"/>
  <c r="S37"/>
  <c r="T35"/>
  <c r="S35"/>
  <c r="T34"/>
  <c r="S34"/>
  <c r="T31"/>
  <c r="S31"/>
  <c r="T28"/>
  <c r="S28"/>
  <c r="T15"/>
  <c r="S15"/>
  <c r="T13"/>
  <c r="S13"/>
  <c r="T12"/>
  <c r="S12"/>
  <c r="T11"/>
  <c r="S11"/>
  <c r="R99"/>
  <c r="Q99"/>
  <c r="P99"/>
  <c r="O99"/>
  <c r="N99"/>
  <c r="R78"/>
  <c r="Q78"/>
  <c r="P78"/>
  <c r="O78"/>
  <c r="N78"/>
  <c r="R76"/>
  <c r="Q76"/>
  <c r="P76"/>
  <c r="O76"/>
  <c r="N76"/>
  <c r="N75"/>
  <c r="Q66"/>
  <c r="P52"/>
  <c r="O52"/>
  <c r="O51"/>
  <c r="Q50"/>
  <c r="Q49"/>
  <c r="Q48"/>
  <c r="R47"/>
  <c r="R46"/>
  <c r="R45"/>
  <c r="R44"/>
  <c r="R43"/>
  <c r="R31"/>
  <c r="Q31"/>
  <c r="P31"/>
  <c r="O31"/>
  <c r="N31"/>
  <c r="R28"/>
  <c r="Q28"/>
  <c r="P28"/>
  <c r="O28"/>
  <c r="N28"/>
  <c r="R27"/>
  <c r="Q27"/>
  <c r="P27"/>
  <c r="O27"/>
  <c r="M27"/>
  <c r="N27"/>
  <c r="M26"/>
  <c r="R25"/>
  <c r="Q25"/>
  <c r="P25"/>
  <c r="O25"/>
  <c r="N25"/>
  <c r="R24"/>
  <c r="Q24"/>
  <c r="P24"/>
  <c r="O24"/>
  <c r="N24"/>
  <c r="N21"/>
  <c r="N20"/>
  <c r="N19"/>
  <c r="N18"/>
  <c r="N17"/>
  <c r="N16"/>
  <c r="R15"/>
  <c r="Q15"/>
  <c r="P15"/>
  <c r="P16"/>
  <c r="O15"/>
  <c r="N15"/>
  <c r="N14"/>
  <c r="R13"/>
  <c r="Q13"/>
  <c r="P13"/>
  <c r="O13"/>
  <c r="N13"/>
  <c r="R12"/>
  <c r="Q12"/>
  <c r="P12"/>
  <c r="O12"/>
  <c r="N12"/>
  <c r="R11"/>
  <c r="Q11"/>
  <c r="P11"/>
  <c r="O11"/>
  <c r="M12"/>
  <c r="M11"/>
  <c r="K11"/>
  <c r="N11"/>
  <c r="M78"/>
  <c r="M76"/>
  <c r="M65"/>
  <c r="M64"/>
  <c r="M63"/>
  <c r="M62"/>
  <c r="M61"/>
  <c r="L52"/>
  <c r="M50"/>
  <c r="M49"/>
  <c r="M48"/>
  <c r="M31"/>
  <c r="M28"/>
  <c r="F27"/>
  <c r="M25"/>
  <c r="M24"/>
  <c r="M15"/>
  <c r="M13"/>
  <c r="U88"/>
  <c r="L88"/>
  <c r="H88"/>
  <c r="L99"/>
  <c r="L78"/>
  <c r="L76"/>
  <c r="L55"/>
  <c r="L47"/>
  <c r="L46"/>
  <c r="L45"/>
  <c r="L44"/>
  <c r="L43"/>
  <c r="L40"/>
  <c r="L39"/>
  <c r="L38"/>
  <c r="L37"/>
  <c r="L35"/>
  <c r="L34"/>
  <c r="L31"/>
  <c r="L28"/>
  <c r="L15"/>
  <c r="L13"/>
  <c r="L12"/>
  <c r="L11"/>
  <c r="U87"/>
  <c r="K87"/>
  <c r="H87"/>
  <c r="K78"/>
  <c r="K76"/>
  <c r="K55"/>
  <c r="K40"/>
  <c r="K39"/>
  <c r="K38"/>
  <c r="K37"/>
  <c r="K35"/>
  <c r="K34"/>
  <c r="K31"/>
  <c r="K28"/>
  <c r="K15"/>
  <c r="K13"/>
  <c r="K12"/>
  <c r="F75"/>
  <c r="U75"/>
  <c r="H75"/>
  <c r="M99" l="1"/>
  <c r="K99"/>
  <c r="J99"/>
  <c r="J78"/>
  <c r="J76"/>
  <c r="J55"/>
  <c r="J52"/>
  <c r="J51"/>
  <c r="J48"/>
  <c r="J40"/>
  <c r="J39"/>
  <c r="J38"/>
  <c r="J37"/>
  <c r="J35"/>
  <c r="J34"/>
  <c r="J31"/>
  <c r="J28"/>
  <c r="J15"/>
  <c r="J13"/>
  <c r="J12"/>
  <c r="J11"/>
  <c r="U86"/>
  <c r="U85"/>
  <c r="I86"/>
  <c r="H86"/>
  <c r="I85"/>
  <c r="U73"/>
  <c r="U71"/>
  <c r="U69"/>
  <c r="U68"/>
  <c r="U66"/>
  <c r="U65"/>
  <c r="U64"/>
  <c r="U63"/>
  <c r="U62"/>
  <c r="U61"/>
  <c r="U60"/>
  <c r="U59"/>
  <c r="U57"/>
  <c r="U52"/>
  <c r="U51"/>
  <c r="U50"/>
  <c r="U49"/>
  <c r="U47"/>
  <c r="U46"/>
  <c r="U45"/>
  <c r="U44"/>
  <c r="U43"/>
  <c r="U30"/>
  <c r="U29"/>
  <c r="U27"/>
  <c r="U26"/>
  <c r="U25"/>
  <c r="U24"/>
  <c r="U21"/>
  <c r="U20"/>
  <c r="U19"/>
  <c r="U18"/>
  <c r="U17"/>
  <c r="U14"/>
  <c r="I40"/>
  <c r="U40" s="1"/>
  <c r="I36"/>
  <c r="U36" s="1"/>
  <c r="I35"/>
  <c r="U35" s="1"/>
  <c r="I34"/>
  <c r="U34" s="1"/>
  <c r="H85" l="1"/>
  <c r="H71"/>
  <c r="F38"/>
  <c r="I38" s="1"/>
  <c r="U38" s="1"/>
  <c r="F20"/>
  <c r="F16"/>
  <c r="I16" s="1"/>
  <c r="U16" s="1"/>
  <c r="F15"/>
  <c r="I15" s="1"/>
  <c r="U15" s="1"/>
  <c r="F47"/>
  <c r="H47" s="1"/>
  <c r="H69" l="1"/>
  <c r="F52"/>
  <c r="H36" l="1"/>
  <c r="H35"/>
  <c r="F14"/>
  <c r="F17"/>
  <c r="F18"/>
  <c r="F19"/>
  <c r="H57" l="1"/>
  <c r="H20"/>
  <c r="F99" l="1"/>
  <c r="E78"/>
  <c r="H81" s="1"/>
  <c r="F76"/>
  <c r="I76" s="1"/>
  <c r="U76" s="1"/>
  <c r="U77" s="1"/>
  <c r="H73"/>
  <c r="H70"/>
  <c r="H68"/>
  <c r="H66"/>
  <c r="F65"/>
  <c r="H65" s="1"/>
  <c r="F64"/>
  <c r="H64" s="1"/>
  <c r="F63"/>
  <c r="H63" s="1"/>
  <c r="F62"/>
  <c r="H62" s="1"/>
  <c r="F61"/>
  <c r="H61" s="1"/>
  <c r="H60"/>
  <c r="H59"/>
  <c r="F55"/>
  <c r="H52"/>
  <c r="H51"/>
  <c r="F50"/>
  <c r="H50" s="1"/>
  <c r="F49"/>
  <c r="H49" s="1"/>
  <c r="F48"/>
  <c r="I48" s="1"/>
  <c r="U48" s="1"/>
  <c r="U53" s="1"/>
  <c r="F46"/>
  <c r="H46" s="1"/>
  <c r="F45"/>
  <c r="H45" s="1"/>
  <c r="F44"/>
  <c r="H44" s="1"/>
  <c r="F43"/>
  <c r="H43" s="1"/>
  <c r="H40"/>
  <c r="F39"/>
  <c r="I39" s="1"/>
  <c r="U39" s="1"/>
  <c r="H38"/>
  <c r="F37"/>
  <c r="H34"/>
  <c r="F31"/>
  <c r="H30"/>
  <c r="H29"/>
  <c r="F28"/>
  <c r="I28" s="1"/>
  <c r="U28" s="1"/>
  <c r="H27"/>
  <c r="F26"/>
  <c r="H26" s="1"/>
  <c r="F25"/>
  <c r="H25" s="1"/>
  <c r="F24"/>
  <c r="H24" s="1"/>
  <c r="F21"/>
  <c r="H21" s="1"/>
  <c r="H18"/>
  <c r="H17"/>
  <c r="H14"/>
  <c r="E13"/>
  <c r="F13" s="1"/>
  <c r="I13" s="1"/>
  <c r="U13" s="1"/>
  <c r="F12"/>
  <c r="I12" s="1"/>
  <c r="U12" s="1"/>
  <c r="F11"/>
  <c r="I11" s="1"/>
  <c r="U11" s="1"/>
  <c r="H31" l="1"/>
  <c r="I31"/>
  <c r="U31" s="1"/>
  <c r="H37"/>
  <c r="I37"/>
  <c r="U37" s="1"/>
  <c r="U41" s="1"/>
  <c r="U22"/>
  <c r="H55"/>
  <c r="I55"/>
  <c r="U55" s="1"/>
  <c r="U74" s="1"/>
  <c r="U32"/>
  <c r="H39"/>
  <c r="H76"/>
  <c r="H28"/>
  <c r="H32" s="1"/>
  <c r="H48"/>
  <c r="H53" s="1"/>
  <c r="H11"/>
  <c r="H12"/>
  <c r="H16"/>
  <c r="H13"/>
  <c r="H15"/>
  <c r="H77"/>
  <c r="F78"/>
  <c r="I78" s="1"/>
  <c r="U78" s="1"/>
  <c r="U79" s="1"/>
  <c r="H19"/>
  <c r="H41"/>
  <c r="H74"/>
  <c r="U80" l="1"/>
  <c r="U99" s="1"/>
  <c r="H78"/>
  <c r="H79" s="1"/>
  <c r="C105"/>
  <c r="H22"/>
  <c r="I99" l="1"/>
  <c r="H80"/>
  <c r="H82" s="1"/>
  <c r="C104" l="1"/>
  <c r="C108"/>
  <c r="H98" l="1"/>
  <c r="G99" s="1"/>
  <c r="H99" s="1"/>
</calcChain>
</file>

<file path=xl/sharedStrings.xml><?xml version="1.0" encoding="utf-8"?>
<sst xmlns="http://schemas.openxmlformats.org/spreadsheetml/2006/main" count="291" uniqueCount="224">
  <si>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</si>
  <si>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</si>
  <si>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</si>
  <si>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</si>
  <si>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</si>
  <si>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</si>
  <si>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</si>
  <si>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</si>
  <si>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</si>
  <si>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</si>
  <si>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</si>
  <si>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</si>
  <si>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</si>
  <si>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</si>
  <si>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</si>
  <si>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</si>
  <si>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</si>
  <si>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</si>
  <si>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</si>
  <si>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</si>
  <si>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</si>
  <si>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</si>
  <si>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</si>
  <si>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</si>
  <si>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</si>
  <si>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</si>
  <si>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</si>
  <si>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</si>
  <si>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</si>
  <si>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</si>
  <si>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</si>
  <si>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</si>
  <si>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</si>
  <si>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51-020</t>
  </si>
  <si>
    <t>Влажная протирка подоконников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</si>
  <si>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</si>
  <si>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</si>
  <si>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</si>
  <si>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</si>
  <si>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</si>
  <si>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</si>
  <si>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</si>
  <si>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</si>
  <si>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</si>
  <si>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</si>
  <si>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</si>
  <si>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</si>
  <si>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</si>
  <si>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</si>
  <si>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</si>
  <si>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</si>
  <si>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</si>
  <si>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</si>
  <si>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</si>
  <si>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</si>
  <si>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</si>
  <si>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</si>
  <si>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</si>
  <si>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</si>
  <si>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</si>
  <si>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</si>
  <si>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</si>
  <si>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</si>
  <si>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</si>
  <si>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</si>
  <si>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</si>
  <si>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</si>
  <si>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</si>
  <si>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</si>
  <si>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</si>
  <si>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</si>
  <si>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</si>
  <si>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</si>
  <si>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</si>
  <si>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</si>
  <si>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</si>
  <si>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</si>
  <si>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</si>
  <si>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</si>
  <si>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</si>
  <si>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</si>
  <si>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</si>
  <si>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</si>
  <si>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</si>
  <si>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</si>
  <si>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</si>
  <si>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</si>
  <si>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</si>
  <si>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</si>
  <si>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</si>
  <si>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</si>
  <si>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</si>
  <si>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</si>
  <si>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</si>
  <si>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</si>
  <si>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</si>
  <si>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</si>
  <si>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</si>
  <si>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</si>
  <si>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</si>
  <si>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</si>
  <si>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</si>
  <si>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</si>
  <si>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</si>
  <si>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</si>
  <si>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</si>
  <si>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</si>
  <si>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</si>
  <si>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</si>
  <si>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</si>
  <si>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</si>
  <si>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</si>
  <si>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</si>
  <si>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</si>
  <si>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</si>
  <si>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</si>
  <si>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</si>
  <si>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</si>
  <si>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</si>
  <si>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</si>
  <si>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</si>
  <si>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</si>
  <si>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</si>
  <si>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</si>
  <si>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</si>
  <si>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</si>
  <si>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</si>
  <si>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</si>
  <si>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</si>
  <si>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</si>
  <si>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</si>
  <si>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</si>
  <si>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</si>
  <si>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</si>
  <si>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</si>
  <si>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</si>
  <si>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</si>
  <si>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</si>
  <si>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</si>
  <si>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</si>
  <si>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</si>
  <si>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</si>
  <si>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</si>
  <si>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</si>
  <si>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</si>
  <si>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</si>
  <si>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</si>
  <si>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</si>
  <si>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</si>
  <si>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ТЭР 51-022</t>
  </si>
  <si>
    <t>Влажная протирка шкафов для щитов и слаботочн. устройств</t>
  </si>
  <si>
    <t>3 раза в год</t>
  </si>
  <si>
    <t xml:space="preserve"> Очистка края кровли от слежавшегося снега со сбрасыванием сосулек (10% от S кровли) и козырьки</t>
  </si>
  <si>
    <t>Очистка чердака, подвала от мусора</t>
  </si>
  <si>
    <t>Сдвигание снега в дни снегопада ( крыльца, тротуары</t>
  </si>
  <si>
    <t>30 раз за сезон</t>
  </si>
  <si>
    <t>Вывоз снега с придомовой территории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</si>
  <si>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</si>
  <si>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</si>
  <si>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</si>
  <si>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</si>
  <si>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</si>
  <si>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ТЭР 3-7-1в</t>
  </si>
  <si>
    <t>Осмотр шиферной  кровли</t>
  </si>
  <si>
    <t>ТЭР 42-003</t>
  </si>
  <si>
    <t>Осмотр деревянных конструкций стропил</t>
  </si>
  <si>
    <t>100 м3</t>
  </si>
  <si>
    <t>1 раз в месяц</t>
  </si>
  <si>
    <t>1 раз в два месяца</t>
  </si>
  <si>
    <t>35 раз за сезон</t>
  </si>
  <si>
    <t>Замена ламп ДРЛ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</si>
  <si>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</si>
  <si>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</si>
  <si>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</si>
  <si>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</si>
  <si>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</si>
  <si>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</si>
  <si>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</si>
  <si>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</si>
  <si>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</si>
  <si>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</si>
  <si>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</si>
  <si>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</si>
  <si>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</si>
  <si>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Смена арматуры - вентилей и клапанов обратных муфтовых диаметром до 20 мм</t>
  </si>
  <si>
    <t>1 шт</t>
  </si>
  <si>
    <t>ТЭР 32-027</t>
  </si>
  <si>
    <t>ТЭР 33-023</t>
  </si>
  <si>
    <t>Смена светодиодных светильников  ( со стоимостью светильника)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</si>
  <si>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Октябрьская, 47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</si>
  <si>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Стоимость (руб.)</t>
  </si>
  <si>
    <t>3 этажа, 2 подъезда</t>
  </si>
  <si>
    <t>договор</t>
  </si>
  <si>
    <t>ТО внутридомового газ.оборудования</t>
  </si>
  <si>
    <t>10 м</t>
  </si>
  <si>
    <t>каиялькуляц</t>
  </si>
  <si>
    <t>Работа автовышки</t>
  </si>
  <si>
    <t>маш/час</t>
  </si>
  <si>
    <t>Ремонт отдельных мест покрытия из асбоцементных листов обыкновенного профиля</t>
  </si>
  <si>
    <t>10 м2</t>
  </si>
  <si>
    <t>ТЭР 17-006</t>
  </si>
  <si>
    <t>Начислено за содержание и текущий ремонт за 2015  г.</t>
  </si>
  <si>
    <t>Выполнено работ по содержанию за        2015 г.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</si>
  <si>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</si>
  <si>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</si>
  <si>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</si>
  <si>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</si>
  <si>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Ремонт групповых щитков на лестничной клетке без ремонта автоматов</t>
  </si>
  <si>
    <t>ТЭР 33-030</t>
  </si>
  <si>
    <t>место</t>
  </si>
  <si>
    <t>ТЭР 32-098</t>
  </si>
  <si>
    <t>Ремонт внутренних трубопроводов и стояков д=до 50 мм (хомуты)</t>
  </si>
  <si>
    <t>Внеплановый осмотр электросетей, арматуры и электрооборудования на лестничных клетках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</si>
  <si>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</si>
  <si>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</si>
  <si>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прим.2-2-1-2-7</t>
  </si>
  <si>
    <t>Смена дверных приборов /замки навесные)</t>
  </si>
  <si>
    <t>ТЭР 15-051</t>
  </si>
  <si>
    <t>11-01-002-9</t>
  </si>
  <si>
    <t>Устройство подстилающих слоев бетонных</t>
  </si>
  <si>
    <t>1 мЗ</t>
  </si>
  <si>
    <t>Ремонт дверных коробок в каменных стенах выправка, укрепление, пристрожка четвертей</t>
  </si>
  <si>
    <t>коробка</t>
  </si>
  <si>
    <t>ТЭР 15-049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</si>
</sst>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3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12" borderId="3" xfId="0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12"/>
  <sheetViews>
    <sheetView tabSelected="1" view="pageBreakPreview" zoomScaleNormal="75" zoomScaleSheetLayoutView="100" workbookViewId="0">
      <pane ySplit="7" topLeftCell="A93" activePane="bottomLeft" state="frozen"/>
      <selection activeCell="B1" sqref="B1"/>
      <selection pane="bottomLeft" activeCell="U98" sqref="U98"/>
    </sheetView>
  </sheetViews>
  <sheetFormatPr defaultRowHeight="12.75"/>
  <cols>
    <col min="1" max="1" width="12.42578125" customWidth="1"/>
    <col min="2" max="2" width="41.425781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42578125" customWidth="1"/>
    <col min="10" max="10" width="10.28515625" customWidth="1"/>
    <col min="11" max="11" width="10" customWidth="1"/>
    <col min="12" max="13" width="9.7109375" customWidth="1"/>
    <col min="14" max="14" width="9.5703125" customWidth="1"/>
    <col min="15" max="15" width="9.7109375" customWidth="1"/>
    <col min="16" max="18" width="9.85546875" customWidth="1"/>
    <col min="19" max="19" width="9.42578125" customWidth="1"/>
    <col min="20" max="20" width="9.85546875" customWidth="1"/>
    <col min="21" max="21" width="12.7109375" customWidth="1"/>
  </cols>
  <sheetData>
    <row r="1" spans="1:21" ht="14.25" customHeight="1">
      <c r="A1" s="10"/>
    </row>
    <row r="3" spans="1:21" ht="18">
      <c r="A3" s="132"/>
      <c r="B3" s="147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75"/>
      <c r="N3" s="75"/>
      <c r="O3" s="75"/>
      <c r="P3" s="75"/>
      <c r="Q3" s="75"/>
      <c r="R3" s="75"/>
      <c r="S3" s="75"/>
      <c r="T3" s="75"/>
      <c r="U3" s="75"/>
    </row>
    <row r="4" spans="1:21" ht="36.75" customHeight="1">
      <c r="A4" s="75"/>
      <c r="B4" s="148" t="s">
        <v>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75"/>
      <c r="N4" s="75"/>
      <c r="O4" s="75"/>
      <c r="P4" s="75"/>
      <c r="Q4" s="75"/>
      <c r="R4" s="75"/>
      <c r="S4" s="75"/>
      <c r="T4" s="75"/>
      <c r="U4" s="75"/>
    </row>
    <row r="5" spans="1:21" ht="18">
      <c r="A5" s="75"/>
      <c r="B5" s="148" t="s">
        <v>189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75"/>
      <c r="N5" s="75"/>
      <c r="O5" s="75"/>
      <c r="P5" s="75"/>
      <c r="Q5" s="75"/>
      <c r="R5" s="75"/>
      <c r="S5" s="75"/>
      <c r="T5" s="75"/>
      <c r="U5" s="75"/>
    </row>
    <row r="6" spans="1:21" ht="14.25">
      <c r="A6" s="75"/>
      <c r="B6" s="149" t="s">
        <v>191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75"/>
      <c r="N6" s="75"/>
      <c r="O6" s="75"/>
      <c r="P6" s="75"/>
      <c r="Q6" s="75"/>
      <c r="R6" s="75"/>
      <c r="S6" s="75"/>
      <c r="T6" s="75"/>
      <c r="U6" s="75"/>
    </row>
    <row r="7" spans="1:21" ht="54.75" customHeight="1">
      <c r="A7" s="28" t="s">
        <v>2</v>
      </c>
      <c r="B7" s="28" t="s">
        <v>3</v>
      </c>
      <c r="C7" s="28" t="s">
        <v>4</v>
      </c>
      <c r="D7" s="28" t="s">
        <v>5</v>
      </c>
      <c r="E7" s="28" t="s">
        <v>6</v>
      </c>
      <c r="F7" s="28" t="s">
        <v>7</v>
      </c>
      <c r="G7" s="28" t="s">
        <v>8</v>
      </c>
      <c r="H7" s="29" t="s">
        <v>9</v>
      </c>
      <c r="I7" s="27" t="s">
        <v>171</v>
      </c>
      <c r="J7" s="27" t="s">
        <v>172</v>
      </c>
      <c r="K7" s="27" t="s">
        <v>173</v>
      </c>
      <c r="L7" s="27" t="s">
        <v>174</v>
      </c>
      <c r="M7" s="27" t="s">
        <v>175</v>
      </c>
      <c r="N7" s="27" t="s">
        <v>176</v>
      </c>
      <c r="O7" s="27" t="s">
        <v>177</v>
      </c>
      <c r="P7" s="27" t="s">
        <v>178</v>
      </c>
      <c r="Q7" s="27" t="s">
        <v>179</v>
      </c>
      <c r="R7" s="27" t="s">
        <v>180</v>
      </c>
      <c r="S7" s="27" t="s">
        <v>181</v>
      </c>
      <c r="T7" s="27" t="s">
        <v>182</v>
      </c>
      <c r="U7" s="27" t="s">
        <v>190</v>
      </c>
    </row>
    <row r="8" spans="1:21">
      <c r="A8" s="30">
        <v>1</v>
      </c>
      <c r="B8" s="7">
        <v>2</v>
      </c>
      <c r="C8" s="30">
        <v>3</v>
      </c>
      <c r="D8" s="7">
        <v>4</v>
      </c>
      <c r="E8" s="7">
        <v>5</v>
      </c>
      <c r="F8" s="30">
        <v>6</v>
      </c>
      <c r="G8" s="30">
        <v>7</v>
      </c>
      <c r="H8" s="31">
        <v>8</v>
      </c>
      <c r="I8" s="32">
        <v>10</v>
      </c>
      <c r="J8" s="32">
        <v>11</v>
      </c>
      <c r="K8" s="32">
        <v>12</v>
      </c>
      <c r="L8" s="32">
        <v>13</v>
      </c>
      <c r="M8" s="33">
        <v>14</v>
      </c>
      <c r="N8" s="32">
        <v>15</v>
      </c>
      <c r="O8" s="32">
        <v>16</v>
      </c>
      <c r="P8" s="32">
        <v>17</v>
      </c>
      <c r="Q8" s="32">
        <v>18</v>
      </c>
      <c r="R8" s="32">
        <v>19</v>
      </c>
      <c r="S8" s="32">
        <v>20</v>
      </c>
      <c r="T8" s="32">
        <v>21</v>
      </c>
      <c r="U8" s="32">
        <v>22</v>
      </c>
    </row>
    <row r="9" spans="1:21" ht="38.25">
      <c r="A9" s="30"/>
      <c r="B9" s="9" t="s">
        <v>10</v>
      </c>
      <c r="C9" s="30"/>
      <c r="D9" s="11"/>
      <c r="E9" s="11"/>
      <c r="F9" s="30"/>
      <c r="G9" s="30"/>
      <c r="H9" s="34"/>
      <c r="I9" s="35"/>
      <c r="J9" s="35"/>
      <c r="K9" s="35"/>
      <c r="L9" s="35"/>
      <c r="M9" s="36"/>
      <c r="N9" s="37"/>
      <c r="O9" s="37"/>
      <c r="P9" s="37"/>
      <c r="Q9" s="37"/>
      <c r="R9" s="37"/>
      <c r="S9" s="37"/>
      <c r="T9" s="37"/>
      <c r="U9" s="37"/>
    </row>
    <row r="10" spans="1:21">
      <c r="A10" s="30"/>
      <c r="B10" s="9" t="s">
        <v>11</v>
      </c>
      <c r="C10" s="30"/>
      <c r="D10" s="11"/>
      <c r="E10" s="11"/>
      <c r="F10" s="30"/>
      <c r="G10" s="30"/>
      <c r="H10" s="34"/>
      <c r="I10" s="35"/>
      <c r="J10" s="35"/>
      <c r="K10" s="35"/>
      <c r="L10" s="35"/>
      <c r="M10" s="36"/>
      <c r="N10" s="37"/>
      <c r="O10" s="37"/>
      <c r="P10" s="37"/>
      <c r="Q10" s="37"/>
      <c r="R10" s="37"/>
      <c r="S10" s="37"/>
      <c r="T10" s="37"/>
      <c r="U10" s="37"/>
    </row>
    <row r="11" spans="1:21" ht="25.5">
      <c r="A11" s="30" t="s">
        <v>12</v>
      </c>
      <c r="B11" s="11" t="s">
        <v>13</v>
      </c>
      <c r="C11" s="30" t="s">
        <v>14</v>
      </c>
      <c r="D11" s="11" t="s">
        <v>15</v>
      </c>
      <c r="E11" s="38">
        <v>37.6</v>
      </c>
      <c r="F11" s="39">
        <f>SUM(E11*156/100)</f>
        <v>58.656000000000006</v>
      </c>
      <c r="G11" s="39">
        <v>187.48</v>
      </c>
      <c r="H11" s="40">
        <f t="shared" ref="H11:H21" si="0">SUM(F11*G11/1000)</f>
        <v>10.99682688</v>
      </c>
      <c r="I11" s="41">
        <f>F11/12*G11</f>
        <v>916.40224000000012</v>
      </c>
      <c r="J11" s="41">
        <f>F11/12*G11</f>
        <v>916.40224000000012</v>
      </c>
      <c r="K11" s="41">
        <f>F11/12*G11</f>
        <v>916.40224000000012</v>
      </c>
      <c r="L11" s="41">
        <f>F11/12*G11</f>
        <v>916.40224000000012</v>
      </c>
      <c r="M11" s="41">
        <f>F11/12*G11</f>
        <v>916.40224000000012</v>
      </c>
      <c r="N11" s="41">
        <f>F11/12*G11</f>
        <v>916.40224000000012</v>
      </c>
      <c r="O11" s="41">
        <f>F11/12*G11</f>
        <v>916.40224000000012</v>
      </c>
      <c r="P11" s="41">
        <f>F11/12*G11</f>
        <v>916.40224000000012</v>
      </c>
      <c r="Q11" s="41">
        <f>F11/12*G11</f>
        <v>916.40224000000012</v>
      </c>
      <c r="R11" s="41">
        <f>F11/12*G11</f>
        <v>916.40224000000012</v>
      </c>
      <c r="S11" s="41">
        <f>F11/12*G11</f>
        <v>916.40224000000012</v>
      </c>
      <c r="T11" s="41">
        <f>F11/12*G11</f>
        <v>916.40224000000012</v>
      </c>
      <c r="U11" s="41">
        <f t="shared" ref="U11:U21" si="1">SUM(I11:T11)</f>
        <v>10996.826880000001</v>
      </c>
    </row>
    <row r="12" spans="1:21" ht="25.5">
      <c r="A12" s="30" t="s">
        <v>12</v>
      </c>
      <c r="B12" s="11" t="s">
        <v>16</v>
      </c>
      <c r="C12" s="30" t="s">
        <v>14</v>
      </c>
      <c r="D12" s="11" t="s">
        <v>17</v>
      </c>
      <c r="E12" s="38">
        <v>75.2</v>
      </c>
      <c r="F12" s="39">
        <f>SUM(E12*104/100)</f>
        <v>78.207999999999998</v>
      </c>
      <c r="G12" s="39">
        <v>187.48</v>
      </c>
      <c r="H12" s="40">
        <f t="shared" si="0"/>
        <v>14.662435839999999</v>
      </c>
      <c r="I12" s="41">
        <f>F12/12*G12</f>
        <v>1221.8696533333332</v>
      </c>
      <c r="J12" s="41">
        <f>F12/12*G12</f>
        <v>1221.8696533333332</v>
      </c>
      <c r="K12" s="41">
        <f>F12/12*G12</f>
        <v>1221.8696533333332</v>
      </c>
      <c r="L12" s="41">
        <f>F12/12*G12</f>
        <v>1221.8696533333332</v>
      </c>
      <c r="M12" s="41">
        <f>F12/12*G12</f>
        <v>1221.8696533333332</v>
      </c>
      <c r="N12" s="41">
        <f>F12/12*G12</f>
        <v>1221.8696533333332</v>
      </c>
      <c r="O12" s="41">
        <f>F12/12*G12</f>
        <v>1221.8696533333332</v>
      </c>
      <c r="P12" s="41">
        <f>F12/12*G12</f>
        <v>1221.8696533333332</v>
      </c>
      <c r="Q12" s="41">
        <f>F12/12*G12</f>
        <v>1221.8696533333332</v>
      </c>
      <c r="R12" s="41">
        <f>F12/12*G12</f>
        <v>1221.8696533333332</v>
      </c>
      <c r="S12" s="41">
        <f>F12/12*G12</f>
        <v>1221.8696533333332</v>
      </c>
      <c r="T12" s="41">
        <f>F12/12*G12</f>
        <v>1221.8696533333332</v>
      </c>
      <c r="U12" s="41">
        <f t="shared" si="1"/>
        <v>14662.435839999998</v>
      </c>
    </row>
    <row r="13" spans="1:21" ht="25.5">
      <c r="A13" s="30" t="s">
        <v>18</v>
      </c>
      <c r="B13" s="11" t="s">
        <v>19</v>
      </c>
      <c r="C13" s="30" t="s">
        <v>14</v>
      </c>
      <c r="D13" s="11" t="s">
        <v>20</v>
      </c>
      <c r="E13" s="38">
        <f>SUM(E11+E12)</f>
        <v>112.80000000000001</v>
      </c>
      <c r="F13" s="39">
        <f>SUM(E13*24/100)</f>
        <v>27.072000000000003</v>
      </c>
      <c r="G13" s="39">
        <v>539.30999999999995</v>
      </c>
      <c r="H13" s="40">
        <f t="shared" si="0"/>
        <v>14.600200320000001</v>
      </c>
      <c r="I13" s="41">
        <f>F13/12*G13</f>
        <v>1216.68336</v>
      </c>
      <c r="J13" s="41">
        <f>F13/12*G13</f>
        <v>1216.68336</v>
      </c>
      <c r="K13" s="41">
        <f>F13/12*G13</f>
        <v>1216.68336</v>
      </c>
      <c r="L13" s="41">
        <f>F13/12*G13</f>
        <v>1216.68336</v>
      </c>
      <c r="M13" s="41">
        <f>F13/12*G13</f>
        <v>1216.68336</v>
      </c>
      <c r="N13" s="41">
        <f>F13/12*G13</f>
        <v>1216.68336</v>
      </c>
      <c r="O13" s="41">
        <f>F13/12*G13</f>
        <v>1216.68336</v>
      </c>
      <c r="P13" s="41">
        <f>F13/12*G13</f>
        <v>1216.68336</v>
      </c>
      <c r="Q13" s="41">
        <f>F13/12*G13</f>
        <v>1216.68336</v>
      </c>
      <c r="R13" s="41">
        <f>F13/12*G13</f>
        <v>1216.68336</v>
      </c>
      <c r="S13" s="41">
        <f>F13/12*G13</f>
        <v>1216.68336</v>
      </c>
      <c r="T13" s="41">
        <f>F13/12*G13</f>
        <v>1216.68336</v>
      </c>
      <c r="U13" s="41">
        <f t="shared" si="1"/>
        <v>14600.200319999996</v>
      </c>
    </row>
    <row r="14" spans="1:21">
      <c r="A14" s="30" t="s">
        <v>21</v>
      </c>
      <c r="B14" s="11" t="s">
        <v>22</v>
      </c>
      <c r="C14" s="30" t="s">
        <v>23</v>
      </c>
      <c r="D14" s="11" t="s">
        <v>147</v>
      </c>
      <c r="E14" s="38">
        <v>15</v>
      </c>
      <c r="F14" s="39">
        <f>SUM(E14/10)</f>
        <v>1.5</v>
      </c>
      <c r="G14" s="39">
        <v>160.22999999999999</v>
      </c>
      <c r="H14" s="40">
        <f t="shared" si="0"/>
        <v>0.24034499999999998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f>F14*G14</f>
        <v>240.34499999999997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f t="shared" si="1"/>
        <v>240.34499999999997</v>
      </c>
    </row>
    <row r="15" spans="1:21">
      <c r="A15" s="30" t="s">
        <v>24</v>
      </c>
      <c r="B15" s="11" t="s">
        <v>25</v>
      </c>
      <c r="C15" s="30" t="s">
        <v>14</v>
      </c>
      <c r="D15" s="11" t="s">
        <v>167</v>
      </c>
      <c r="E15" s="38">
        <v>8.76</v>
      </c>
      <c r="F15" s="39">
        <f>SUM(E15*12/100)</f>
        <v>1.0512000000000001</v>
      </c>
      <c r="G15" s="39">
        <v>205.16</v>
      </c>
      <c r="H15" s="40">
        <f t="shared" si="0"/>
        <v>0.215664192</v>
      </c>
      <c r="I15" s="41">
        <f>F15/12*G15</f>
        <v>17.972016000000004</v>
      </c>
      <c r="J15" s="41">
        <f>F15/12*G15</f>
        <v>17.972016000000004</v>
      </c>
      <c r="K15" s="41">
        <f>F15/12*G15</f>
        <v>17.972016000000004</v>
      </c>
      <c r="L15" s="41">
        <f>F15/12*G15</f>
        <v>17.972016000000004</v>
      </c>
      <c r="M15" s="41">
        <f>F15/12*G15</f>
        <v>17.972016000000004</v>
      </c>
      <c r="N15" s="41">
        <f>F15/12*G15</f>
        <v>17.972016000000004</v>
      </c>
      <c r="O15" s="41">
        <f>F15/12*G15</f>
        <v>17.972016000000004</v>
      </c>
      <c r="P15" s="41">
        <f>F15/12*G15</f>
        <v>17.972016000000004</v>
      </c>
      <c r="Q15" s="41">
        <f>F15/12*G15</f>
        <v>17.972016000000004</v>
      </c>
      <c r="R15" s="41">
        <f>F15/12*G15</f>
        <v>17.972016000000004</v>
      </c>
      <c r="S15" s="41">
        <f>F15/12*G15</f>
        <v>17.972016000000004</v>
      </c>
      <c r="T15" s="41">
        <f>F15/12*G15</f>
        <v>17.972016000000004</v>
      </c>
      <c r="U15" s="41">
        <f t="shared" si="1"/>
        <v>215.66419199999999</v>
      </c>
    </row>
    <row r="16" spans="1:21">
      <c r="A16" s="30" t="s">
        <v>26</v>
      </c>
      <c r="B16" s="11" t="s">
        <v>27</v>
      </c>
      <c r="C16" s="30" t="s">
        <v>14</v>
      </c>
      <c r="D16" s="11" t="s">
        <v>168</v>
      </c>
      <c r="E16" s="38">
        <v>1.08</v>
      </c>
      <c r="F16" s="39">
        <f>SUM(E16*6/100)</f>
        <v>6.480000000000001E-2</v>
      </c>
      <c r="G16" s="39">
        <v>203.5</v>
      </c>
      <c r="H16" s="40">
        <f t="shared" si="0"/>
        <v>1.3186800000000002E-2</v>
      </c>
      <c r="I16" s="41">
        <f>F16/6*G16</f>
        <v>2.1978000000000004</v>
      </c>
      <c r="J16" s="41">
        <v>0</v>
      </c>
      <c r="K16" s="41">
        <v>0</v>
      </c>
      <c r="L16" s="41">
        <v>0</v>
      </c>
      <c r="M16" s="41">
        <v>0</v>
      </c>
      <c r="N16" s="41">
        <f t="shared" ref="N16:N21" si="2">F16*G16</f>
        <v>13.186800000000002</v>
      </c>
      <c r="O16" s="41">
        <v>0</v>
      </c>
      <c r="P16" s="41">
        <f>0</f>
        <v>0</v>
      </c>
      <c r="Q16" s="41">
        <v>0</v>
      </c>
      <c r="R16" s="41">
        <v>0</v>
      </c>
      <c r="S16" s="41">
        <v>0</v>
      </c>
      <c r="T16" s="41">
        <v>0</v>
      </c>
      <c r="U16" s="41">
        <f t="shared" si="1"/>
        <v>15.384600000000002</v>
      </c>
    </row>
    <row r="17" spans="1:21">
      <c r="A17" s="30" t="s">
        <v>28</v>
      </c>
      <c r="B17" s="11" t="s">
        <v>29</v>
      </c>
      <c r="C17" s="30" t="s">
        <v>30</v>
      </c>
      <c r="D17" s="11" t="s">
        <v>147</v>
      </c>
      <c r="E17" s="38">
        <v>107.1</v>
      </c>
      <c r="F17" s="39">
        <f>SUM(E17/100)</f>
        <v>1.071</v>
      </c>
      <c r="G17" s="39">
        <v>253.54</v>
      </c>
      <c r="H17" s="40">
        <f t="shared" si="0"/>
        <v>0.27154133999999996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f t="shared" si="2"/>
        <v>271.54133999999999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f t="shared" si="1"/>
        <v>271.54133999999999</v>
      </c>
    </row>
    <row r="18" spans="1:21">
      <c r="A18" s="30" t="s">
        <v>31</v>
      </c>
      <c r="B18" s="11" t="s">
        <v>32</v>
      </c>
      <c r="C18" s="30" t="s">
        <v>30</v>
      </c>
      <c r="D18" s="11" t="s">
        <v>147</v>
      </c>
      <c r="E18" s="43">
        <v>14.5</v>
      </c>
      <c r="F18" s="39">
        <f>SUM(E18/100)</f>
        <v>0.14499999999999999</v>
      </c>
      <c r="G18" s="39">
        <v>41.7</v>
      </c>
      <c r="H18" s="40">
        <f t="shared" si="0"/>
        <v>6.0464999999999998E-3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f t="shared" si="2"/>
        <v>6.0465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f t="shared" si="1"/>
        <v>6.0465</v>
      </c>
    </row>
    <row r="19" spans="1:21">
      <c r="A19" s="30" t="s">
        <v>33</v>
      </c>
      <c r="B19" s="11" t="s">
        <v>34</v>
      </c>
      <c r="C19" s="30" t="s">
        <v>30</v>
      </c>
      <c r="D19" s="11" t="s">
        <v>148</v>
      </c>
      <c r="E19" s="38">
        <v>6</v>
      </c>
      <c r="F19" s="39">
        <f>E19/100</f>
        <v>0.06</v>
      </c>
      <c r="G19" s="39">
        <v>366.97</v>
      </c>
      <c r="H19" s="40">
        <f t="shared" si="0"/>
        <v>2.2018200000000002E-2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f t="shared" si="2"/>
        <v>22.0182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f t="shared" si="1"/>
        <v>22.0182</v>
      </c>
    </row>
    <row r="20" spans="1:21" ht="25.5">
      <c r="A20" s="30" t="s">
        <v>149</v>
      </c>
      <c r="B20" s="11" t="s">
        <v>150</v>
      </c>
      <c r="C20" s="30" t="s">
        <v>30</v>
      </c>
      <c r="D20" s="11" t="s">
        <v>49</v>
      </c>
      <c r="E20" s="38">
        <v>5.7</v>
      </c>
      <c r="F20" s="39">
        <f>E20/100</f>
        <v>5.7000000000000002E-2</v>
      </c>
      <c r="G20" s="39">
        <v>203.5</v>
      </c>
      <c r="H20" s="40">
        <f>G20*F20/1000</f>
        <v>1.15995E-2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f t="shared" si="2"/>
        <v>11.599500000000001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f t="shared" si="1"/>
        <v>11.599500000000001</v>
      </c>
    </row>
    <row r="21" spans="1:21">
      <c r="A21" s="30" t="s">
        <v>35</v>
      </c>
      <c r="B21" s="11" t="s">
        <v>36</v>
      </c>
      <c r="C21" s="30" t="s">
        <v>30</v>
      </c>
      <c r="D21" s="11" t="s">
        <v>147</v>
      </c>
      <c r="E21" s="38">
        <v>2.5499999999999998</v>
      </c>
      <c r="F21" s="39">
        <f>SUM(E21/100)</f>
        <v>2.5499999999999998E-2</v>
      </c>
      <c r="G21" s="39">
        <v>408.4</v>
      </c>
      <c r="H21" s="40">
        <f t="shared" si="0"/>
        <v>1.0414199999999998E-2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f t="shared" si="2"/>
        <v>10.414199999999999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f t="shared" si="1"/>
        <v>10.414199999999999</v>
      </c>
    </row>
    <row r="22" spans="1:21" s="20" customFormat="1">
      <c r="A22" s="44"/>
      <c r="B22" s="21" t="s">
        <v>37</v>
      </c>
      <c r="C22" s="45"/>
      <c r="D22" s="21"/>
      <c r="E22" s="46"/>
      <c r="F22" s="47"/>
      <c r="G22" s="47"/>
      <c r="H22" s="48">
        <f>SUM(H11:H21)</f>
        <v>41.050278771999992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>
        <f>SUM(U11:U21)</f>
        <v>41052.476571999985</v>
      </c>
    </row>
    <row r="23" spans="1:21">
      <c r="A23" s="30"/>
      <c r="B23" s="13" t="s">
        <v>38</v>
      </c>
      <c r="C23" s="30"/>
      <c r="D23" s="11"/>
      <c r="E23" s="38"/>
      <c r="F23" s="39"/>
      <c r="G23" s="39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 ht="25.5" customHeight="1">
      <c r="A24" s="30" t="s">
        <v>39</v>
      </c>
      <c r="B24" s="11" t="s">
        <v>40</v>
      </c>
      <c r="C24" s="30" t="s">
        <v>41</v>
      </c>
      <c r="D24" s="11" t="s">
        <v>42</v>
      </c>
      <c r="E24" s="39">
        <v>266.57</v>
      </c>
      <c r="F24" s="39">
        <f>SUM(E24*52/1000)</f>
        <v>13.86164</v>
      </c>
      <c r="G24" s="39">
        <v>146.79</v>
      </c>
      <c r="H24" s="40">
        <f t="shared" ref="H24:H31" si="3">SUM(F24*G24/1000)</f>
        <v>2.0347501356</v>
      </c>
      <c r="I24" s="41">
        <v>0</v>
      </c>
      <c r="J24" s="41">
        <v>0</v>
      </c>
      <c r="K24" s="41">
        <v>0</v>
      </c>
      <c r="L24" s="41">
        <v>0</v>
      </c>
      <c r="M24" s="41">
        <f>F24/6*G24</f>
        <v>339.12502259999997</v>
      </c>
      <c r="N24" s="41">
        <f>F24/6*G24</f>
        <v>339.12502259999997</v>
      </c>
      <c r="O24" s="41">
        <f>F24/6*G24</f>
        <v>339.12502259999997</v>
      </c>
      <c r="P24" s="41">
        <f>F24/6*G24</f>
        <v>339.12502259999997</v>
      </c>
      <c r="Q24" s="41">
        <f>F24/6*G24</f>
        <v>339.12502259999997</v>
      </c>
      <c r="R24" s="41">
        <f>F24/6*G24</f>
        <v>339.12502259999997</v>
      </c>
      <c r="S24" s="41">
        <v>0</v>
      </c>
      <c r="T24" s="41">
        <v>0</v>
      </c>
      <c r="U24" s="41">
        <f t="shared" ref="U24:U31" si="4">SUM(I24:T24)</f>
        <v>2034.7501355999998</v>
      </c>
    </row>
    <row r="25" spans="1:21" ht="38.25" customHeight="1">
      <c r="A25" s="30" t="s">
        <v>43</v>
      </c>
      <c r="B25" s="11" t="s">
        <v>44</v>
      </c>
      <c r="C25" s="30" t="s">
        <v>45</v>
      </c>
      <c r="D25" s="11" t="s">
        <v>46</v>
      </c>
      <c r="E25" s="39">
        <v>48.03</v>
      </c>
      <c r="F25" s="39">
        <f>SUM(E25*78/1000)</f>
        <v>3.74634</v>
      </c>
      <c r="G25" s="39">
        <v>243.54</v>
      </c>
      <c r="H25" s="40">
        <f t="shared" si="3"/>
        <v>0.91238364360000002</v>
      </c>
      <c r="I25" s="41">
        <v>0</v>
      </c>
      <c r="J25" s="41">
        <v>0</v>
      </c>
      <c r="K25" s="41">
        <v>0</v>
      </c>
      <c r="L25" s="41">
        <v>0</v>
      </c>
      <c r="M25" s="41">
        <f>F25/6*G25</f>
        <v>152.0639406</v>
      </c>
      <c r="N25" s="41">
        <f>F25/6*G25</f>
        <v>152.0639406</v>
      </c>
      <c r="O25" s="41">
        <f>F25/6*G25</f>
        <v>152.0639406</v>
      </c>
      <c r="P25" s="41">
        <f>F25/6*G25</f>
        <v>152.0639406</v>
      </c>
      <c r="Q25" s="41">
        <f>F25/6*G25</f>
        <v>152.0639406</v>
      </c>
      <c r="R25" s="41">
        <f>F25/6*G25</f>
        <v>152.0639406</v>
      </c>
      <c r="S25" s="41">
        <v>0</v>
      </c>
      <c r="T25" s="41">
        <v>0</v>
      </c>
      <c r="U25" s="41">
        <f t="shared" si="4"/>
        <v>912.38364360000003</v>
      </c>
    </row>
    <row r="26" spans="1:21">
      <c r="A26" s="30" t="s">
        <v>47</v>
      </c>
      <c r="B26" s="11" t="s">
        <v>48</v>
      </c>
      <c r="C26" s="30" t="s">
        <v>45</v>
      </c>
      <c r="D26" s="11" t="s">
        <v>49</v>
      </c>
      <c r="E26" s="39">
        <v>266.57</v>
      </c>
      <c r="F26" s="39">
        <f>SUM(E26/1000)</f>
        <v>0.26656999999999997</v>
      </c>
      <c r="G26" s="39">
        <v>2844</v>
      </c>
      <c r="H26" s="40">
        <f t="shared" si="3"/>
        <v>0.7581250799999999</v>
      </c>
      <c r="I26" s="41">
        <v>0</v>
      </c>
      <c r="J26" s="41">
        <v>0</v>
      </c>
      <c r="K26" s="41">
        <v>0</v>
      </c>
      <c r="L26" s="41">
        <v>0</v>
      </c>
      <c r="M26" s="41">
        <f>F26*G26</f>
        <v>758.12507999999991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f t="shared" si="4"/>
        <v>758.12507999999991</v>
      </c>
    </row>
    <row r="27" spans="1:21">
      <c r="A27" s="30" t="s">
        <v>50</v>
      </c>
      <c r="B27" s="11" t="s">
        <v>51</v>
      </c>
      <c r="C27" s="30" t="s">
        <v>52</v>
      </c>
      <c r="D27" s="11" t="s">
        <v>53</v>
      </c>
      <c r="E27" s="51">
        <v>0.33333333333333331</v>
      </c>
      <c r="F27" s="39">
        <f>155/3</f>
        <v>51.666666666666664</v>
      </c>
      <c r="G27" s="39">
        <v>53.38</v>
      </c>
      <c r="H27" s="40">
        <f>SUM(G27*155/3/1000)</f>
        <v>2.7579666666666669</v>
      </c>
      <c r="I27" s="41">
        <v>0</v>
      </c>
      <c r="J27" s="41">
        <v>0</v>
      </c>
      <c r="K27" s="41">
        <v>0</v>
      </c>
      <c r="L27" s="41">
        <v>0</v>
      </c>
      <c r="M27" s="41">
        <f>F27/6*G27</f>
        <v>459.6611111111111</v>
      </c>
      <c r="N27" s="41">
        <f>F27/6*G27</f>
        <v>459.6611111111111</v>
      </c>
      <c r="O27" s="41">
        <f>F27/6*G27</f>
        <v>459.6611111111111</v>
      </c>
      <c r="P27" s="41">
        <f>F27/6*G27</f>
        <v>459.6611111111111</v>
      </c>
      <c r="Q27" s="41">
        <f>F27/6*G27</f>
        <v>459.6611111111111</v>
      </c>
      <c r="R27" s="41">
        <f>F27/6*G27</f>
        <v>459.6611111111111</v>
      </c>
      <c r="S27" s="41">
        <v>0</v>
      </c>
      <c r="T27" s="41">
        <v>0</v>
      </c>
      <c r="U27" s="41">
        <f t="shared" si="4"/>
        <v>2757.9666666666667</v>
      </c>
    </row>
    <row r="28" spans="1:21" ht="12.75" customHeight="1">
      <c r="A28" s="30" t="s">
        <v>54</v>
      </c>
      <c r="B28" s="11" t="s">
        <v>55</v>
      </c>
      <c r="C28" s="30" t="s">
        <v>56</v>
      </c>
      <c r="D28" s="11" t="s">
        <v>57</v>
      </c>
      <c r="E28" s="52">
        <v>0.1</v>
      </c>
      <c r="F28" s="39">
        <f>SUM(E28*365)</f>
        <v>36.5</v>
      </c>
      <c r="G28" s="39">
        <v>138.44999999999999</v>
      </c>
      <c r="H28" s="40">
        <f t="shared" si="3"/>
        <v>5.0534249999999989</v>
      </c>
      <c r="I28" s="41">
        <f>F28/12*G28</f>
        <v>421.11874999999992</v>
      </c>
      <c r="J28" s="41">
        <f>F28/12*G28</f>
        <v>421.11874999999992</v>
      </c>
      <c r="K28" s="41">
        <f>F28/12*G28</f>
        <v>421.11874999999992</v>
      </c>
      <c r="L28" s="41">
        <f>F28/12*G28</f>
        <v>421.11874999999992</v>
      </c>
      <c r="M28" s="41">
        <f>F28/12*G28</f>
        <v>421.11874999999992</v>
      </c>
      <c r="N28" s="41">
        <f>F28/12*G28</f>
        <v>421.11874999999992</v>
      </c>
      <c r="O28" s="41">
        <f>F28/12*G28</f>
        <v>421.11874999999992</v>
      </c>
      <c r="P28" s="41">
        <f>F28/12*G28</f>
        <v>421.11874999999992</v>
      </c>
      <c r="Q28" s="41">
        <f>F28/12*G28</f>
        <v>421.11874999999992</v>
      </c>
      <c r="R28" s="41">
        <f>F28/12*G28</f>
        <v>421.11874999999992</v>
      </c>
      <c r="S28" s="41">
        <f>F28/12*G28</f>
        <v>421.11874999999992</v>
      </c>
      <c r="T28" s="41">
        <f>F28/12*G28</f>
        <v>421.11874999999992</v>
      </c>
      <c r="U28" s="41">
        <f t="shared" si="4"/>
        <v>5053.4249999999993</v>
      </c>
    </row>
    <row r="29" spans="1:21" ht="12.75" customHeight="1">
      <c r="A29" s="30" t="s">
        <v>59</v>
      </c>
      <c r="B29" s="11" t="s">
        <v>60</v>
      </c>
      <c r="C29" s="30" t="s">
        <v>56</v>
      </c>
      <c r="D29" s="11" t="s">
        <v>58</v>
      </c>
      <c r="E29" s="38"/>
      <c r="F29" s="39">
        <v>1</v>
      </c>
      <c r="G29" s="39">
        <v>180.15</v>
      </c>
      <c r="H29" s="40">
        <f t="shared" si="3"/>
        <v>0.18015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f t="shared" si="4"/>
        <v>0</v>
      </c>
    </row>
    <row r="30" spans="1:21" ht="13.5" customHeight="1">
      <c r="A30" s="30" t="s">
        <v>61</v>
      </c>
      <c r="B30" s="11" t="s">
        <v>62</v>
      </c>
      <c r="C30" s="30" t="s">
        <v>63</v>
      </c>
      <c r="D30" s="11" t="s">
        <v>58</v>
      </c>
      <c r="E30" s="38"/>
      <c r="F30" s="39">
        <v>1</v>
      </c>
      <c r="G30" s="39">
        <v>1214.74</v>
      </c>
      <c r="H30" s="40">
        <f t="shared" si="3"/>
        <v>1.2147399999999999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f t="shared" si="4"/>
        <v>0</v>
      </c>
    </row>
    <row r="31" spans="1:21">
      <c r="A31" s="30"/>
      <c r="B31" s="53" t="s">
        <v>64</v>
      </c>
      <c r="C31" s="30" t="s">
        <v>65</v>
      </c>
      <c r="D31" s="53" t="s">
        <v>66</v>
      </c>
      <c r="E31" s="38">
        <v>1042.5999999999999</v>
      </c>
      <c r="F31" s="39">
        <f>SUM(E31*12)</f>
        <v>12511.199999999999</v>
      </c>
      <c r="G31" s="39">
        <v>6.15</v>
      </c>
      <c r="H31" s="40">
        <f t="shared" si="3"/>
        <v>76.943880000000007</v>
      </c>
      <c r="I31" s="41">
        <f>F31/12*G31</f>
        <v>6411.99</v>
      </c>
      <c r="J31" s="41">
        <f>F31/12*G31</f>
        <v>6411.99</v>
      </c>
      <c r="K31" s="41">
        <f>F31/12*G31</f>
        <v>6411.99</v>
      </c>
      <c r="L31" s="41">
        <f>F31/12*G31</f>
        <v>6411.99</v>
      </c>
      <c r="M31" s="41">
        <f>F31/12*G31</f>
        <v>6411.99</v>
      </c>
      <c r="N31" s="41">
        <f>F31/12*G31</f>
        <v>6411.99</v>
      </c>
      <c r="O31" s="41">
        <f>F31/12*G31</f>
        <v>6411.99</v>
      </c>
      <c r="P31" s="41">
        <f>F31/12*G31</f>
        <v>6411.99</v>
      </c>
      <c r="Q31" s="41">
        <f>F31/12*G31</f>
        <v>6411.99</v>
      </c>
      <c r="R31" s="41">
        <f>F31/12*G31</f>
        <v>6411.99</v>
      </c>
      <c r="S31" s="41">
        <f>F31/12*G31</f>
        <v>6411.99</v>
      </c>
      <c r="T31" s="41">
        <f>F31/12*G31</f>
        <v>6411.99</v>
      </c>
      <c r="U31" s="41">
        <f t="shared" si="4"/>
        <v>76943.87999999999</v>
      </c>
    </row>
    <row r="32" spans="1:21" s="20" customFormat="1">
      <c r="A32" s="44"/>
      <c r="B32" s="21" t="s">
        <v>37</v>
      </c>
      <c r="C32" s="45"/>
      <c r="D32" s="21"/>
      <c r="E32" s="46"/>
      <c r="F32" s="47"/>
      <c r="G32" s="47"/>
      <c r="H32" s="54">
        <f>SUM(H24:H31)</f>
        <v>89.855420525866677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>
        <f>SUM(U24:U31)</f>
        <v>88460.530525866663</v>
      </c>
    </row>
    <row r="33" spans="1:21">
      <c r="A33" s="30"/>
      <c r="B33" s="13" t="s">
        <v>67</v>
      </c>
      <c r="C33" s="30"/>
      <c r="D33" s="11"/>
      <c r="E33" s="38"/>
      <c r="F33" s="39"/>
      <c r="G33" s="39"/>
      <c r="H33" s="40" t="s">
        <v>66</v>
      </c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25.5">
      <c r="A34" s="30" t="s">
        <v>61</v>
      </c>
      <c r="B34" s="14" t="s">
        <v>68</v>
      </c>
      <c r="C34" s="30" t="s">
        <v>63</v>
      </c>
      <c r="D34" s="11"/>
      <c r="E34" s="38"/>
      <c r="F34" s="39">
        <v>3</v>
      </c>
      <c r="G34" s="39">
        <v>1632.6</v>
      </c>
      <c r="H34" s="40">
        <f t="shared" ref="H34:H40" si="5">SUM(F34*G34/1000)</f>
        <v>4.8977999999999993</v>
      </c>
      <c r="I34" s="41">
        <f>F34/6*G34</f>
        <v>816.3</v>
      </c>
      <c r="J34" s="41">
        <f>F34/6*G34</f>
        <v>816.3</v>
      </c>
      <c r="K34" s="41">
        <f>F34/6*G34</f>
        <v>816.3</v>
      </c>
      <c r="L34" s="41">
        <f>F34/6*G34</f>
        <v>816.3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f>F34/6*G34</f>
        <v>816.3</v>
      </c>
      <c r="T34" s="41">
        <f>F34/6*G34</f>
        <v>816.3</v>
      </c>
      <c r="U34" s="41">
        <f t="shared" ref="U34:U40" si="6">SUM(I34:T34)</f>
        <v>4897.8</v>
      </c>
    </row>
    <row r="35" spans="1:21" ht="25.5">
      <c r="A35" s="56" t="s">
        <v>69</v>
      </c>
      <c r="B35" s="14" t="s">
        <v>154</v>
      </c>
      <c r="C35" s="56" t="s">
        <v>70</v>
      </c>
      <c r="D35" s="11" t="s">
        <v>155</v>
      </c>
      <c r="E35" s="38">
        <v>48.03</v>
      </c>
      <c r="F35" s="55">
        <v>1.44</v>
      </c>
      <c r="G35" s="39">
        <v>1979.95</v>
      </c>
      <c r="H35" s="40">
        <f>G35*F35/1000</f>
        <v>2.8511280000000001</v>
      </c>
      <c r="I35" s="41">
        <f>F35/6*G35</f>
        <v>475.18799999999999</v>
      </c>
      <c r="J35" s="41">
        <f>F35/6*G35</f>
        <v>475.18799999999999</v>
      </c>
      <c r="K35" s="41">
        <f>F35/6*G35</f>
        <v>475.18799999999999</v>
      </c>
      <c r="L35" s="41">
        <f>F35/6*G35</f>
        <v>475.18799999999999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f>F35/6*G35</f>
        <v>475.18799999999999</v>
      </c>
      <c r="T35" s="41">
        <f>F35/6*G35</f>
        <v>475.18799999999999</v>
      </c>
      <c r="U35" s="41">
        <f t="shared" si="6"/>
        <v>2851.1280000000002</v>
      </c>
    </row>
    <row r="36" spans="1:21">
      <c r="A36" s="30" t="s">
        <v>61</v>
      </c>
      <c r="B36" s="11" t="s">
        <v>156</v>
      </c>
      <c r="C36" s="30" t="s">
        <v>107</v>
      </c>
      <c r="D36" s="11" t="s">
        <v>58</v>
      </c>
      <c r="E36" s="38"/>
      <c r="F36" s="55">
        <v>72.3</v>
      </c>
      <c r="G36" s="39">
        <v>199.44</v>
      </c>
      <c r="H36" s="40">
        <f>G36*F36/1000</f>
        <v>14.419511999999999</v>
      </c>
      <c r="I36" s="41">
        <f>0</f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f t="shared" si="6"/>
        <v>0</v>
      </c>
    </row>
    <row r="37" spans="1:21" ht="24.75" customHeight="1">
      <c r="A37" s="30" t="s">
        <v>71</v>
      </c>
      <c r="B37" s="11" t="s">
        <v>72</v>
      </c>
      <c r="C37" s="30" t="s">
        <v>70</v>
      </c>
      <c r="D37" s="11" t="s">
        <v>73</v>
      </c>
      <c r="E37" s="39">
        <v>48.03</v>
      </c>
      <c r="F37" s="55">
        <f>SUM(E37*155/1000)</f>
        <v>7.4446500000000002</v>
      </c>
      <c r="G37" s="39">
        <v>330.27</v>
      </c>
      <c r="H37" s="40">
        <f t="shared" si="5"/>
        <v>2.4587445555</v>
      </c>
      <c r="I37" s="41">
        <f>F37/6*G37</f>
        <v>409.79075924999995</v>
      </c>
      <c r="J37" s="41">
        <f>F37/6*G37</f>
        <v>409.79075924999995</v>
      </c>
      <c r="K37" s="41">
        <f>F37/6*G37</f>
        <v>409.79075924999995</v>
      </c>
      <c r="L37" s="41">
        <f>F37/6*G37</f>
        <v>409.79075924999995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f>F37/6*G37</f>
        <v>409.79075924999995</v>
      </c>
      <c r="T37" s="41">
        <f>F37/6*G37</f>
        <v>409.79075924999995</v>
      </c>
      <c r="U37" s="41">
        <f t="shared" si="6"/>
        <v>2458.7445554999999</v>
      </c>
    </row>
    <row r="38" spans="1:21" ht="51" customHeight="1">
      <c r="A38" s="30" t="s">
        <v>74</v>
      </c>
      <c r="B38" s="11" t="s">
        <v>75</v>
      </c>
      <c r="C38" s="30" t="s">
        <v>45</v>
      </c>
      <c r="D38" s="11" t="s">
        <v>169</v>
      </c>
      <c r="E38" s="39">
        <v>48.03</v>
      </c>
      <c r="F38" s="55">
        <f>SUM(E38*35/1000)</f>
        <v>1.6810499999999999</v>
      </c>
      <c r="G38" s="39">
        <v>5464.48</v>
      </c>
      <c r="H38" s="40">
        <f t="shared" si="5"/>
        <v>9.1860641039999997</v>
      </c>
      <c r="I38" s="41">
        <f>F38/6*G38</f>
        <v>1531.0106839999999</v>
      </c>
      <c r="J38" s="41">
        <f>F38/6*G38</f>
        <v>1531.0106839999999</v>
      </c>
      <c r="K38" s="41">
        <f>F38/6*G38</f>
        <v>1531.0106839999999</v>
      </c>
      <c r="L38" s="41">
        <f>F38/6*G38</f>
        <v>1531.0106839999999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f>F38/6*G38</f>
        <v>1531.0106839999999</v>
      </c>
      <c r="T38" s="41">
        <f>F38/6*G38</f>
        <v>1531.0106839999999</v>
      </c>
      <c r="U38" s="41">
        <f t="shared" si="6"/>
        <v>9186.0641039999991</v>
      </c>
    </row>
    <row r="39" spans="1:21" ht="12.75" customHeight="1">
      <c r="A39" s="30" t="s">
        <v>76</v>
      </c>
      <c r="B39" s="11" t="s">
        <v>77</v>
      </c>
      <c r="C39" s="30" t="s">
        <v>45</v>
      </c>
      <c r="D39" s="11" t="s">
        <v>78</v>
      </c>
      <c r="E39" s="39">
        <v>48.03</v>
      </c>
      <c r="F39" s="55">
        <f>SUM(E39*45/1000)</f>
        <v>2.1613500000000001</v>
      </c>
      <c r="G39" s="39">
        <v>403.67</v>
      </c>
      <c r="H39" s="40">
        <f t="shared" si="5"/>
        <v>0.87247215450000015</v>
      </c>
      <c r="I39" s="41">
        <f>F39/6*G39</f>
        <v>145.41202575000003</v>
      </c>
      <c r="J39" s="41">
        <f>F39/6*G39</f>
        <v>145.41202575000003</v>
      </c>
      <c r="K39" s="41">
        <f>F39/6*G39</f>
        <v>145.41202575000003</v>
      </c>
      <c r="L39" s="41">
        <f>F39/6*G39</f>
        <v>145.41202575000003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f>F39/6*G39</f>
        <v>145.41202575000003</v>
      </c>
      <c r="T39" s="41">
        <f>F39/6*G39</f>
        <v>145.41202575000003</v>
      </c>
      <c r="U39" s="41">
        <f t="shared" si="6"/>
        <v>872.4721545000001</v>
      </c>
    </row>
    <row r="40" spans="1:21" s="1" customFormat="1">
      <c r="A40" s="56"/>
      <c r="B40" s="14" t="s">
        <v>79</v>
      </c>
      <c r="C40" s="56" t="s">
        <v>56</v>
      </c>
      <c r="D40" s="14"/>
      <c r="E40" s="52"/>
      <c r="F40" s="55">
        <v>0.53</v>
      </c>
      <c r="G40" s="55">
        <v>750.34</v>
      </c>
      <c r="H40" s="40">
        <f t="shared" si="5"/>
        <v>0.39768020000000004</v>
      </c>
      <c r="I40" s="57">
        <f>F40/6*G40</f>
        <v>66.280033333333336</v>
      </c>
      <c r="J40" s="57">
        <f>F40/6*G40</f>
        <v>66.280033333333336</v>
      </c>
      <c r="K40" s="57">
        <f>F40/6*G40</f>
        <v>66.280033333333336</v>
      </c>
      <c r="L40" s="57">
        <f>F40/6*G40</f>
        <v>66.280033333333336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f>F40/6*G40</f>
        <v>66.280033333333336</v>
      </c>
      <c r="T40" s="57">
        <f>F40/6*G40</f>
        <v>66.280033333333336</v>
      </c>
      <c r="U40" s="41">
        <f t="shared" si="6"/>
        <v>397.68020000000001</v>
      </c>
    </row>
    <row r="41" spans="1:21" s="20" customFormat="1">
      <c r="A41" s="44"/>
      <c r="B41" s="21" t="s">
        <v>37</v>
      </c>
      <c r="C41" s="45"/>
      <c r="D41" s="21"/>
      <c r="E41" s="46"/>
      <c r="F41" s="47" t="s">
        <v>66</v>
      </c>
      <c r="G41" s="47"/>
      <c r="H41" s="54">
        <f>SUM(H34:H40)</f>
        <v>35.083401014000003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>
        <f>SUM(U34:U40)</f>
        <v>20663.889013999997</v>
      </c>
    </row>
    <row r="42" spans="1:21">
      <c r="A42" s="30"/>
      <c r="B42" s="15" t="s">
        <v>80</v>
      </c>
      <c r="C42" s="30"/>
      <c r="D42" s="11"/>
      <c r="E42" s="38"/>
      <c r="F42" s="39"/>
      <c r="G42" s="39"/>
      <c r="H42" s="40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</row>
    <row r="43" spans="1:21">
      <c r="A43" s="30" t="s">
        <v>162</v>
      </c>
      <c r="B43" s="11" t="s">
        <v>163</v>
      </c>
      <c r="C43" s="30" t="s">
        <v>45</v>
      </c>
      <c r="D43" s="11" t="s">
        <v>81</v>
      </c>
      <c r="E43" s="38">
        <v>636.25</v>
      </c>
      <c r="F43" s="39">
        <f>SUM(E43*2/1000)</f>
        <v>1.2725</v>
      </c>
      <c r="G43" s="58">
        <v>762.53</v>
      </c>
      <c r="H43" s="40">
        <f t="shared" ref="H43:H52" si="7">SUM(F43*G43/1000)</f>
        <v>0.9703194249999999</v>
      </c>
      <c r="I43" s="41">
        <v>0</v>
      </c>
      <c r="J43" s="41">
        <v>0</v>
      </c>
      <c r="K43" s="41">
        <v>0</v>
      </c>
      <c r="L43" s="41">
        <f>F43/2*G43</f>
        <v>485.15971249999996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f>F43/2*G43</f>
        <v>485.15971249999996</v>
      </c>
      <c r="S43" s="41">
        <v>0</v>
      </c>
      <c r="T43" s="41">
        <v>0</v>
      </c>
      <c r="U43" s="41">
        <f t="shared" ref="U43:U52" si="8">SUM(I43:T43)</f>
        <v>970.31942499999991</v>
      </c>
    </row>
    <row r="44" spans="1:21">
      <c r="A44" s="30" t="s">
        <v>82</v>
      </c>
      <c r="B44" s="11" t="s">
        <v>83</v>
      </c>
      <c r="C44" s="30" t="s">
        <v>45</v>
      </c>
      <c r="D44" s="11" t="s">
        <v>81</v>
      </c>
      <c r="E44" s="38">
        <v>26</v>
      </c>
      <c r="F44" s="39">
        <f>SUM(E44*2/1000)</f>
        <v>5.1999999999999998E-2</v>
      </c>
      <c r="G44" s="58">
        <v>545.65</v>
      </c>
      <c r="H44" s="40">
        <f t="shared" si="7"/>
        <v>2.8373799999999998E-2</v>
      </c>
      <c r="I44" s="41">
        <v>0</v>
      </c>
      <c r="J44" s="41">
        <v>0</v>
      </c>
      <c r="K44" s="41">
        <v>0</v>
      </c>
      <c r="L44" s="41">
        <f>F44/2*G44</f>
        <v>14.1869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f>F44/2*G44</f>
        <v>14.1869</v>
      </c>
      <c r="S44" s="41">
        <v>0</v>
      </c>
      <c r="T44" s="41">
        <v>0</v>
      </c>
      <c r="U44" s="41">
        <f t="shared" si="8"/>
        <v>28.373799999999999</v>
      </c>
    </row>
    <row r="45" spans="1:21" ht="25.5">
      <c r="A45" s="30" t="s">
        <v>84</v>
      </c>
      <c r="B45" s="11" t="s">
        <v>85</v>
      </c>
      <c r="C45" s="30" t="s">
        <v>45</v>
      </c>
      <c r="D45" s="11" t="s">
        <v>81</v>
      </c>
      <c r="E45" s="38">
        <v>579</v>
      </c>
      <c r="F45" s="39">
        <f>SUM(E45*2/1000)</f>
        <v>1.1579999999999999</v>
      </c>
      <c r="G45" s="58">
        <v>545.65</v>
      </c>
      <c r="H45" s="40">
        <f t="shared" si="7"/>
        <v>0.63186269999999989</v>
      </c>
      <c r="I45" s="41">
        <v>0</v>
      </c>
      <c r="J45" s="41">
        <v>0</v>
      </c>
      <c r="K45" s="41">
        <v>0</v>
      </c>
      <c r="L45" s="41">
        <f>F45/2*G45</f>
        <v>315.93134999999995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f>F45/2*G45</f>
        <v>315.93134999999995</v>
      </c>
      <c r="S45" s="41">
        <v>0</v>
      </c>
      <c r="T45" s="41">
        <v>0</v>
      </c>
      <c r="U45" s="41">
        <f t="shared" si="8"/>
        <v>631.8626999999999</v>
      </c>
    </row>
    <row r="46" spans="1:21">
      <c r="A46" s="30" t="s">
        <v>86</v>
      </c>
      <c r="B46" s="11" t="s">
        <v>87</v>
      </c>
      <c r="C46" s="30" t="s">
        <v>45</v>
      </c>
      <c r="D46" s="11" t="s">
        <v>81</v>
      </c>
      <c r="E46" s="38">
        <v>683.33</v>
      </c>
      <c r="F46" s="39">
        <f>SUM(E46*2/1000)</f>
        <v>1.36666</v>
      </c>
      <c r="G46" s="58">
        <v>571.35</v>
      </c>
      <c r="H46" s="40">
        <f t="shared" si="7"/>
        <v>0.78084119099999993</v>
      </c>
      <c r="I46" s="41">
        <v>0</v>
      </c>
      <c r="J46" s="41">
        <v>0</v>
      </c>
      <c r="K46" s="41">
        <v>0</v>
      </c>
      <c r="L46" s="41">
        <f>F46/2*G46</f>
        <v>390.42059549999999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f>F46/2*G46</f>
        <v>390.42059549999999</v>
      </c>
      <c r="S46" s="41">
        <v>0</v>
      </c>
      <c r="T46" s="41">
        <v>0</v>
      </c>
      <c r="U46" s="41">
        <f t="shared" si="8"/>
        <v>780.84119099999998</v>
      </c>
    </row>
    <row r="47" spans="1:21">
      <c r="A47" s="30" t="s">
        <v>164</v>
      </c>
      <c r="B47" s="11" t="s">
        <v>165</v>
      </c>
      <c r="C47" s="30" t="s">
        <v>166</v>
      </c>
      <c r="D47" s="11" t="s">
        <v>81</v>
      </c>
      <c r="E47" s="38">
        <v>44.11</v>
      </c>
      <c r="F47" s="39">
        <f>SUM(E47*2/100)</f>
        <v>0.88219999999999998</v>
      </c>
      <c r="G47" s="58">
        <v>68.56</v>
      </c>
      <c r="H47" s="40">
        <f t="shared" si="7"/>
        <v>6.0483632000000002E-2</v>
      </c>
      <c r="I47" s="41">
        <v>0</v>
      </c>
      <c r="J47" s="41">
        <v>0</v>
      </c>
      <c r="K47" s="41">
        <v>0</v>
      </c>
      <c r="L47" s="41">
        <f>F47/2*G47</f>
        <v>30.241816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f>F47/2*G47</f>
        <v>30.241816</v>
      </c>
      <c r="S47" s="41">
        <v>0</v>
      </c>
      <c r="T47" s="41">
        <v>0</v>
      </c>
      <c r="U47" s="41">
        <f t="shared" si="8"/>
        <v>60.483632</v>
      </c>
    </row>
    <row r="48" spans="1:21" ht="25.5">
      <c r="A48" s="30" t="s">
        <v>88</v>
      </c>
      <c r="B48" s="11" t="s">
        <v>89</v>
      </c>
      <c r="C48" s="30" t="s">
        <v>45</v>
      </c>
      <c r="D48" s="11" t="s">
        <v>90</v>
      </c>
      <c r="E48" s="38">
        <v>1140</v>
      </c>
      <c r="F48" s="39">
        <f>SUM(E48*5/1000)</f>
        <v>5.7</v>
      </c>
      <c r="G48" s="58">
        <v>1142.7</v>
      </c>
      <c r="H48" s="40">
        <f t="shared" si="7"/>
        <v>6.5133900000000002</v>
      </c>
      <c r="I48" s="41">
        <f>F48/5*G48</f>
        <v>1302.6780000000001</v>
      </c>
      <c r="J48" s="41">
        <f>F48/6*G48</f>
        <v>1085.5650000000001</v>
      </c>
      <c r="K48" s="41">
        <v>0</v>
      </c>
      <c r="L48" s="41">
        <v>0</v>
      </c>
      <c r="M48" s="41">
        <f>F48/5*G48</f>
        <v>1302.6780000000001</v>
      </c>
      <c r="N48" s="41">
        <v>0</v>
      </c>
      <c r="O48" s="41">
        <v>0</v>
      </c>
      <c r="P48" s="41">
        <v>0</v>
      </c>
      <c r="Q48" s="41">
        <f>F48/5*G48</f>
        <v>1302.6780000000001</v>
      </c>
      <c r="R48" s="41">
        <v>0</v>
      </c>
      <c r="S48" s="41">
        <v>0</v>
      </c>
      <c r="T48" s="41">
        <f>F48/5*G48</f>
        <v>1302.6780000000001</v>
      </c>
      <c r="U48" s="41">
        <f t="shared" si="8"/>
        <v>6296.277</v>
      </c>
    </row>
    <row r="49" spans="1:21" ht="39.6" customHeight="1">
      <c r="A49" s="30" t="s">
        <v>91</v>
      </c>
      <c r="B49" s="11" t="s">
        <v>92</v>
      </c>
      <c r="C49" s="30" t="s">
        <v>45</v>
      </c>
      <c r="D49" s="11" t="s">
        <v>81</v>
      </c>
      <c r="E49" s="38">
        <v>1140</v>
      </c>
      <c r="F49" s="39">
        <f>SUM(E49*2/1000)</f>
        <v>2.2799999999999998</v>
      </c>
      <c r="G49" s="58">
        <v>1142.7</v>
      </c>
      <c r="H49" s="40">
        <f t="shared" si="7"/>
        <v>2.6053559999999996</v>
      </c>
      <c r="I49" s="41">
        <v>0</v>
      </c>
      <c r="J49" s="41">
        <v>0</v>
      </c>
      <c r="K49" s="41">
        <v>0</v>
      </c>
      <c r="L49" s="41">
        <v>0</v>
      </c>
      <c r="M49" s="41">
        <f>F49/2*G49</f>
        <v>1302.6779999999999</v>
      </c>
      <c r="N49" s="41">
        <v>0</v>
      </c>
      <c r="O49" s="41">
        <v>0</v>
      </c>
      <c r="P49" s="41">
        <v>0</v>
      </c>
      <c r="Q49" s="41">
        <f>F49/2*G49</f>
        <v>1302.6779999999999</v>
      </c>
      <c r="R49" s="41">
        <v>0</v>
      </c>
      <c r="S49" s="41">
        <v>0</v>
      </c>
      <c r="T49" s="41">
        <v>0</v>
      </c>
      <c r="U49" s="41">
        <f t="shared" si="8"/>
        <v>2605.3559999999998</v>
      </c>
    </row>
    <row r="50" spans="1:21" ht="28.9" customHeight="1">
      <c r="A50" s="30" t="s">
        <v>93</v>
      </c>
      <c r="B50" s="11" t="s">
        <v>94</v>
      </c>
      <c r="C50" s="30" t="s">
        <v>95</v>
      </c>
      <c r="D50" s="11" t="s">
        <v>81</v>
      </c>
      <c r="E50" s="38">
        <v>9</v>
      </c>
      <c r="F50" s="39">
        <f>SUM(E50*2/100)</f>
        <v>0.18</v>
      </c>
      <c r="G50" s="58">
        <v>2571.08</v>
      </c>
      <c r="H50" s="40">
        <f t="shared" si="7"/>
        <v>0.46279439999999999</v>
      </c>
      <c r="I50" s="41">
        <v>0</v>
      </c>
      <c r="J50" s="41">
        <v>0</v>
      </c>
      <c r="K50" s="41">
        <v>0</v>
      </c>
      <c r="L50" s="41">
        <v>0</v>
      </c>
      <c r="M50" s="41">
        <f>F50/2*G50</f>
        <v>231.3972</v>
      </c>
      <c r="N50" s="41">
        <v>0</v>
      </c>
      <c r="O50" s="41">
        <v>0</v>
      </c>
      <c r="P50" s="41">
        <v>0</v>
      </c>
      <c r="Q50" s="41">
        <f>F50/2*G50</f>
        <v>231.3972</v>
      </c>
      <c r="R50" s="41">
        <v>0</v>
      </c>
      <c r="S50" s="41">
        <v>0</v>
      </c>
      <c r="T50" s="41">
        <v>0</v>
      </c>
      <c r="U50" s="41">
        <f t="shared" si="8"/>
        <v>462.7944</v>
      </c>
    </row>
    <row r="51" spans="1:21">
      <c r="A51" s="30" t="s">
        <v>96</v>
      </c>
      <c r="B51" s="11" t="s">
        <v>97</v>
      </c>
      <c r="C51" s="30" t="s">
        <v>98</v>
      </c>
      <c r="D51" s="11" t="s">
        <v>81</v>
      </c>
      <c r="E51" s="38">
        <v>1</v>
      </c>
      <c r="F51" s="39">
        <v>0.02</v>
      </c>
      <c r="G51" s="58">
        <v>5322.15</v>
      </c>
      <c r="H51" s="40">
        <f t="shared" si="7"/>
        <v>0.106443</v>
      </c>
      <c r="I51" s="41">
        <v>0</v>
      </c>
      <c r="J51" s="41">
        <f>F51/2*G51</f>
        <v>53.221499999999999</v>
      </c>
      <c r="K51" s="41">
        <v>0</v>
      </c>
      <c r="L51" s="41">
        <v>0</v>
      </c>
      <c r="M51" s="41">
        <v>0</v>
      </c>
      <c r="N51" s="41">
        <v>0</v>
      </c>
      <c r="O51" s="41">
        <f>F51/2*G51</f>
        <v>53.221499999999999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f t="shared" si="8"/>
        <v>106.443</v>
      </c>
    </row>
    <row r="52" spans="1:21" ht="13.5" customHeight="1">
      <c r="A52" s="30" t="s">
        <v>100</v>
      </c>
      <c r="B52" s="11" t="s">
        <v>101</v>
      </c>
      <c r="C52" s="30" t="s">
        <v>99</v>
      </c>
      <c r="D52" s="11" t="s">
        <v>151</v>
      </c>
      <c r="E52" s="38">
        <v>36</v>
      </c>
      <c r="F52" s="39">
        <f>SUM(E52)*3</f>
        <v>108</v>
      </c>
      <c r="G52" s="59">
        <v>61.84</v>
      </c>
      <c r="H52" s="40">
        <f t="shared" si="7"/>
        <v>6.6787200000000002</v>
      </c>
      <c r="I52" s="41">
        <v>0</v>
      </c>
      <c r="J52" s="41">
        <f>E52*G52</f>
        <v>2226.2400000000002</v>
      </c>
      <c r="K52" s="41">
        <v>0</v>
      </c>
      <c r="L52" s="41">
        <f>E52*G52</f>
        <v>2226.2400000000002</v>
      </c>
      <c r="M52" s="41">
        <v>0</v>
      </c>
      <c r="N52" s="41">
        <v>0</v>
      </c>
      <c r="O52" s="41">
        <f>0</f>
        <v>0</v>
      </c>
      <c r="P52" s="41">
        <f>E52*G52</f>
        <v>2226.2400000000002</v>
      </c>
      <c r="Q52" s="41">
        <v>0</v>
      </c>
      <c r="R52" s="41">
        <v>0</v>
      </c>
      <c r="S52" s="41">
        <v>0</v>
      </c>
      <c r="T52" s="41">
        <v>0</v>
      </c>
      <c r="U52" s="41">
        <f t="shared" si="8"/>
        <v>6678.7200000000012</v>
      </c>
    </row>
    <row r="53" spans="1:21" s="22" customFormat="1">
      <c r="A53" s="44"/>
      <c r="B53" s="21" t="s">
        <v>37</v>
      </c>
      <c r="C53" s="60"/>
      <c r="D53" s="21"/>
      <c r="E53" s="61"/>
      <c r="F53" s="62"/>
      <c r="G53" s="62"/>
      <c r="H53" s="54">
        <f>SUM(H43:H52)</f>
        <v>18.838584147999999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>
        <f>SUM(U43:U52)</f>
        <v>18621.471148000001</v>
      </c>
    </row>
    <row r="54" spans="1:21">
      <c r="A54" s="30"/>
      <c r="B54" s="13" t="s">
        <v>102</v>
      </c>
      <c r="C54" s="30"/>
      <c r="D54" s="11"/>
      <c r="E54" s="38"/>
      <c r="F54" s="39"/>
      <c r="G54" s="39"/>
      <c r="H54" s="40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1:21" ht="38.25" customHeight="1">
      <c r="A55" s="30" t="s">
        <v>104</v>
      </c>
      <c r="B55" s="11" t="s">
        <v>152</v>
      </c>
      <c r="C55" s="30" t="s">
        <v>14</v>
      </c>
      <c r="D55" s="11" t="s">
        <v>103</v>
      </c>
      <c r="E55" s="38">
        <v>72.33</v>
      </c>
      <c r="F55" s="39">
        <f>SUM(E55*6/100)</f>
        <v>4.3398000000000003</v>
      </c>
      <c r="G55" s="58">
        <v>1456.95</v>
      </c>
      <c r="H55" s="40">
        <f>SUM(F55*G55/1000)</f>
        <v>6.3228716100000009</v>
      </c>
      <c r="I55" s="41">
        <f>F55/6*G55</f>
        <v>1053.8119350000002</v>
      </c>
      <c r="J55" s="41">
        <f>F55/6*G55</f>
        <v>1053.8119350000002</v>
      </c>
      <c r="K55" s="41">
        <f>F55/6*G55</f>
        <v>1053.8119350000002</v>
      </c>
      <c r="L55" s="41">
        <f>F55/6*G55</f>
        <v>1053.8119350000002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f>F55/6*G55</f>
        <v>1053.8119350000002</v>
      </c>
      <c r="T55" s="41">
        <f>F55/6*G55</f>
        <v>1053.8119350000002</v>
      </c>
      <c r="U55" s="41">
        <f>SUM(I55:T55)</f>
        <v>6322.8716100000001</v>
      </c>
    </row>
    <row r="56" spans="1:21">
      <c r="A56" s="30"/>
      <c r="B56" s="12" t="s">
        <v>105</v>
      </c>
      <c r="C56" s="30"/>
      <c r="D56" s="11"/>
      <c r="E56" s="38"/>
      <c r="F56" s="39"/>
      <c r="G56" s="64"/>
      <c r="H56" s="40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</row>
    <row r="57" spans="1:21">
      <c r="A57" s="30" t="s">
        <v>106</v>
      </c>
      <c r="B57" s="11" t="s">
        <v>153</v>
      </c>
      <c r="C57" s="30"/>
      <c r="D57" s="11" t="s">
        <v>58</v>
      </c>
      <c r="E57" s="38">
        <v>952</v>
      </c>
      <c r="F57" s="40">
        <v>9.52</v>
      </c>
      <c r="G57" s="58">
        <v>848.37</v>
      </c>
      <c r="H57" s="65">
        <f>F57*G57/1000</f>
        <v>8.0764823999999997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f>SUM(I57:T57)</f>
        <v>0</v>
      </c>
    </row>
    <row r="58" spans="1:21">
      <c r="A58" s="66"/>
      <c r="B58" s="16" t="s">
        <v>108</v>
      </c>
      <c r="C58" s="66"/>
      <c r="D58" s="67"/>
      <c r="E58" s="68"/>
      <c r="F58" s="69"/>
      <c r="G58" s="69"/>
      <c r="H58" s="70" t="s">
        <v>66</v>
      </c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</row>
    <row r="59" spans="1:21" ht="12.75" customHeight="1">
      <c r="A59" s="71" t="s">
        <v>109</v>
      </c>
      <c r="B59" s="17" t="s">
        <v>110</v>
      </c>
      <c r="C59" s="71" t="s">
        <v>99</v>
      </c>
      <c r="D59" s="8" t="s">
        <v>58</v>
      </c>
      <c r="E59" s="72">
        <v>5</v>
      </c>
      <c r="F59" s="39">
        <v>5</v>
      </c>
      <c r="G59" s="58">
        <v>237.74</v>
      </c>
      <c r="H59" s="73">
        <f t="shared" ref="H59:H73" si="9">SUM(F59*G59/1000)</f>
        <v>1.1887000000000001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f>G59*2</f>
        <v>475.48</v>
      </c>
      <c r="P59" s="41">
        <f>G59*2</f>
        <v>475.48</v>
      </c>
      <c r="Q59" s="41">
        <v>0</v>
      </c>
      <c r="R59" s="41">
        <v>0</v>
      </c>
      <c r="S59" s="41">
        <v>0</v>
      </c>
      <c r="T59" s="41">
        <f>G59</f>
        <v>237.74</v>
      </c>
      <c r="U59" s="41">
        <f t="shared" ref="U59:U66" si="10">SUM(I59:T59)</f>
        <v>1188.7</v>
      </c>
    </row>
    <row r="60" spans="1:21" ht="12.75" customHeight="1">
      <c r="A60" s="71" t="s">
        <v>111</v>
      </c>
      <c r="B60" s="17" t="s">
        <v>112</v>
      </c>
      <c r="C60" s="71" t="s">
        <v>99</v>
      </c>
      <c r="D60" s="8" t="s">
        <v>58</v>
      </c>
      <c r="E60" s="72">
        <v>2</v>
      </c>
      <c r="F60" s="39">
        <v>2</v>
      </c>
      <c r="G60" s="58">
        <v>81.510000000000005</v>
      </c>
      <c r="H60" s="73">
        <f t="shared" si="9"/>
        <v>0.16302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f t="shared" si="10"/>
        <v>0</v>
      </c>
    </row>
    <row r="61" spans="1:21" s="1" customFormat="1">
      <c r="A61" s="74" t="s">
        <v>113</v>
      </c>
      <c r="B61" s="17" t="s">
        <v>114</v>
      </c>
      <c r="C61" s="74" t="s">
        <v>115</v>
      </c>
      <c r="D61" s="8" t="s">
        <v>49</v>
      </c>
      <c r="E61" s="38">
        <v>4292</v>
      </c>
      <c r="F61" s="59">
        <f>SUM(E61/100)</f>
        <v>42.92</v>
      </c>
      <c r="G61" s="58">
        <v>226.79</v>
      </c>
      <c r="H61" s="73">
        <f t="shared" si="9"/>
        <v>9.733826800000001</v>
      </c>
      <c r="I61" s="57">
        <v>0</v>
      </c>
      <c r="J61" s="57">
        <v>0</v>
      </c>
      <c r="K61" s="57">
        <v>0</v>
      </c>
      <c r="L61" s="57">
        <v>0</v>
      </c>
      <c r="M61" s="57">
        <f>F61*G61</f>
        <v>9733.8268000000007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57">
        <v>0</v>
      </c>
      <c r="U61" s="41">
        <f t="shared" si="10"/>
        <v>9733.8268000000007</v>
      </c>
    </row>
    <row r="62" spans="1:21" ht="25.5">
      <c r="A62" s="71" t="s">
        <v>116</v>
      </c>
      <c r="B62" s="17" t="s">
        <v>117</v>
      </c>
      <c r="C62" s="71" t="s">
        <v>118</v>
      </c>
      <c r="D62" s="8"/>
      <c r="E62" s="38">
        <v>4292</v>
      </c>
      <c r="F62" s="58">
        <f>SUM(E62/1000)</f>
        <v>4.2919999999999998</v>
      </c>
      <c r="G62" s="58">
        <v>176.61</v>
      </c>
      <c r="H62" s="73">
        <f t="shared" si="9"/>
        <v>0.75801012000000001</v>
      </c>
      <c r="I62" s="41">
        <v>0</v>
      </c>
      <c r="J62" s="41">
        <v>0</v>
      </c>
      <c r="K62" s="41">
        <v>0</v>
      </c>
      <c r="L62" s="41">
        <v>0</v>
      </c>
      <c r="M62" s="41">
        <f>F62*G62</f>
        <v>758.01012000000003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f t="shared" si="10"/>
        <v>758.01012000000003</v>
      </c>
    </row>
    <row r="63" spans="1:21">
      <c r="A63" s="71" t="s">
        <v>119</v>
      </c>
      <c r="B63" s="17" t="s">
        <v>120</v>
      </c>
      <c r="C63" s="71" t="s">
        <v>121</v>
      </c>
      <c r="D63" s="8" t="s">
        <v>49</v>
      </c>
      <c r="E63" s="38">
        <v>510</v>
      </c>
      <c r="F63" s="58">
        <f>SUM(E63/100)</f>
        <v>5.0999999999999996</v>
      </c>
      <c r="G63" s="58">
        <v>2217.7800000000002</v>
      </c>
      <c r="H63" s="73">
        <f t="shared" si="9"/>
        <v>11.310677999999999</v>
      </c>
      <c r="I63" s="41">
        <v>0</v>
      </c>
      <c r="J63" s="41">
        <v>0</v>
      </c>
      <c r="K63" s="41">
        <v>0</v>
      </c>
      <c r="L63" s="41">
        <v>0</v>
      </c>
      <c r="M63" s="41">
        <f>F63*G63</f>
        <v>11310.678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f t="shared" si="10"/>
        <v>11310.678</v>
      </c>
    </row>
    <row r="64" spans="1:21">
      <c r="A64" s="71"/>
      <c r="B64" s="18" t="s">
        <v>157</v>
      </c>
      <c r="C64" s="71" t="s">
        <v>56</v>
      </c>
      <c r="D64" s="8"/>
      <c r="E64" s="38">
        <v>4.5999999999999996</v>
      </c>
      <c r="F64" s="58">
        <f>SUM(E64)</f>
        <v>4.5999999999999996</v>
      </c>
      <c r="G64" s="58">
        <v>42.67</v>
      </c>
      <c r="H64" s="73">
        <f t="shared" si="9"/>
        <v>0.19628199999999998</v>
      </c>
      <c r="I64" s="41">
        <v>0</v>
      </c>
      <c r="J64" s="41">
        <v>0</v>
      </c>
      <c r="K64" s="41">
        <v>0</v>
      </c>
      <c r="L64" s="41">
        <v>0</v>
      </c>
      <c r="M64" s="41">
        <f>F64*G64</f>
        <v>196.28199999999998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f t="shared" si="10"/>
        <v>196.28199999999998</v>
      </c>
    </row>
    <row r="65" spans="1:21" ht="25.5">
      <c r="A65" s="75"/>
      <c r="B65" s="18" t="s">
        <v>158</v>
      </c>
      <c r="C65" s="71" t="s">
        <v>56</v>
      </c>
      <c r="D65" s="8"/>
      <c r="E65" s="38">
        <v>4.5999999999999996</v>
      </c>
      <c r="F65" s="58">
        <f>SUM(E65)</f>
        <v>4.5999999999999996</v>
      </c>
      <c r="G65" s="58">
        <v>39.81</v>
      </c>
      <c r="H65" s="73">
        <f t="shared" si="9"/>
        <v>0.18312600000000001</v>
      </c>
      <c r="I65" s="41">
        <v>0</v>
      </c>
      <c r="J65" s="41">
        <v>0</v>
      </c>
      <c r="K65" s="41">
        <v>0</v>
      </c>
      <c r="L65" s="41">
        <v>0</v>
      </c>
      <c r="M65" s="41">
        <f>F65*G65</f>
        <v>183.126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f t="shared" si="10"/>
        <v>183.126</v>
      </c>
    </row>
    <row r="66" spans="1:21">
      <c r="A66" s="71" t="s">
        <v>122</v>
      </c>
      <c r="B66" s="8" t="s">
        <v>123</v>
      </c>
      <c r="C66" s="71" t="s">
        <v>124</v>
      </c>
      <c r="D66" s="8" t="s">
        <v>49</v>
      </c>
      <c r="E66" s="72">
        <v>3</v>
      </c>
      <c r="F66" s="39">
        <v>3</v>
      </c>
      <c r="G66" s="58">
        <v>53.32</v>
      </c>
      <c r="H66" s="73">
        <f t="shared" si="9"/>
        <v>0.15996000000000002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f>F66*G66</f>
        <v>159.96</v>
      </c>
      <c r="R66" s="41">
        <v>0</v>
      </c>
      <c r="S66" s="41">
        <v>0</v>
      </c>
      <c r="T66" s="41">
        <v>0</v>
      </c>
      <c r="U66" s="41">
        <f t="shared" si="10"/>
        <v>159.96</v>
      </c>
    </row>
    <row r="67" spans="1:21">
      <c r="A67" s="75"/>
      <c r="B67" s="19" t="s">
        <v>125</v>
      </c>
      <c r="C67" s="71"/>
      <c r="D67" s="8"/>
      <c r="E67" s="72"/>
      <c r="F67" s="58"/>
      <c r="G67" s="58"/>
      <c r="H67" s="73" t="s">
        <v>66</v>
      </c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</row>
    <row r="68" spans="1:21">
      <c r="A68" s="71" t="s">
        <v>126</v>
      </c>
      <c r="B68" s="8" t="s">
        <v>127</v>
      </c>
      <c r="C68" s="71" t="s">
        <v>128</v>
      </c>
      <c r="D68" s="8"/>
      <c r="E68" s="72">
        <v>2</v>
      </c>
      <c r="F68" s="58">
        <v>0.2</v>
      </c>
      <c r="G68" s="58">
        <v>536.23</v>
      </c>
      <c r="H68" s="73">
        <f t="shared" si="9"/>
        <v>0.10724600000000001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f>SUM(I68:T68)</f>
        <v>0</v>
      </c>
    </row>
    <row r="69" spans="1:21">
      <c r="A69" s="71" t="s">
        <v>159</v>
      </c>
      <c r="B69" s="8" t="s">
        <v>160</v>
      </c>
      <c r="C69" s="71" t="s">
        <v>52</v>
      </c>
      <c r="D69" s="8"/>
      <c r="E69" s="72">
        <v>1</v>
      </c>
      <c r="F69" s="64">
        <v>1</v>
      </c>
      <c r="G69" s="58">
        <v>911.85</v>
      </c>
      <c r="H69" s="73">
        <f>F69*G69/1000</f>
        <v>0.91185000000000005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f>SUM(I69:T69)</f>
        <v>0</v>
      </c>
    </row>
    <row r="70" spans="1:21" hidden="1">
      <c r="A70" s="71"/>
      <c r="B70" s="8" t="s">
        <v>130</v>
      </c>
      <c r="C70" s="71" t="s">
        <v>131</v>
      </c>
      <c r="D70" s="8"/>
      <c r="E70" s="72"/>
      <c r="F70" s="58"/>
      <c r="G70" s="58">
        <v>31.54</v>
      </c>
      <c r="H70" s="73">
        <f t="shared" si="9"/>
        <v>0</v>
      </c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</row>
    <row r="71" spans="1:21">
      <c r="A71" s="71" t="s">
        <v>129</v>
      </c>
      <c r="B71" s="8" t="s">
        <v>170</v>
      </c>
      <c r="C71" s="71" t="s">
        <v>52</v>
      </c>
      <c r="D71" s="8"/>
      <c r="E71" s="72">
        <v>1</v>
      </c>
      <c r="F71" s="58">
        <v>1</v>
      </c>
      <c r="G71" s="58">
        <v>383.25</v>
      </c>
      <c r="H71" s="73">
        <f>G71*F71/1000</f>
        <v>0.38324999999999998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f>SUM(I71:T71)</f>
        <v>0</v>
      </c>
    </row>
    <row r="72" spans="1:21">
      <c r="A72" s="75"/>
      <c r="B72" s="76" t="s">
        <v>132</v>
      </c>
      <c r="C72" s="71"/>
      <c r="D72" s="8"/>
      <c r="E72" s="72"/>
      <c r="F72" s="58"/>
      <c r="G72" s="58" t="s">
        <v>66</v>
      </c>
      <c r="H72" s="73" t="s">
        <v>66</v>
      </c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</row>
    <row r="73" spans="1:21" s="1" customFormat="1">
      <c r="A73" s="74" t="s">
        <v>133</v>
      </c>
      <c r="B73" s="77" t="s">
        <v>134</v>
      </c>
      <c r="C73" s="74" t="s">
        <v>121</v>
      </c>
      <c r="D73" s="17"/>
      <c r="E73" s="78"/>
      <c r="F73" s="59">
        <v>0.1</v>
      </c>
      <c r="G73" s="59">
        <v>2949.85</v>
      </c>
      <c r="H73" s="73">
        <f t="shared" si="9"/>
        <v>0.294985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41">
        <f>SUM(I73:T73)</f>
        <v>0</v>
      </c>
    </row>
    <row r="74" spans="1:21" s="22" customFormat="1">
      <c r="A74" s="79"/>
      <c r="B74" s="21" t="s">
        <v>37</v>
      </c>
      <c r="C74" s="80"/>
      <c r="D74" s="81"/>
      <c r="E74" s="82"/>
      <c r="F74" s="63"/>
      <c r="G74" s="63"/>
      <c r="H74" s="83">
        <f>SUM(H55:H73)</f>
        <v>39.790287929999998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>
        <f>SUM(U55:U73)</f>
        <v>29853.454529999999</v>
      </c>
    </row>
    <row r="75" spans="1:21">
      <c r="A75" s="133" t="s">
        <v>192</v>
      </c>
      <c r="B75" s="11" t="s">
        <v>193</v>
      </c>
      <c r="C75" s="84" t="s">
        <v>194</v>
      </c>
      <c r="D75" s="85"/>
      <c r="E75" s="134"/>
      <c r="F75" s="86">
        <f>29/10</f>
        <v>2.9</v>
      </c>
      <c r="G75" s="87">
        <v>9</v>
      </c>
      <c r="H75" s="73">
        <f>G75*F75/1000</f>
        <v>2.6099999999999998E-2</v>
      </c>
      <c r="I75" s="41">
        <v>0</v>
      </c>
      <c r="J75" s="41">
        <v>0</v>
      </c>
      <c r="K75" s="41">
        <v>0</v>
      </c>
      <c r="L75" s="41">
        <v>0</v>
      </c>
      <c r="M75" s="42">
        <v>0</v>
      </c>
      <c r="N75" s="41">
        <f>F75*G75</f>
        <v>26.099999999999998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f>SUM(I75:T75)</f>
        <v>26.099999999999998</v>
      </c>
    </row>
    <row r="76" spans="1:21" ht="12.75" customHeight="1">
      <c r="A76" s="71"/>
      <c r="B76" s="12" t="s">
        <v>135</v>
      </c>
      <c r="C76" s="71" t="s">
        <v>136</v>
      </c>
      <c r="D76" s="88"/>
      <c r="E76" s="58">
        <v>1042.5999999999999</v>
      </c>
      <c r="F76" s="58">
        <f>SUM(E76*12)</f>
        <v>12511.199999999999</v>
      </c>
      <c r="G76" s="89">
        <v>2.2400000000000002</v>
      </c>
      <c r="H76" s="73">
        <f>SUM(F76*G76/1000)</f>
        <v>28.025088</v>
      </c>
      <c r="I76" s="41">
        <f>F76/12*G76</f>
        <v>2335.424</v>
      </c>
      <c r="J76" s="41">
        <f>F76/12*G76</f>
        <v>2335.424</v>
      </c>
      <c r="K76" s="41">
        <f>F76/12*G76</f>
        <v>2335.424</v>
      </c>
      <c r="L76" s="41">
        <f>F76/12*G76</f>
        <v>2335.424</v>
      </c>
      <c r="M76" s="41">
        <f>F76/12*G76</f>
        <v>2335.424</v>
      </c>
      <c r="N76" s="41">
        <f>F76/12*G76</f>
        <v>2335.424</v>
      </c>
      <c r="O76" s="41">
        <f>F76/12*G76</f>
        <v>2335.424</v>
      </c>
      <c r="P76" s="41">
        <f>F76/12*G76</f>
        <v>2335.424</v>
      </c>
      <c r="Q76" s="41">
        <f>F76/12*G76</f>
        <v>2335.424</v>
      </c>
      <c r="R76" s="41">
        <f>F76/12*G76</f>
        <v>2335.424</v>
      </c>
      <c r="S76" s="41">
        <f>F76/12*G76</f>
        <v>2335.424</v>
      </c>
      <c r="T76" s="41">
        <f>F76/12*G76</f>
        <v>2335.424</v>
      </c>
      <c r="U76" s="41">
        <f>SUM(I76:T76)</f>
        <v>28025.087999999992</v>
      </c>
    </row>
    <row r="77" spans="1:21" s="20" customFormat="1">
      <c r="A77" s="90"/>
      <c r="B77" s="21" t="s">
        <v>37</v>
      </c>
      <c r="C77" s="91"/>
      <c r="D77" s="92"/>
      <c r="E77" s="93"/>
      <c r="F77" s="49"/>
      <c r="G77" s="94"/>
      <c r="H77" s="50">
        <f>SUM(H75:H76)</f>
        <v>28.051188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>
        <f>SUM(U75:U76)</f>
        <v>28051.187999999991</v>
      </c>
    </row>
    <row r="78" spans="1:21" ht="24.75" customHeight="1">
      <c r="A78" s="75"/>
      <c r="B78" s="8" t="s">
        <v>137</v>
      </c>
      <c r="C78" s="71"/>
      <c r="D78" s="26"/>
      <c r="E78" s="38">
        <f>E76</f>
        <v>1042.5999999999999</v>
      </c>
      <c r="F78" s="58">
        <f>E78*12</f>
        <v>12511.199999999999</v>
      </c>
      <c r="G78" s="58">
        <v>1.74</v>
      </c>
      <c r="H78" s="73">
        <f>F78*G78/1000</f>
        <v>21.769487999999999</v>
      </c>
      <c r="I78" s="41">
        <f>F78/12*G78</f>
        <v>1814.1239999999998</v>
      </c>
      <c r="J78" s="41">
        <f>F78/12*G78</f>
        <v>1814.1239999999998</v>
      </c>
      <c r="K78" s="41">
        <f>F78/12*G78</f>
        <v>1814.1239999999998</v>
      </c>
      <c r="L78" s="41">
        <f>F78/12*G78</f>
        <v>1814.1239999999998</v>
      </c>
      <c r="M78" s="41">
        <f>F78/12*G78</f>
        <v>1814.1239999999998</v>
      </c>
      <c r="N78" s="41">
        <f>F78/12*G78</f>
        <v>1814.1239999999998</v>
      </c>
      <c r="O78" s="41">
        <f>F78/12*G78</f>
        <v>1814.1239999999998</v>
      </c>
      <c r="P78" s="41">
        <f>F78/12*G78</f>
        <v>1814.1239999999998</v>
      </c>
      <c r="Q78" s="41">
        <f>F78/12*G78</f>
        <v>1814.1239999999998</v>
      </c>
      <c r="R78" s="41">
        <f>F78/12*G78</f>
        <v>1814.1239999999998</v>
      </c>
      <c r="S78" s="41">
        <f>F78/12*G78</f>
        <v>1814.1239999999998</v>
      </c>
      <c r="T78" s="41">
        <f>F78/12*G78</f>
        <v>1814.1239999999998</v>
      </c>
      <c r="U78" s="41">
        <f>SUM(I78:T78)</f>
        <v>21769.487999999998</v>
      </c>
    </row>
    <row r="79" spans="1:21" s="20" customFormat="1">
      <c r="A79" s="90"/>
      <c r="B79" s="95" t="s">
        <v>138</v>
      </c>
      <c r="C79" s="96"/>
      <c r="D79" s="95"/>
      <c r="E79" s="49"/>
      <c r="F79" s="49"/>
      <c r="G79" s="49"/>
      <c r="H79" s="83">
        <f>H78</f>
        <v>21.769487999999999</v>
      </c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128">
        <f>U78</f>
        <v>21769.487999999998</v>
      </c>
    </row>
    <row r="80" spans="1:21" s="20" customFormat="1">
      <c r="A80" s="90"/>
      <c r="B80" s="95" t="s">
        <v>139</v>
      </c>
      <c r="C80" s="97"/>
      <c r="D80" s="98"/>
      <c r="E80" s="99"/>
      <c r="F80" s="99"/>
      <c r="G80" s="99"/>
      <c r="H80" s="83">
        <f>SUM(H79+H77+H74+H53+H41+H32+H22)</f>
        <v>274.43864838986667</v>
      </c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128">
        <f>SUM(U79+U77+U74+U53+U41+U32+U22)</f>
        <v>248472.49778986664</v>
      </c>
    </row>
    <row r="81" spans="1:21">
      <c r="A81" s="75"/>
      <c r="B81" s="26" t="s">
        <v>140</v>
      </c>
      <c r="C81" s="71"/>
      <c r="D81" s="26"/>
      <c r="E81" s="58"/>
      <c r="F81" s="58"/>
      <c r="G81" s="58" t="s">
        <v>141</v>
      </c>
      <c r="H81" s="100">
        <f>E78</f>
        <v>1042.5999999999999</v>
      </c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</row>
    <row r="82" spans="1:21" s="20" customFormat="1">
      <c r="A82" s="90"/>
      <c r="B82" s="98" t="s">
        <v>142</v>
      </c>
      <c r="C82" s="97"/>
      <c r="D82" s="98"/>
      <c r="E82" s="99"/>
      <c r="F82" s="99"/>
      <c r="G82" s="99"/>
      <c r="H82" s="101">
        <f>SUM(H80/H81/12*1000)</f>
        <v>21.935437718993118</v>
      </c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129"/>
    </row>
    <row r="83" spans="1:21">
      <c r="A83" s="102"/>
      <c r="B83" s="26"/>
      <c r="C83" s="71"/>
      <c r="D83" s="26"/>
      <c r="E83" s="58"/>
      <c r="F83" s="58"/>
      <c r="G83" s="58"/>
      <c r="H83" s="103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130"/>
    </row>
    <row r="84" spans="1:21">
      <c r="A84" s="75"/>
      <c r="B84" s="76" t="s">
        <v>143</v>
      </c>
      <c r="C84" s="71"/>
      <c r="D84" s="26"/>
      <c r="E84" s="58"/>
      <c r="F84" s="58"/>
      <c r="G84" s="58"/>
      <c r="H84" s="58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</row>
    <row r="85" spans="1:21" ht="25.5">
      <c r="A85" s="125" t="s">
        <v>186</v>
      </c>
      <c r="B85" s="25" t="s">
        <v>184</v>
      </c>
      <c r="C85" s="126" t="s">
        <v>185</v>
      </c>
      <c r="D85" s="26"/>
      <c r="E85" s="58"/>
      <c r="F85" s="58">
        <v>2</v>
      </c>
      <c r="G85" s="58">
        <v>511.54</v>
      </c>
      <c r="H85" s="73">
        <f>G85*F85/1000</f>
        <v>1.02308</v>
      </c>
      <c r="I85" s="41">
        <f>G85</f>
        <v>511.54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f>G85</f>
        <v>511.54</v>
      </c>
      <c r="U85" s="41">
        <f>SUM(I85:T85)</f>
        <v>1023.08</v>
      </c>
    </row>
    <row r="86" spans="1:21" ht="25.5">
      <c r="A86" s="125" t="s">
        <v>187</v>
      </c>
      <c r="B86" s="25" t="s">
        <v>188</v>
      </c>
      <c r="C86" s="126" t="s">
        <v>99</v>
      </c>
      <c r="D86" s="26"/>
      <c r="E86" s="58"/>
      <c r="F86" s="58">
        <v>1</v>
      </c>
      <c r="G86" s="58">
        <v>1023.97</v>
      </c>
      <c r="H86" s="73">
        <f>G86*F86/1000</f>
        <v>1.02397</v>
      </c>
      <c r="I86" s="41">
        <f>G86</f>
        <v>1023.97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f>SUM(I86:T86)</f>
        <v>1023.97</v>
      </c>
    </row>
    <row r="87" spans="1:21">
      <c r="A87" s="125" t="s">
        <v>195</v>
      </c>
      <c r="B87" s="25" t="s">
        <v>196</v>
      </c>
      <c r="C87" s="126" t="s">
        <v>197</v>
      </c>
      <c r="D87" s="26"/>
      <c r="E87" s="58"/>
      <c r="F87" s="58">
        <v>2</v>
      </c>
      <c r="G87" s="58">
        <v>1372</v>
      </c>
      <c r="H87" s="73">
        <f>G87*F87/1000</f>
        <v>2.7440000000000002</v>
      </c>
      <c r="I87" s="41">
        <v>0</v>
      </c>
      <c r="J87" s="41">
        <v>0</v>
      </c>
      <c r="K87" s="41">
        <f>G87</f>
        <v>1372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f>G87</f>
        <v>1372</v>
      </c>
      <c r="U87" s="41">
        <f>SUM(I87:T87)</f>
        <v>2744</v>
      </c>
    </row>
    <row r="88" spans="1:21" ht="38.25">
      <c r="A88" s="135" t="s">
        <v>200</v>
      </c>
      <c r="B88" s="136" t="s">
        <v>198</v>
      </c>
      <c r="C88" s="135" t="s">
        <v>199</v>
      </c>
      <c r="D88" s="26"/>
      <c r="E88" s="58"/>
      <c r="F88" s="58">
        <v>1</v>
      </c>
      <c r="G88" s="58">
        <v>5156.5600000000004</v>
      </c>
      <c r="H88" s="73">
        <f>G88*F88/1000</f>
        <v>5.1565600000000007</v>
      </c>
      <c r="I88" s="41">
        <v>0</v>
      </c>
      <c r="J88" s="41">
        <v>0</v>
      </c>
      <c r="K88" s="41">
        <v>0</v>
      </c>
      <c r="L88" s="41">
        <f>G88</f>
        <v>5156.5600000000004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f>SUM(I88:T88)</f>
        <v>5156.5600000000004</v>
      </c>
    </row>
    <row r="89" spans="1:21" ht="25.5">
      <c r="A89" s="125" t="s">
        <v>208</v>
      </c>
      <c r="B89" s="25" t="s">
        <v>207</v>
      </c>
      <c r="C89" s="126" t="s">
        <v>99</v>
      </c>
      <c r="D89" s="26"/>
      <c r="E89" s="58"/>
      <c r="F89" s="58">
        <v>1</v>
      </c>
      <c r="G89" s="58">
        <v>72.290000000000006</v>
      </c>
      <c r="H89" s="73">
        <f>G89*F89/1000</f>
        <v>7.2290000000000007E-2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f>G89</f>
        <v>72.290000000000006</v>
      </c>
      <c r="T89" s="41">
        <v>0</v>
      </c>
      <c r="U89" s="41">
        <f>SUM(I89:T89)</f>
        <v>72.290000000000006</v>
      </c>
    </row>
    <row r="90" spans="1:21" ht="25.5">
      <c r="A90" s="126" t="s">
        <v>210</v>
      </c>
      <c r="B90" s="25" t="s">
        <v>211</v>
      </c>
      <c r="C90" s="126" t="s">
        <v>209</v>
      </c>
      <c r="D90" s="26"/>
      <c r="E90" s="58"/>
      <c r="F90" s="58">
        <v>5</v>
      </c>
      <c r="G90" s="58">
        <v>169.85</v>
      </c>
      <c r="H90" s="73">
        <f>G90*F90/1000</f>
        <v>0.84924999999999995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f>G90</f>
        <v>169.85</v>
      </c>
      <c r="O90" s="41">
        <v>0</v>
      </c>
      <c r="P90" s="41">
        <f>G90*2</f>
        <v>339.7</v>
      </c>
      <c r="Q90" s="41">
        <v>0</v>
      </c>
      <c r="R90" s="41">
        <v>0</v>
      </c>
      <c r="S90" s="41">
        <f>G90</f>
        <v>169.85</v>
      </c>
      <c r="T90" s="41">
        <f>G90</f>
        <v>169.85</v>
      </c>
      <c r="U90" s="41">
        <f>SUM(I90:T90)</f>
        <v>849.25</v>
      </c>
    </row>
    <row r="91" spans="1:21" ht="27" customHeight="1">
      <c r="A91" s="135" t="s">
        <v>93</v>
      </c>
      <c r="B91" s="136" t="s">
        <v>212</v>
      </c>
      <c r="C91" s="135" t="s">
        <v>95</v>
      </c>
      <c r="D91" s="26"/>
      <c r="E91" s="58"/>
      <c r="F91" s="58">
        <v>0.01</v>
      </c>
      <c r="G91" s="58">
        <v>3105.72</v>
      </c>
      <c r="H91" s="73">
        <f>G91*F91/1000</f>
        <v>3.1057199999999997E-2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f>G91*0.01</f>
        <v>31.057199999999998</v>
      </c>
      <c r="U91" s="41">
        <f>SUM(I91:T91)</f>
        <v>31.057199999999998</v>
      </c>
    </row>
    <row r="92" spans="1:21" ht="39.75" customHeight="1">
      <c r="A92" s="126" t="s">
        <v>215</v>
      </c>
      <c r="B92" s="25" t="s">
        <v>213</v>
      </c>
      <c r="C92" s="126" t="s">
        <v>214</v>
      </c>
      <c r="D92" s="26"/>
      <c r="E92" s="58"/>
      <c r="F92" s="58">
        <v>1</v>
      </c>
      <c r="G92" s="58">
        <v>46.98</v>
      </c>
      <c r="H92" s="73">
        <f>G92*F92/1000</f>
        <v>4.6979999999999994E-2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f>G92</f>
        <v>46.98</v>
      </c>
      <c r="R92" s="41">
        <v>0</v>
      </c>
      <c r="S92" s="41">
        <v>0</v>
      </c>
      <c r="T92" s="41">
        <v>0</v>
      </c>
      <c r="U92" s="41">
        <f>SUM(I92:T92)</f>
        <v>46.98</v>
      </c>
    </row>
    <row r="93" spans="1:21" ht="23.25" customHeight="1">
      <c r="A93" s="150" t="s">
        <v>217</v>
      </c>
      <c r="B93" s="151" t="s">
        <v>216</v>
      </c>
      <c r="C93" s="126" t="s">
        <v>99</v>
      </c>
      <c r="D93" s="26"/>
      <c r="E93" s="58"/>
      <c r="F93" s="58">
        <v>1</v>
      </c>
      <c r="G93" s="58">
        <v>314.49</v>
      </c>
      <c r="H93" s="73">
        <f>G93*F93/1000</f>
        <v>0.31448999999999999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f>G93</f>
        <v>314.49</v>
      </c>
      <c r="S93" s="41">
        <v>0</v>
      </c>
      <c r="T93" s="41">
        <v>0</v>
      </c>
      <c r="U93" s="41">
        <f>SUM(I93:T93)</f>
        <v>314.49</v>
      </c>
    </row>
    <row r="94" spans="1:21" ht="23.25" customHeight="1">
      <c r="A94" s="126" t="s">
        <v>218</v>
      </c>
      <c r="B94" s="151" t="s">
        <v>219</v>
      </c>
      <c r="C94" s="126" t="s">
        <v>220</v>
      </c>
      <c r="D94" s="26"/>
      <c r="E94" s="58"/>
      <c r="F94" s="58">
        <v>0.6</v>
      </c>
      <c r="G94" s="58">
        <v>6985.97</v>
      </c>
      <c r="H94" s="73">
        <f>G94*F94/1000</f>
        <v>4.1915820000000004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f>G94*0.6</f>
        <v>4191.5820000000003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f>SUM(I94:T94)</f>
        <v>4191.5820000000003</v>
      </c>
    </row>
    <row r="95" spans="1:21" ht="26.25" customHeight="1">
      <c r="A95" s="150" t="s">
        <v>223</v>
      </c>
      <c r="B95" s="25" t="s">
        <v>221</v>
      </c>
      <c r="C95" s="126" t="s">
        <v>222</v>
      </c>
      <c r="D95" s="26"/>
      <c r="E95" s="58"/>
      <c r="F95" s="58">
        <v>1</v>
      </c>
      <c r="G95" s="58">
        <v>38.270000000000003</v>
      </c>
      <c r="H95" s="73">
        <f>G95*F95/1000</f>
        <v>3.8270000000000005E-2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f>G95</f>
        <v>38.270000000000003</v>
      </c>
      <c r="S95" s="41">
        <v>0</v>
      </c>
      <c r="T95" s="41">
        <v>0</v>
      </c>
      <c r="U95" s="41">
        <f>SUM(I95:T95)</f>
        <v>38.270000000000003</v>
      </c>
    </row>
    <row r="96" spans="1:21" s="20" customFormat="1">
      <c r="A96" s="104"/>
      <c r="B96" s="105" t="s">
        <v>144</v>
      </c>
      <c r="C96" s="104"/>
      <c r="D96" s="104"/>
      <c r="E96" s="99"/>
      <c r="F96" s="99"/>
      <c r="G96" s="99"/>
      <c r="H96" s="50">
        <f>SUM(H85:H95)</f>
        <v>15.4915292</v>
      </c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49">
        <f>SUM(U85:U95)</f>
        <v>15491.529200000001</v>
      </c>
    </row>
    <row r="97" spans="1:21">
      <c r="A97" s="102"/>
      <c r="B97" s="106"/>
      <c r="C97" s="107"/>
      <c r="D97" s="107"/>
      <c r="E97" s="58"/>
      <c r="F97" s="58"/>
      <c r="G97" s="58"/>
      <c r="H97" s="108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131"/>
    </row>
    <row r="98" spans="1:21" ht="12" customHeight="1">
      <c r="A98" s="75"/>
      <c r="B98" s="19" t="s">
        <v>145</v>
      </c>
      <c r="C98" s="71"/>
      <c r="D98" s="26"/>
      <c r="E98" s="58"/>
      <c r="F98" s="58"/>
      <c r="G98" s="58"/>
      <c r="H98" s="109">
        <f>H96/E99/12*1000</f>
        <v>1.2382128972440694</v>
      </c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131"/>
    </row>
    <row r="99" spans="1:21" s="20" customFormat="1">
      <c r="A99" s="90"/>
      <c r="B99" s="110" t="s">
        <v>146</v>
      </c>
      <c r="C99" s="111"/>
      <c r="D99" s="110"/>
      <c r="E99" s="112">
        <v>1042.5999999999999</v>
      </c>
      <c r="F99" s="113">
        <f>SUM(E99*12)</f>
        <v>12511.199999999999</v>
      </c>
      <c r="G99" s="114">
        <f>H82+H98</f>
        <v>23.173650616237186</v>
      </c>
      <c r="H99" s="115">
        <f>SUM(F99*G99/1000)</f>
        <v>289.93017758986667</v>
      </c>
      <c r="I99" s="99">
        <f>SUM(I11:I98)</f>
        <v>21693.763256666669</v>
      </c>
      <c r="J99" s="99">
        <f>SUM(J11:J97)</f>
        <v>22218.403956666665</v>
      </c>
      <c r="K99" s="99">
        <f t="shared" ref="K99:R99" si="11">SUM(K11:K98)</f>
        <v>20225.377456666665</v>
      </c>
      <c r="L99" s="99">
        <f t="shared" si="11"/>
        <v>27472.11783066667</v>
      </c>
      <c r="M99" s="99">
        <f t="shared" si="11"/>
        <v>41083.235293644437</v>
      </c>
      <c r="N99" s="99">
        <f t="shared" si="11"/>
        <v>16077.535633644444</v>
      </c>
      <c r="O99" s="99">
        <f t="shared" si="11"/>
        <v>20026.71759364444</v>
      </c>
      <c r="P99" s="99">
        <f t="shared" si="11"/>
        <v>18347.854093644444</v>
      </c>
      <c r="Q99" s="99">
        <f t="shared" si="11"/>
        <v>18350.12729364444</v>
      </c>
      <c r="R99" s="99">
        <f t="shared" si="11"/>
        <v>16895.134467644446</v>
      </c>
      <c r="S99" s="99">
        <f>SUM(S11:S98)</f>
        <v>19095.517456666665</v>
      </c>
      <c r="T99" s="99">
        <f>SUM(T11:T98)</f>
        <v>22478.242656666662</v>
      </c>
      <c r="U99" s="49">
        <f>U80+U96</f>
        <v>263964.02698986663</v>
      </c>
    </row>
    <row r="100" spans="1:21">
      <c r="A100" s="75"/>
      <c r="B100" s="75"/>
      <c r="C100" s="75"/>
      <c r="D100" s="75"/>
      <c r="E100" s="116"/>
      <c r="F100" s="116"/>
      <c r="G100" s="116"/>
      <c r="H100" s="116"/>
      <c r="I100" s="116"/>
      <c r="J100" s="116"/>
      <c r="K100" s="116"/>
      <c r="L100" s="116"/>
      <c r="M100" s="75"/>
      <c r="N100" s="116"/>
      <c r="O100" s="75"/>
      <c r="P100" s="75"/>
      <c r="Q100" s="75"/>
      <c r="R100" s="75"/>
      <c r="S100" s="75"/>
      <c r="T100" s="75"/>
      <c r="U100" s="75"/>
    </row>
    <row r="101" spans="1:21">
      <c r="A101" s="75"/>
      <c r="B101" s="75"/>
      <c r="C101" s="75"/>
      <c r="D101" s="75"/>
      <c r="E101" s="116"/>
      <c r="F101" s="116"/>
      <c r="G101" s="116"/>
      <c r="H101" s="116"/>
      <c r="I101" s="116"/>
      <c r="J101" s="117"/>
      <c r="K101" s="118"/>
      <c r="L101" s="117"/>
      <c r="M101" s="116"/>
      <c r="N101" s="75"/>
      <c r="O101" s="75"/>
      <c r="P101" s="75"/>
      <c r="Q101" s="75"/>
      <c r="R101" s="75"/>
      <c r="S101" s="75"/>
      <c r="T101" s="75"/>
      <c r="U101" s="75"/>
    </row>
    <row r="102" spans="1:21" ht="45">
      <c r="A102" s="75"/>
      <c r="B102" s="119" t="s">
        <v>183</v>
      </c>
      <c r="C102" s="143">
        <v>325708.06</v>
      </c>
      <c r="D102" s="138"/>
      <c r="E102" s="138"/>
      <c r="F102" s="139"/>
      <c r="G102" s="116"/>
      <c r="H102" s="116"/>
      <c r="I102" s="116"/>
      <c r="J102" s="117"/>
      <c r="K102" s="118"/>
      <c r="L102" s="117"/>
      <c r="M102" s="116"/>
      <c r="N102" s="75"/>
      <c r="O102" s="75"/>
      <c r="P102" s="75"/>
      <c r="Q102" s="75"/>
      <c r="R102" s="75"/>
      <c r="S102" s="75"/>
      <c r="T102" s="75"/>
      <c r="U102" s="75"/>
    </row>
    <row r="103" spans="1:21" ht="30">
      <c r="A103" s="75"/>
      <c r="B103" s="23" t="s">
        <v>201</v>
      </c>
      <c r="C103" s="140">
        <v>285130.44</v>
      </c>
      <c r="D103" s="141"/>
      <c r="E103" s="141"/>
      <c r="F103" s="142"/>
      <c r="G103" s="116"/>
      <c r="H103" s="116"/>
      <c r="I103" s="116"/>
      <c r="J103" s="117"/>
      <c r="K103" s="118"/>
      <c r="L103" s="117"/>
      <c r="M103" s="116"/>
      <c r="N103" s="75"/>
      <c r="O103" s="75"/>
      <c r="P103" s="75"/>
      <c r="Q103" s="75"/>
      <c r="R103" s="75"/>
      <c r="S103" s="75"/>
      <c r="T103" s="75"/>
      <c r="U103" s="75"/>
    </row>
    <row r="104" spans="1:21" ht="30">
      <c r="A104" s="75"/>
      <c r="B104" s="23" t="s">
        <v>202</v>
      </c>
      <c r="C104" s="140">
        <f>SUM(U99-U96)</f>
        <v>248472.49778986664</v>
      </c>
      <c r="D104" s="141"/>
      <c r="E104" s="141"/>
      <c r="F104" s="142"/>
      <c r="G104" s="116"/>
      <c r="H104" s="116"/>
      <c r="I104" s="116"/>
      <c r="J104" s="117"/>
      <c r="K104" s="118"/>
      <c r="L104" s="117"/>
      <c r="M104" s="116"/>
      <c r="N104" s="75"/>
      <c r="O104" s="75"/>
      <c r="P104" s="75"/>
      <c r="Q104" s="75"/>
      <c r="R104" s="75"/>
      <c r="S104" s="75"/>
      <c r="T104" s="75"/>
      <c r="U104" s="75"/>
    </row>
    <row r="105" spans="1:21" ht="30">
      <c r="A105" s="75"/>
      <c r="B105" s="23" t="s">
        <v>203</v>
      </c>
      <c r="C105" s="140">
        <f>SUM(U96)</f>
        <v>15491.529200000001</v>
      </c>
      <c r="D105" s="141"/>
      <c r="E105" s="141"/>
      <c r="F105" s="142"/>
      <c r="G105" s="116"/>
      <c r="H105" s="116"/>
      <c r="I105" s="116"/>
      <c r="J105" s="117"/>
      <c r="K105" s="118"/>
      <c r="L105" s="117"/>
      <c r="M105" s="116"/>
      <c r="N105" s="75"/>
      <c r="O105" s="75"/>
      <c r="P105" s="75"/>
      <c r="Q105" s="75"/>
      <c r="R105" s="75"/>
      <c r="S105" s="75"/>
      <c r="T105" s="75"/>
      <c r="U105" s="75"/>
    </row>
    <row r="106" spans="1:21" ht="18">
      <c r="A106" s="75"/>
      <c r="B106" s="127" t="s">
        <v>204</v>
      </c>
      <c r="C106" s="143">
        <v>292330.67</v>
      </c>
      <c r="D106" s="138"/>
      <c r="E106" s="138"/>
      <c r="F106" s="139"/>
      <c r="G106" s="75"/>
      <c r="H106" s="120" t="s">
        <v>161</v>
      </c>
      <c r="I106" s="121"/>
      <c r="J106" s="121"/>
      <c r="K106" s="122"/>
      <c r="L106" s="123"/>
      <c r="M106" s="120"/>
      <c r="N106" s="120"/>
      <c r="O106" s="75"/>
      <c r="P106" s="75"/>
      <c r="Q106" s="75"/>
      <c r="R106" s="75"/>
      <c r="S106" s="75"/>
      <c r="T106" s="75"/>
      <c r="U106" s="75"/>
    </row>
    <row r="107" spans="1:21" ht="78.75">
      <c r="A107" s="75"/>
      <c r="B107" s="24" t="s">
        <v>205</v>
      </c>
      <c r="C107" s="144">
        <v>46501.279999999999</v>
      </c>
      <c r="D107" s="145"/>
      <c r="E107" s="145"/>
      <c r="F107" s="146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</row>
    <row r="108" spans="1:21" ht="45">
      <c r="A108" s="75"/>
      <c r="B108" s="124" t="s">
        <v>206</v>
      </c>
      <c r="C108" s="137">
        <f>SUM(U99-C103)+C102</f>
        <v>304541.64698986663</v>
      </c>
      <c r="D108" s="138"/>
      <c r="E108" s="138"/>
      <c r="F108" s="139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</row>
    <row r="110" spans="1:21">
      <c r="J110" s="3"/>
      <c r="K110" s="4"/>
      <c r="L110" s="4"/>
      <c r="M110" s="2"/>
    </row>
    <row r="111" spans="1:21">
      <c r="G111" s="5"/>
      <c r="H111" s="5"/>
    </row>
    <row r="112" spans="1:21">
      <c r="G112" s="6"/>
    </row>
  </sheetData>
  <mergeCells count="11">
    <mergeCell ref="B3:L3"/>
    <mergeCell ref="B4:L4"/>
    <mergeCell ref="B5:L5"/>
    <mergeCell ref="B6:L6"/>
    <mergeCell ref="C102:F102"/>
    <mergeCell ref="C108:F108"/>
    <mergeCell ref="C103:F103"/>
    <mergeCell ref="C104:F104"/>
    <mergeCell ref="C105:F105"/>
    <mergeCell ref="C106:F106"/>
    <mergeCell ref="C107:F107"/>
  </mergeCells>
  <pageMargins left="0.31496062992125984" right="0.31496062992125984" top="0.15748031496062992" bottom="0.19685039370078741" header="0.15748031496062992" footer="0.15748031496062992"/>
  <pageSetup paperSize="9" scale="3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 47</vt:lpstr>
      <vt:lpstr>'Окт. 47'!Область_печати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2016-03-10T08:17:27Z</dcterms:modified>
</cp:coreProperties>
</file>