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00" yWindow="75" windowWidth="15480" windowHeight="8055" activeTab="11"/>
  </bookViews>
  <sheets>
    <sheet name="01.19" sheetId="38" r:id="rId1"/>
    <sheet name="02.19" sheetId="39" r:id="rId2"/>
    <sheet name="03.19" sheetId="40" r:id="rId3"/>
    <sheet name="04.19" sheetId="41" r:id="rId4"/>
    <sheet name="05.19" sheetId="42" r:id="rId5"/>
    <sheet name="06.19" sheetId="44" r:id="rId6"/>
    <sheet name="07.19" sheetId="45" r:id="rId7"/>
    <sheet name="08.19" sheetId="46" r:id="rId8"/>
    <sheet name="09.19" sheetId="47" r:id="rId9"/>
    <sheet name="10.19" sheetId="35" r:id="rId10"/>
    <sheet name="11.19" sheetId="36" r:id="rId11"/>
    <sheet name="12.19" sheetId="37" r:id="rId12"/>
  </sheets>
  <definedNames>
    <definedName name="_xlnm._FilterDatabase" localSheetId="0" hidden="1">'01.19'!$I$12:$I$64</definedName>
    <definedName name="_xlnm._FilterDatabase" localSheetId="1" hidden="1">'02.19'!$I$12:$I$65</definedName>
    <definedName name="_xlnm._FilterDatabase" localSheetId="2" hidden="1">'03.19'!$I$12:$I$64</definedName>
    <definedName name="_xlnm._FilterDatabase" localSheetId="9" hidden="1">'10.19'!$I$12:$I$63</definedName>
    <definedName name="_xlnm._FilterDatabase" localSheetId="10" hidden="1">'11.19'!$I$12:$I$65</definedName>
    <definedName name="_xlnm._FilterDatabase" localSheetId="11" hidden="1">'12.19'!$I$12:$I$65</definedName>
    <definedName name="_xlnm.Print_Area" localSheetId="0">'01.19'!$A$1:$I$125</definedName>
    <definedName name="_xlnm.Print_Area" localSheetId="1">'02.19'!$A$1:$I$128</definedName>
    <definedName name="_xlnm.Print_Area" localSheetId="2">'03.19'!$A$1:$I$124</definedName>
    <definedName name="_xlnm.Print_Area" localSheetId="9">'10.19'!$A$1:$I$115</definedName>
    <definedName name="_xlnm.Print_Area" localSheetId="10">'11.19'!$A$1:$I$116</definedName>
    <definedName name="_xlnm.Print_Area" localSheetId="11">'12.19'!$A$1:$I$122</definedName>
  </definedNames>
  <calcPr calcId="124519"/>
</workbook>
</file>

<file path=xl/calcChain.xml><?xml version="1.0" encoding="utf-8"?>
<calcChain xmlns="http://schemas.openxmlformats.org/spreadsheetml/2006/main">
  <c r="I56" i="37"/>
  <c r="I99"/>
  <c r="I98"/>
  <c r="I97"/>
  <c r="I96"/>
  <c r="I95"/>
  <c r="I94"/>
  <c r="I93"/>
  <c r="I92"/>
  <c r="I91" l="1"/>
  <c r="I90"/>
  <c r="I89"/>
  <c r="H89"/>
  <c r="I42"/>
  <c r="H42"/>
  <c r="F41"/>
  <c r="H41" s="1"/>
  <c r="F40"/>
  <c r="I40" s="1"/>
  <c r="F39"/>
  <c r="H39" s="1"/>
  <c r="F38"/>
  <c r="I38" s="1"/>
  <c r="I37"/>
  <c r="F25"/>
  <c r="H25" s="1"/>
  <c r="H24"/>
  <c r="F24"/>
  <c r="I24" s="1"/>
  <c r="F23"/>
  <c r="H23" s="1"/>
  <c r="H22"/>
  <c r="F22"/>
  <c r="I22" s="1"/>
  <c r="F21"/>
  <c r="H21" s="1"/>
  <c r="H20"/>
  <c r="F20"/>
  <c r="I20" s="1"/>
  <c r="F19"/>
  <c r="H19" s="1"/>
  <c r="E18"/>
  <c r="F18" s="1"/>
  <c r="H17"/>
  <c r="F17"/>
  <c r="I17" s="1"/>
  <c r="F16"/>
  <c r="H16" s="1"/>
  <c r="H38" l="1"/>
  <c r="I39"/>
  <c r="H40"/>
  <c r="I41"/>
  <c r="I18"/>
  <c r="H18"/>
  <c r="I19"/>
  <c r="I21"/>
  <c r="I25"/>
  <c r="I16"/>
  <c r="I23"/>
  <c r="I87" i="36" l="1"/>
  <c r="I93"/>
  <c r="I92"/>
  <c r="I91"/>
  <c r="I90"/>
  <c r="I89"/>
  <c r="I37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92" i="35"/>
  <c r="I91"/>
  <c r="I90"/>
  <c r="I85"/>
  <c r="I89"/>
  <c r="I88"/>
  <c r="I87"/>
  <c r="I63"/>
  <c r="F31"/>
  <c r="H31" s="1"/>
  <c r="F30"/>
  <c r="I30" s="1"/>
  <c r="F29"/>
  <c r="I29" s="1"/>
  <c r="F28"/>
  <c r="I28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17" i="36" l="1"/>
  <c r="H20"/>
  <c r="H24"/>
  <c r="H22"/>
  <c r="I18"/>
  <c r="H18"/>
  <c r="I16"/>
  <c r="I19"/>
  <c r="I21"/>
  <c r="I23"/>
  <c r="I25"/>
  <c r="H22" i="35"/>
  <c r="H29"/>
  <c r="H17"/>
  <c r="H20"/>
  <c r="H28"/>
  <c r="H30"/>
  <c r="I31"/>
  <c r="I18"/>
  <c r="H18"/>
  <c r="I16"/>
  <c r="I19"/>
  <c r="I21"/>
  <c r="I23"/>
  <c r="H24"/>
  <c r="I25"/>
  <c r="I85" i="47" l="1"/>
  <c r="I90"/>
  <c r="I89"/>
  <c r="I88"/>
  <c r="I87"/>
  <c r="I79"/>
  <c r="I63"/>
  <c r="F31"/>
  <c r="I31" s="1"/>
  <c r="F30"/>
  <c r="H30" s="1"/>
  <c r="F29"/>
  <c r="I29" s="1"/>
  <c r="F28"/>
  <c r="H28" s="1"/>
  <c r="F25"/>
  <c r="H25" s="1"/>
  <c r="E18"/>
  <c r="F18" s="1"/>
  <c r="F17"/>
  <c r="I17" s="1"/>
  <c r="F16"/>
  <c r="I16" s="1"/>
  <c r="I85" i="46"/>
  <c r="I58"/>
  <c r="I95"/>
  <c r="I94"/>
  <c r="I93"/>
  <c r="I92"/>
  <c r="I91"/>
  <c r="I90"/>
  <c r="I89"/>
  <c r="I88"/>
  <c r="I87"/>
  <c r="F31"/>
  <c r="H31" s="1"/>
  <c r="F30"/>
  <c r="I30" s="1"/>
  <c r="F29"/>
  <c r="H29" s="1"/>
  <c r="F28"/>
  <c r="I28" s="1"/>
  <c r="F25"/>
  <c r="I25" s="1"/>
  <c r="E18"/>
  <c r="F18" s="1"/>
  <c r="F17"/>
  <c r="I17" s="1"/>
  <c r="F16"/>
  <c r="I16" s="1"/>
  <c r="I96" i="44"/>
  <c r="I95"/>
  <c r="I84" i="45"/>
  <c r="I99"/>
  <c r="I98"/>
  <c r="I97"/>
  <c r="I96"/>
  <c r="I95"/>
  <c r="I94"/>
  <c r="I93"/>
  <c r="I92"/>
  <c r="I91"/>
  <c r="I90"/>
  <c r="I89"/>
  <c r="I88"/>
  <c r="I87"/>
  <c r="I86"/>
  <c r="I100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17" i="47" l="1"/>
  <c r="H31"/>
  <c r="H29"/>
  <c r="I28"/>
  <c r="I30"/>
  <c r="I25"/>
  <c r="H18"/>
  <c r="I18"/>
  <c r="H16"/>
  <c r="H28" i="46"/>
  <c r="H25"/>
  <c r="H17"/>
  <c r="H30"/>
  <c r="I29"/>
  <c r="I31"/>
  <c r="H18"/>
  <c r="I18"/>
  <c r="H16"/>
  <c r="H17" i="45"/>
  <c r="I18"/>
  <c r="H18"/>
  <c r="I16"/>
  <c r="I25"/>
  <c r="I87" i="44" l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7" i="42"/>
  <c r="F25"/>
  <c r="H25" s="1"/>
  <c r="F25" i="41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H16" s="1"/>
  <c r="I41" i="40"/>
  <c r="I40"/>
  <c r="H41"/>
  <c r="F40"/>
  <c r="H40" s="1"/>
  <c r="F39"/>
  <c r="I39" s="1"/>
  <c r="F38"/>
  <c r="H38" s="1"/>
  <c r="F37"/>
  <c r="I37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H16" s="1"/>
  <c r="F25" i="39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H16" s="1"/>
  <c r="F25" i="38"/>
  <c r="H17" i="44" l="1"/>
  <c r="I18"/>
  <c r="H18"/>
  <c r="I16"/>
  <c r="I25"/>
  <c r="I25" i="42"/>
  <c r="I18" i="41"/>
  <c r="H18"/>
  <c r="I16"/>
  <c r="I25"/>
  <c r="H37" i="40"/>
  <c r="I38"/>
  <c r="H39"/>
  <c r="I18"/>
  <c r="H18"/>
  <c r="I16"/>
  <c r="I25"/>
  <c r="I18" i="39"/>
  <c r="H18"/>
  <c r="I16"/>
  <c r="I25"/>
  <c r="I94" i="44" l="1"/>
  <c r="I93"/>
  <c r="I92"/>
  <c r="I91"/>
  <c r="I90"/>
  <c r="I89"/>
  <c r="I91" i="42"/>
  <c r="I90"/>
  <c r="I89"/>
  <c r="I93" s="1"/>
  <c r="I63"/>
  <c r="I88" i="41" l="1"/>
  <c r="I36"/>
  <c r="I90"/>
  <c r="I86" i="40" l="1"/>
  <c r="I101"/>
  <c r="I100"/>
  <c r="I99"/>
  <c r="I98"/>
  <c r="I97"/>
  <c r="I96"/>
  <c r="I95"/>
  <c r="I94"/>
  <c r="I93"/>
  <c r="I92"/>
  <c r="I91"/>
  <c r="I90"/>
  <c r="I89"/>
  <c r="I88"/>
  <c r="I55"/>
  <c r="I36"/>
  <c r="I105" i="39" l="1"/>
  <c r="I104"/>
  <c r="I103"/>
  <c r="I87" l="1"/>
  <c r="I107" s="1"/>
  <c r="I102"/>
  <c r="I101"/>
  <c r="I100"/>
  <c r="I99"/>
  <c r="I98"/>
  <c r="I97"/>
  <c r="I96"/>
  <c r="I95"/>
  <c r="I94"/>
  <c r="I93"/>
  <c r="I92"/>
  <c r="I91"/>
  <c r="I90"/>
  <c r="I89"/>
  <c r="I56"/>
  <c r="I36" i="38"/>
  <c r="I64"/>
  <c r="I101"/>
  <c r="I100"/>
  <c r="I99"/>
  <c r="I98"/>
  <c r="I97"/>
  <c r="I96"/>
  <c r="I95"/>
  <c r="I94"/>
  <c r="I93"/>
  <c r="I102" s="1"/>
  <c r="I92"/>
  <c r="I91"/>
  <c r="I90"/>
  <c r="I89"/>
  <c r="I88"/>
  <c r="I55"/>
  <c r="F51"/>
  <c r="H51" s="1"/>
  <c r="I42" i="36"/>
  <c r="I58" i="47"/>
  <c r="H87"/>
  <c r="E84"/>
  <c r="F84" s="1"/>
  <c r="F83"/>
  <c r="H83" s="1"/>
  <c r="I81"/>
  <c r="H81"/>
  <c r="H79"/>
  <c r="I78"/>
  <c r="I77"/>
  <c r="H77"/>
  <c r="I76"/>
  <c r="F76"/>
  <c r="H76" s="1"/>
  <c r="I75"/>
  <c r="H75"/>
  <c r="I74"/>
  <c r="F74"/>
  <c r="H74" s="1"/>
  <c r="F72"/>
  <c r="I72" s="1"/>
  <c r="F70"/>
  <c r="H70" s="1"/>
  <c r="F69"/>
  <c r="I69" s="1"/>
  <c r="F68"/>
  <c r="H68" s="1"/>
  <c r="F67"/>
  <c r="I67" s="1"/>
  <c r="F66"/>
  <c r="H66" s="1"/>
  <c r="F65"/>
  <c r="I65" s="1"/>
  <c r="F64"/>
  <c r="H64" s="1"/>
  <c r="F63"/>
  <c r="H63" s="1"/>
  <c r="F61"/>
  <c r="H61" s="1"/>
  <c r="F60"/>
  <c r="H60" s="1"/>
  <c r="H58"/>
  <c r="F57"/>
  <c r="I57" s="1"/>
  <c r="H56"/>
  <c r="F55"/>
  <c r="I55" s="1"/>
  <c r="I54"/>
  <c r="F54"/>
  <c r="H54" s="1"/>
  <c r="F51"/>
  <c r="I51" s="1"/>
  <c r="F50"/>
  <c r="H50" s="1"/>
  <c r="I49"/>
  <c r="H49"/>
  <c r="F48"/>
  <c r="I48" s="1"/>
  <c r="F47"/>
  <c r="H47" s="1"/>
  <c r="F46"/>
  <c r="I46" s="1"/>
  <c r="F45"/>
  <c r="H45" s="1"/>
  <c r="F44"/>
  <c r="I44" s="1"/>
  <c r="F43"/>
  <c r="H43" s="1"/>
  <c r="F42"/>
  <c r="I42" s="1"/>
  <c r="I40"/>
  <c r="H40"/>
  <c r="F39"/>
  <c r="H39" s="1"/>
  <c r="F38"/>
  <c r="I38" s="1"/>
  <c r="F37"/>
  <c r="H37" s="1"/>
  <c r="F36"/>
  <c r="I36" s="1"/>
  <c r="I35"/>
  <c r="H35"/>
  <c r="H33"/>
  <c r="H32"/>
  <c r="F24"/>
  <c r="H24" s="1"/>
  <c r="F23"/>
  <c r="I23" s="1"/>
  <c r="F22"/>
  <c r="H22" s="1"/>
  <c r="F21"/>
  <c r="I21" s="1"/>
  <c r="F20"/>
  <c r="H20" s="1"/>
  <c r="F19"/>
  <c r="I19" s="1"/>
  <c r="I76" i="46"/>
  <c r="H87"/>
  <c r="E84"/>
  <c r="F84" s="1"/>
  <c r="H84" s="1"/>
  <c r="H85" s="1"/>
  <c r="F83"/>
  <c r="H83" s="1"/>
  <c r="I81"/>
  <c r="H81"/>
  <c r="H79"/>
  <c r="I78"/>
  <c r="I77"/>
  <c r="H77"/>
  <c r="F76"/>
  <c r="H76" s="1"/>
  <c r="I75"/>
  <c r="H75"/>
  <c r="I74"/>
  <c r="F74"/>
  <c r="H74" s="1"/>
  <c r="F72"/>
  <c r="H72" s="1"/>
  <c r="F70"/>
  <c r="I70" s="1"/>
  <c r="F69"/>
  <c r="H69" s="1"/>
  <c r="F68"/>
  <c r="I68" s="1"/>
  <c r="F67"/>
  <c r="H67" s="1"/>
  <c r="F66"/>
  <c r="I66" s="1"/>
  <c r="F65"/>
  <c r="H65" s="1"/>
  <c r="F64"/>
  <c r="H64" s="1"/>
  <c r="F63"/>
  <c r="H63" s="1"/>
  <c r="F61"/>
  <c r="I61" s="1"/>
  <c r="F60"/>
  <c r="H60" s="1"/>
  <c r="H58"/>
  <c r="F57"/>
  <c r="H57" s="1"/>
  <c r="H56"/>
  <c r="F55"/>
  <c r="H55" s="1"/>
  <c r="I54"/>
  <c r="F54"/>
  <c r="H54" s="1"/>
  <c r="F51"/>
  <c r="H51" s="1"/>
  <c r="F50"/>
  <c r="I50" s="1"/>
  <c r="I49"/>
  <c r="H49"/>
  <c r="F48"/>
  <c r="H48" s="1"/>
  <c r="F47"/>
  <c r="I47" s="1"/>
  <c r="F46"/>
  <c r="H46" s="1"/>
  <c r="F45"/>
  <c r="I45" s="1"/>
  <c r="F44"/>
  <c r="H44" s="1"/>
  <c r="F43"/>
  <c r="I43" s="1"/>
  <c r="F42"/>
  <c r="H42" s="1"/>
  <c r="I40"/>
  <c r="H40"/>
  <c r="F39"/>
  <c r="I39" s="1"/>
  <c r="F38"/>
  <c r="H38" s="1"/>
  <c r="F37"/>
  <c r="I37" s="1"/>
  <c r="F36"/>
  <c r="H36" s="1"/>
  <c r="I35"/>
  <c r="H35"/>
  <c r="H33"/>
  <c r="H32"/>
  <c r="F24"/>
  <c r="I24" s="1"/>
  <c r="F23"/>
  <c r="H23" s="1"/>
  <c r="F22"/>
  <c r="I22" s="1"/>
  <c r="F21"/>
  <c r="H21" s="1"/>
  <c r="F20"/>
  <c r="I20" s="1"/>
  <c r="F19"/>
  <c r="H19" s="1"/>
  <c r="I55" i="41"/>
  <c r="H46" i="47" l="1"/>
  <c r="H21"/>
  <c r="H51"/>
  <c r="H72"/>
  <c r="I51" i="38"/>
  <c r="H67" i="47"/>
  <c r="H42"/>
  <c r="H44"/>
  <c r="H69"/>
  <c r="H65"/>
  <c r="H57"/>
  <c r="H55"/>
  <c r="H48"/>
  <c r="H38"/>
  <c r="H36"/>
  <c r="H23"/>
  <c r="H19"/>
  <c r="H84"/>
  <c r="H85" s="1"/>
  <c r="I84"/>
  <c r="I83"/>
  <c r="I20"/>
  <c r="I22"/>
  <c r="I24"/>
  <c r="I37"/>
  <c r="I39"/>
  <c r="I43"/>
  <c r="I45"/>
  <c r="I47"/>
  <c r="I50"/>
  <c r="I61"/>
  <c r="I66"/>
  <c r="I68"/>
  <c r="I70"/>
  <c r="H61" i="46"/>
  <c r="H70"/>
  <c r="H68"/>
  <c r="H66"/>
  <c r="H50"/>
  <c r="H47"/>
  <c r="H45"/>
  <c r="H43"/>
  <c r="H39"/>
  <c r="H37"/>
  <c r="H24"/>
  <c r="H22"/>
  <c r="H20"/>
  <c r="I19"/>
  <c r="I21"/>
  <c r="I23"/>
  <c r="I36"/>
  <c r="I38"/>
  <c r="I42"/>
  <c r="I44"/>
  <c r="I46"/>
  <c r="I48"/>
  <c r="I51"/>
  <c r="I55"/>
  <c r="I57"/>
  <c r="I65"/>
  <c r="I67"/>
  <c r="I69"/>
  <c r="I72"/>
  <c r="I83"/>
  <c r="I84"/>
  <c r="I92" i="47" l="1"/>
  <c r="I97" i="46"/>
  <c r="H86" i="45"/>
  <c r="E83"/>
  <c r="F83" s="1"/>
  <c r="F82"/>
  <c r="I82" s="1"/>
  <c r="I80"/>
  <c r="H80"/>
  <c r="H78"/>
  <c r="I77"/>
  <c r="I76"/>
  <c r="H76"/>
  <c r="F75"/>
  <c r="H75" s="1"/>
  <c r="I74"/>
  <c r="H74"/>
  <c r="I73"/>
  <c r="F73"/>
  <c r="H73" s="1"/>
  <c r="F71"/>
  <c r="H71" s="1"/>
  <c r="F69"/>
  <c r="H69" s="1"/>
  <c r="F68"/>
  <c r="I68" s="1"/>
  <c r="F67"/>
  <c r="H67" s="1"/>
  <c r="F66"/>
  <c r="I66" s="1"/>
  <c r="F65"/>
  <c r="H65" s="1"/>
  <c r="F64"/>
  <c r="H64" s="1"/>
  <c r="F63"/>
  <c r="H63" s="1"/>
  <c r="F61"/>
  <c r="I61" s="1"/>
  <c r="F60"/>
  <c r="H60" s="1"/>
  <c r="I58"/>
  <c r="H58"/>
  <c r="F57"/>
  <c r="H57" s="1"/>
  <c r="H56"/>
  <c r="F55"/>
  <c r="H55" s="1"/>
  <c r="I54"/>
  <c r="F54"/>
  <c r="H54" s="1"/>
  <c r="F51"/>
  <c r="H51" s="1"/>
  <c r="F50"/>
  <c r="I50" s="1"/>
  <c r="I49"/>
  <c r="H49"/>
  <c r="F48"/>
  <c r="H48" s="1"/>
  <c r="F47"/>
  <c r="I47" s="1"/>
  <c r="F46"/>
  <c r="H46" s="1"/>
  <c r="F45"/>
  <c r="I45" s="1"/>
  <c r="F44"/>
  <c r="H44" s="1"/>
  <c r="F43"/>
  <c r="I43" s="1"/>
  <c r="F42"/>
  <c r="H42" s="1"/>
  <c r="I40"/>
  <c r="H40"/>
  <c r="F39"/>
  <c r="I39" s="1"/>
  <c r="F38"/>
  <c r="H38" s="1"/>
  <c r="F37"/>
  <c r="I37" s="1"/>
  <c r="F36"/>
  <c r="H36" s="1"/>
  <c r="I35"/>
  <c r="H35"/>
  <c r="H33"/>
  <c r="H32"/>
  <c r="F31"/>
  <c r="I31" s="1"/>
  <c r="F30"/>
  <c r="H30" s="1"/>
  <c r="F29"/>
  <c r="I29" s="1"/>
  <c r="F28"/>
  <c r="H28" s="1"/>
  <c r="H29" l="1"/>
  <c r="H82"/>
  <c r="H31"/>
  <c r="H61"/>
  <c r="H68"/>
  <c r="H66"/>
  <c r="H50"/>
  <c r="H47"/>
  <c r="H45"/>
  <c r="H43"/>
  <c r="H39"/>
  <c r="H37"/>
  <c r="I83"/>
  <c r="H83"/>
  <c r="H84" s="1"/>
  <c r="I38"/>
  <c r="I42"/>
  <c r="I44"/>
  <c r="I46"/>
  <c r="I48"/>
  <c r="I51"/>
  <c r="I55"/>
  <c r="I57"/>
  <c r="I65"/>
  <c r="I67"/>
  <c r="I69"/>
  <c r="I71"/>
  <c r="I28"/>
  <c r="I30"/>
  <c r="I36"/>
  <c r="I102" l="1"/>
  <c r="H91" i="44" l="1"/>
  <c r="H90"/>
  <c r="H89"/>
  <c r="E86"/>
  <c r="F86" s="1"/>
  <c r="F85"/>
  <c r="I85" s="1"/>
  <c r="I83"/>
  <c r="I81"/>
  <c r="H81"/>
  <c r="H79"/>
  <c r="I78"/>
  <c r="I77"/>
  <c r="H77"/>
  <c r="F76"/>
  <c r="H76" s="1"/>
  <c r="I75"/>
  <c r="H75"/>
  <c r="I74"/>
  <c r="F74"/>
  <c r="H74" s="1"/>
  <c r="F72"/>
  <c r="I72" s="1"/>
  <c r="F70"/>
  <c r="I70" s="1"/>
  <c r="F69"/>
  <c r="I69" s="1"/>
  <c r="F68"/>
  <c r="I68" s="1"/>
  <c r="F67"/>
  <c r="I67" s="1"/>
  <c r="F66"/>
  <c r="I66" s="1"/>
  <c r="F65"/>
  <c r="I65" s="1"/>
  <c r="F64"/>
  <c r="H64" s="1"/>
  <c r="F63"/>
  <c r="H63" s="1"/>
  <c r="F61"/>
  <c r="I61" s="1"/>
  <c r="F60"/>
  <c r="H60" s="1"/>
  <c r="I58"/>
  <c r="H58"/>
  <c r="F57"/>
  <c r="I57" s="1"/>
  <c r="H56"/>
  <c r="F55"/>
  <c r="I55" s="1"/>
  <c r="I54"/>
  <c r="F54"/>
  <c r="H54" s="1"/>
  <c r="F51"/>
  <c r="I51" s="1"/>
  <c r="F50"/>
  <c r="I50" s="1"/>
  <c r="I49"/>
  <c r="H49"/>
  <c r="F48"/>
  <c r="I48" s="1"/>
  <c r="F47"/>
  <c r="I47" s="1"/>
  <c r="F46"/>
  <c r="I46" s="1"/>
  <c r="F45"/>
  <c r="I45" s="1"/>
  <c r="F44"/>
  <c r="I44" s="1"/>
  <c r="F43"/>
  <c r="I43" s="1"/>
  <c r="F42"/>
  <c r="I42" s="1"/>
  <c r="I40"/>
  <c r="H40"/>
  <c r="F39"/>
  <c r="I39" s="1"/>
  <c r="F38"/>
  <c r="I38" s="1"/>
  <c r="F37"/>
  <c r="I37" s="1"/>
  <c r="F36"/>
  <c r="I36" s="1"/>
  <c r="I35"/>
  <c r="H35"/>
  <c r="H33"/>
  <c r="H32"/>
  <c r="F31"/>
  <c r="I31" s="1"/>
  <c r="F30"/>
  <c r="I30" s="1"/>
  <c r="F29"/>
  <c r="I29" s="1"/>
  <c r="F28"/>
  <c r="I28" s="1"/>
  <c r="I58" i="42"/>
  <c r="F24"/>
  <c r="I24" s="1"/>
  <c r="F23"/>
  <c r="I23" s="1"/>
  <c r="F22"/>
  <c r="I22" s="1"/>
  <c r="F21"/>
  <c r="I21" s="1"/>
  <c r="F20"/>
  <c r="I20" s="1"/>
  <c r="F19"/>
  <c r="I19" s="1"/>
  <c r="F17"/>
  <c r="F16"/>
  <c r="H91"/>
  <c r="H90"/>
  <c r="H89"/>
  <c r="E86"/>
  <c r="F86" s="1"/>
  <c r="I86" s="1"/>
  <c r="F85"/>
  <c r="I85" s="1"/>
  <c r="I83"/>
  <c r="I81"/>
  <c r="H81"/>
  <c r="H79"/>
  <c r="I78"/>
  <c r="I77"/>
  <c r="H77"/>
  <c r="F76"/>
  <c r="H76" s="1"/>
  <c r="I75"/>
  <c r="H75"/>
  <c r="I74"/>
  <c r="F74"/>
  <c r="H74" s="1"/>
  <c r="F72"/>
  <c r="H72" s="1"/>
  <c r="F70"/>
  <c r="H70" s="1"/>
  <c r="F69"/>
  <c r="H69" s="1"/>
  <c r="F68"/>
  <c r="H68" s="1"/>
  <c r="F67"/>
  <c r="H67" s="1"/>
  <c r="F66"/>
  <c r="H66" s="1"/>
  <c r="F65"/>
  <c r="H65" s="1"/>
  <c r="F64"/>
  <c r="H64" s="1"/>
  <c r="F63"/>
  <c r="H63" s="1"/>
  <c r="F61"/>
  <c r="I61" s="1"/>
  <c r="F60"/>
  <c r="H60" s="1"/>
  <c r="H58"/>
  <c r="F57"/>
  <c r="I57" s="1"/>
  <c r="H56"/>
  <c r="F55"/>
  <c r="I55" s="1"/>
  <c r="I54"/>
  <c r="F54"/>
  <c r="H54" s="1"/>
  <c r="F51"/>
  <c r="I51" s="1"/>
  <c r="F50"/>
  <c r="H50" s="1"/>
  <c r="I49"/>
  <c r="H49"/>
  <c r="F48"/>
  <c r="I48" s="1"/>
  <c r="F47"/>
  <c r="H47" s="1"/>
  <c r="F46"/>
  <c r="I46" s="1"/>
  <c r="F45"/>
  <c r="H45" s="1"/>
  <c r="F44"/>
  <c r="I44" s="1"/>
  <c r="F43"/>
  <c r="H43" s="1"/>
  <c r="F42"/>
  <c r="I42" s="1"/>
  <c r="I40"/>
  <c r="H40"/>
  <c r="F39"/>
  <c r="H39" s="1"/>
  <c r="F38"/>
  <c r="I38" s="1"/>
  <c r="F37"/>
  <c r="H37" s="1"/>
  <c r="F36"/>
  <c r="I36" s="1"/>
  <c r="I35"/>
  <c r="H35"/>
  <c r="H33"/>
  <c r="H32"/>
  <c r="F31"/>
  <c r="H31" s="1"/>
  <c r="F30"/>
  <c r="H30" s="1"/>
  <c r="F29"/>
  <c r="I29" s="1"/>
  <c r="F28"/>
  <c r="H28" s="1"/>
  <c r="H24"/>
  <c r="H23"/>
  <c r="H22"/>
  <c r="H21"/>
  <c r="H20"/>
  <c r="H19"/>
  <c r="E18"/>
  <c r="F18" s="1"/>
  <c r="H17"/>
  <c r="I17"/>
  <c r="H16"/>
  <c r="H29" i="44" l="1"/>
  <c r="H85"/>
  <c r="H31"/>
  <c r="H61"/>
  <c r="H29" i="42"/>
  <c r="H44"/>
  <c r="H51"/>
  <c r="I30"/>
  <c r="I66"/>
  <c r="I68"/>
  <c r="H42"/>
  <c r="H46"/>
  <c r="H61"/>
  <c r="I65"/>
  <c r="I67"/>
  <c r="I69"/>
  <c r="H70" i="44"/>
  <c r="H68"/>
  <c r="H66"/>
  <c r="H50"/>
  <c r="H47"/>
  <c r="H45"/>
  <c r="H43"/>
  <c r="H39"/>
  <c r="H37"/>
  <c r="H86"/>
  <c r="H87" s="1"/>
  <c r="I86"/>
  <c r="H28"/>
  <c r="H30"/>
  <c r="H36"/>
  <c r="H38"/>
  <c r="H42"/>
  <c r="H44"/>
  <c r="H46"/>
  <c r="H48"/>
  <c r="H51"/>
  <c r="H55"/>
  <c r="H57"/>
  <c r="H65"/>
  <c r="H67"/>
  <c r="H69"/>
  <c r="H72"/>
  <c r="I70" i="42"/>
  <c r="H57"/>
  <c r="H55"/>
  <c r="H48"/>
  <c r="H38"/>
  <c r="H36"/>
  <c r="I18"/>
  <c r="H18"/>
  <c r="I16"/>
  <c r="I28"/>
  <c r="I31"/>
  <c r="I37"/>
  <c r="I39"/>
  <c r="I43"/>
  <c r="I45"/>
  <c r="I47"/>
  <c r="I50"/>
  <c r="I72"/>
  <c r="H85"/>
  <c r="H86"/>
  <c r="H87" s="1"/>
  <c r="I98" i="44" l="1"/>
  <c r="I95" i="42"/>
  <c r="I91" i="41"/>
  <c r="I84"/>
  <c r="H90"/>
  <c r="E87"/>
  <c r="F87" s="1"/>
  <c r="H87" s="1"/>
  <c r="H88" s="1"/>
  <c r="F86"/>
  <c r="H86" s="1"/>
  <c r="I82"/>
  <c r="H82"/>
  <c r="H80"/>
  <c r="I79"/>
  <c r="I78"/>
  <c r="H78"/>
  <c r="F77"/>
  <c r="H77" s="1"/>
  <c r="I76"/>
  <c r="H76"/>
  <c r="I75"/>
  <c r="F75"/>
  <c r="H75" s="1"/>
  <c r="F73"/>
  <c r="H73" s="1"/>
  <c r="F71"/>
  <c r="H71" s="1"/>
  <c r="F70"/>
  <c r="H70" s="1"/>
  <c r="F69"/>
  <c r="H69" s="1"/>
  <c r="F68"/>
  <c r="H68" s="1"/>
  <c r="F67"/>
  <c r="H67" s="1"/>
  <c r="F66"/>
  <c r="H66" s="1"/>
  <c r="F65"/>
  <c r="H65" s="1"/>
  <c r="F64"/>
  <c r="H64" s="1"/>
  <c r="F62"/>
  <c r="I62" s="1"/>
  <c r="F61"/>
  <c r="H61" s="1"/>
  <c r="H59"/>
  <c r="F58"/>
  <c r="I58" s="1"/>
  <c r="H57"/>
  <c r="F56"/>
  <c r="I56" s="1"/>
  <c r="F55"/>
  <c r="H55" s="1"/>
  <c r="F52"/>
  <c r="I52" s="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F38"/>
  <c r="H38" s="1"/>
  <c r="F37"/>
  <c r="I37" s="1"/>
  <c r="H36"/>
  <c r="H34"/>
  <c r="H33"/>
  <c r="H32"/>
  <c r="F32"/>
  <c r="I32" s="1"/>
  <c r="E32"/>
  <c r="F31"/>
  <c r="H31" s="1"/>
  <c r="F30"/>
  <c r="H30" s="1"/>
  <c r="F29"/>
  <c r="I29" s="1"/>
  <c r="F28"/>
  <c r="H28" s="1"/>
  <c r="H39" l="1"/>
  <c r="H37"/>
  <c r="H56"/>
  <c r="H62"/>
  <c r="H58"/>
  <c r="H43"/>
  <c r="H45"/>
  <c r="H47"/>
  <c r="H49"/>
  <c r="H52"/>
  <c r="H29"/>
  <c r="I28"/>
  <c r="I31"/>
  <c r="I38"/>
  <c r="I40"/>
  <c r="I44"/>
  <c r="I46"/>
  <c r="I48"/>
  <c r="I51"/>
  <c r="I73"/>
  <c r="I86"/>
  <c r="I87"/>
  <c r="I93" l="1"/>
  <c r="H100" i="40" l="1"/>
  <c r="H89"/>
  <c r="H88"/>
  <c r="F85"/>
  <c r="H85" s="1"/>
  <c r="H86" s="1"/>
  <c r="E85"/>
  <c r="F84"/>
  <c r="H84" s="1"/>
  <c r="I82"/>
  <c r="H82"/>
  <c r="H80"/>
  <c r="I79"/>
  <c r="I78"/>
  <c r="H78"/>
  <c r="F77"/>
  <c r="H77" s="1"/>
  <c r="I76"/>
  <c r="H76"/>
  <c r="I75"/>
  <c r="F75"/>
  <c r="H75" s="1"/>
  <c r="F73"/>
  <c r="H73" s="1"/>
  <c r="F71"/>
  <c r="H71" s="1"/>
  <c r="F70"/>
  <c r="H70" s="1"/>
  <c r="F69"/>
  <c r="H69" s="1"/>
  <c r="F68"/>
  <c r="H68" s="1"/>
  <c r="F67"/>
  <c r="H67" s="1"/>
  <c r="F66"/>
  <c r="H66" s="1"/>
  <c r="F65"/>
  <c r="H65" s="1"/>
  <c r="F64"/>
  <c r="H64" s="1"/>
  <c r="F62"/>
  <c r="I62" s="1"/>
  <c r="F61"/>
  <c r="H61" s="1"/>
  <c r="H59"/>
  <c r="F58"/>
  <c r="I58" s="1"/>
  <c r="H57"/>
  <c r="F56"/>
  <c r="I56" s="1"/>
  <c r="F55"/>
  <c r="H55" s="1"/>
  <c r="F52"/>
  <c r="I52" s="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H36"/>
  <c r="H34"/>
  <c r="H33"/>
  <c r="H32"/>
  <c r="F32"/>
  <c r="I32" s="1"/>
  <c r="E32"/>
  <c r="F31"/>
  <c r="H31" s="1"/>
  <c r="F30"/>
  <c r="H30" s="1"/>
  <c r="F29"/>
  <c r="I29" s="1"/>
  <c r="F28"/>
  <c r="H28" s="1"/>
  <c r="I42" i="39"/>
  <c r="I41"/>
  <c r="I41" i="38"/>
  <c r="H56" i="40" l="1"/>
  <c r="H49"/>
  <c r="H62"/>
  <c r="H52"/>
  <c r="H58"/>
  <c r="H29"/>
  <c r="H45"/>
  <c r="H43"/>
  <c r="H47"/>
  <c r="I28"/>
  <c r="I31"/>
  <c r="I44"/>
  <c r="I46"/>
  <c r="I48"/>
  <c r="I51"/>
  <c r="I73"/>
  <c r="I84"/>
  <c r="I85"/>
  <c r="I103" l="1"/>
  <c r="H94" i="39" l="1"/>
  <c r="H92"/>
  <c r="H91"/>
  <c r="H90"/>
  <c r="H89"/>
  <c r="E86"/>
  <c r="F86" s="1"/>
  <c r="F85"/>
  <c r="I85" s="1"/>
  <c r="I83"/>
  <c r="H83"/>
  <c r="H81"/>
  <c r="I80"/>
  <c r="I79"/>
  <c r="H79"/>
  <c r="F78"/>
  <c r="H78" s="1"/>
  <c r="I77"/>
  <c r="H77"/>
  <c r="I76"/>
  <c r="F76"/>
  <c r="H76" s="1"/>
  <c r="F74"/>
  <c r="I74" s="1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F63"/>
  <c r="I63" s="1"/>
  <c r="F62"/>
  <c r="H62" s="1"/>
  <c r="H60"/>
  <c r="F59"/>
  <c r="I59" s="1"/>
  <c r="H58"/>
  <c r="F57"/>
  <c r="I57" s="1"/>
  <c r="F56"/>
  <c r="F53"/>
  <c r="I53" s="1"/>
  <c r="F52"/>
  <c r="I52" s="1"/>
  <c r="I51"/>
  <c r="H51"/>
  <c r="F50"/>
  <c r="I50" s="1"/>
  <c r="F49"/>
  <c r="I49" s="1"/>
  <c r="F48"/>
  <c r="I48" s="1"/>
  <c r="F47"/>
  <c r="I47" s="1"/>
  <c r="F46"/>
  <c r="I46" s="1"/>
  <c r="F45"/>
  <c r="I45" s="1"/>
  <c r="F44"/>
  <c r="I44" s="1"/>
  <c r="H42"/>
  <c r="F41"/>
  <c r="F40"/>
  <c r="I40" s="1"/>
  <c r="F39"/>
  <c r="I39" s="1"/>
  <c r="F38"/>
  <c r="I38" s="1"/>
  <c r="I37"/>
  <c r="H37"/>
  <c r="H35"/>
  <c r="H34"/>
  <c r="H33"/>
  <c r="F33"/>
  <c r="I33" s="1"/>
  <c r="E33"/>
  <c r="F32"/>
  <c r="I32" s="1"/>
  <c r="F31"/>
  <c r="H31" s="1"/>
  <c r="F30"/>
  <c r="I30" s="1"/>
  <c r="F29"/>
  <c r="I29" s="1"/>
  <c r="F26"/>
  <c r="I26" s="1"/>
  <c r="H99" i="38"/>
  <c r="F98"/>
  <c r="H98" s="1"/>
  <c r="H97"/>
  <c r="H96"/>
  <c r="H95"/>
  <c r="H94"/>
  <c r="H93"/>
  <c r="H92"/>
  <c r="H91"/>
  <c r="H90"/>
  <c r="H89"/>
  <c r="H88"/>
  <c r="I78"/>
  <c r="I76"/>
  <c r="I75"/>
  <c r="F62"/>
  <c r="H62" s="1"/>
  <c r="E85"/>
  <c r="F85" s="1"/>
  <c r="F84"/>
  <c r="I84" s="1"/>
  <c r="I82"/>
  <c r="H82"/>
  <c r="H80"/>
  <c r="I79"/>
  <c r="H78"/>
  <c r="F77"/>
  <c r="H77" s="1"/>
  <c r="H76"/>
  <c r="F75"/>
  <c r="H75" s="1"/>
  <c r="F73"/>
  <c r="I73" s="1"/>
  <c r="F71"/>
  <c r="H71" s="1"/>
  <c r="F70"/>
  <c r="H70" s="1"/>
  <c r="F69"/>
  <c r="H69" s="1"/>
  <c r="F68"/>
  <c r="H68" s="1"/>
  <c r="F67"/>
  <c r="H67" s="1"/>
  <c r="F66"/>
  <c r="H66" s="1"/>
  <c r="F65"/>
  <c r="H65" s="1"/>
  <c r="F64"/>
  <c r="H64" s="1"/>
  <c r="F61"/>
  <c r="H61" s="1"/>
  <c r="H59"/>
  <c r="F58"/>
  <c r="H58" s="1"/>
  <c r="H57"/>
  <c r="F56"/>
  <c r="H56" s="1"/>
  <c r="F55"/>
  <c r="F52"/>
  <c r="H52" s="1"/>
  <c r="I50"/>
  <c r="H50"/>
  <c r="F49"/>
  <c r="H49" s="1"/>
  <c r="F48"/>
  <c r="I48" s="1"/>
  <c r="F47"/>
  <c r="H47" s="1"/>
  <c r="F46"/>
  <c r="I46" s="1"/>
  <c r="F45"/>
  <c r="H45" s="1"/>
  <c r="F44"/>
  <c r="I44" s="1"/>
  <c r="F43"/>
  <c r="H43" s="1"/>
  <c r="H41"/>
  <c r="F40"/>
  <c r="I40" s="1"/>
  <c r="F39"/>
  <c r="H39" s="1"/>
  <c r="F38"/>
  <c r="I38" s="1"/>
  <c r="F37"/>
  <c r="H37" s="1"/>
  <c r="H36"/>
  <c r="H34"/>
  <c r="H33"/>
  <c r="H32"/>
  <c r="F32"/>
  <c r="I32" s="1"/>
  <c r="E32"/>
  <c r="F31"/>
  <c r="I31" s="1"/>
  <c r="F30"/>
  <c r="H30" s="1"/>
  <c r="F29"/>
  <c r="H29" s="1"/>
  <c r="F28"/>
  <c r="I28" s="1"/>
  <c r="I25"/>
  <c r="I86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H57" i="39" l="1"/>
  <c r="H63"/>
  <c r="H30"/>
  <c r="H40"/>
  <c r="H46"/>
  <c r="H50"/>
  <c r="H59"/>
  <c r="H26"/>
  <c r="H38"/>
  <c r="H44"/>
  <c r="H48"/>
  <c r="H53"/>
  <c r="I86"/>
  <c r="H86"/>
  <c r="H87" s="1"/>
  <c r="H29"/>
  <c r="H32"/>
  <c r="H39"/>
  <c r="H41"/>
  <c r="H45"/>
  <c r="H47"/>
  <c r="H49"/>
  <c r="H52"/>
  <c r="H56"/>
  <c r="H74"/>
  <c r="H85"/>
  <c r="H44" i="38"/>
  <c r="H25"/>
  <c r="H31"/>
  <c r="H38"/>
  <c r="H55"/>
  <c r="H84"/>
  <c r="H16"/>
  <c r="H28"/>
  <c r="H40"/>
  <c r="H46"/>
  <c r="H73"/>
  <c r="H48"/>
  <c r="H85"/>
  <c r="H86" s="1"/>
  <c r="I85"/>
  <c r="I29"/>
  <c r="I37"/>
  <c r="I39"/>
  <c r="I43"/>
  <c r="I45"/>
  <c r="I47"/>
  <c r="I49"/>
  <c r="I52"/>
  <c r="I56"/>
  <c r="I58"/>
  <c r="I62"/>
  <c r="I17"/>
  <c r="I18"/>
  <c r="I104" l="1"/>
  <c r="H91" i="37" l="1"/>
  <c r="H90"/>
  <c r="E86"/>
  <c r="F86" s="1"/>
  <c r="F85"/>
  <c r="I85" s="1"/>
  <c r="I83"/>
  <c r="H83"/>
  <c r="H81"/>
  <c r="I80"/>
  <c r="H79"/>
  <c r="H78"/>
  <c r="F78"/>
  <c r="H77"/>
  <c r="F76"/>
  <c r="H76" s="1"/>
  <c r="H74"/>
  <c r="F74"/>
  <c r="I74" s="1"/>
  <c r="H72"/>
  <c r="F72"/>
  <c r="H71"/>
  <c r="F71"/>
  <c r="H70"/>
  <c r="F70"/>
  <c r="H69"/>
  <c r="F69"/>
  <c r="H68"/>
  <c r="F68"/>
  <c r="H67"/>
  <c r="F67"/>
  <c r="H66"/>
  <c r="F66"/>
  <c r="H65"/>
  <c r="F65"/>
  <c r="I63"/>
  <c r="I87" s="1"/>
  <c r="F62"/>
  <c r="H62" s="1"/>
  <c r="H60"/>
  <c r="F59"/>
  <c r="I59" s="1"/>
  <c r="H58"/>
  <c r="F57"/>
  <c r="I57" s="1"/>
  <c r="F56"/>
  <c r="H56" s="1"/>
  <c r="F53"/>
  <c r="I53" s="1"/>
  <c r="F52"/>
  <c r="I52" s="1"/>
  <c r="I51"/>
  <c r="H51"/>
  <c r="F50"/>
  <c r="I50" s="1"/>
  <c r="F49"/>
  <c r="I49" s="1"/>
  <c r="F48"/>
  <c r="I48" s="1"/>
  <c r="F47"/>
  <c r="I47" s="1"/>
  <c r="F46"/>
  <c r="I46" s="1"/>
  <c r="F45"/>
  <c r="H45" s="1"/>
  <c r="F44"/>
  <c r="I44" s="1"/>
  <c r="H37"/>
  <c r="H35"/>
  <c r="H34"/>
  <c r="H33"/>
  <c r="F33"/>
  <c r="I33" s="1"/>
  <c r="E33"/>
  <c r="F32"/>
  <c r="I32" s="1"/>
  <c r="F31"/>
  <c r="H31" s="1"/>
  <c r="F30"/>
  <c r="I30" s="1"/>
  <c r="F29"/>
  <c r="I29" s="1"/>
  <c r="F26"/>
  <c r="I26" s="1"/>
  <c r="F92" i="36"/>
  <c r="H92" s="1"/>
  <c r="H91"/>
  <c r="H90"/>
  <c r="H89"/>
  <c r="E86"/>
  <c r="F86" s="1"/>
  <c r="F85"/>
  <c r="H85" s="1"/>
  <c r="I83"/>
  <c r="H83"/>
  <c r="H81"/>
  <c r="I80"/>
  <c r="H79"/>
  <c r="H78"/>
  <c r="F78"/>
  <c r="H77"/>
  <c r="F76"/>
  <c r="H76" s="1"/>
  <c r="H74"/>
  <c r="F74"/>
  <c r="I74" s="1"/>
  <c r="H72"/>
  <c r="F72"/>
  <c r="H71"/>
  <c r="F71"/>
  <c r="H70"/>
  <c r="F70"/>
  <c r="H69"/>
  <c r="F69"/>
  <c r="H68"/>
  <c r="F68"/>
  <c r="H67"/>
  <c r="F67"/>
  <c r="H66"/>
  <c r="F66"/>
  <c r="H65"/>
  <c r="F65"/>
  <c r="H63"/>
  <c r="F62"/>
  <c r="H62" s="1"/>
  <c r="H60"/>
  <c r="F59"/>
  <c r="H59" s="1"/>
  <c r="H58"/>
  <c r="F57"/>
  <c r="H57" s="1"/>
  <c r="F56"/>
  <c r="I56" s="1"/>
  <c r="F53"/>
  <c r="H53" s="1"/>
  <c r="F52"/>
  <c r="I52" s="1"/>
  <c r="I51"/>
  <c r="H51"/>
  <c r="F50"/>
  <c r="H50" s="1"/>
  <c r="F49"/>
  <c r="I49" s="1"/>
  <c r="F48"/>
  <c r="H48" s="1"/>
  <c r="F47"/>
  <c r="I47" s="1"/>
  <c r="F46"/>
  <c r="H46" s="1"/>
  <c r="F45"/>
  <c r="I45" s="1"/>
  <c r="F44"/>
  <c r="H44" s="1"/>
  <c r="H42"/>
  <c r="F41"/>
  <c r="I41" s="1"/>
  <c r="F40"/>
  <c r="H40" s="1"/>
  <c r="F39"/>
  <c r="I39" s="1"/>
  <c r="F38"/>
  <c r="H38" s="1"/>
  <c r="H37"/>
  <c r="H35"/>
  <c r="H34"/>
  <c r="H33"/>
  <c r="F33"/>
  <c r="I33" s="1"/>
  <c r="E33"/>
  <c r="F32"/>
  <c r="I32" s="1"/>
  <c r="F31"/>
  <c r="H31" s="1"/>
  <c r="F30"/>
  <c r="H30" s="1"/>
  <c r="F29"/>
  <c r="I29" s="1"/>
  <c r="F26"/>
  <c r="H26" s="1"/>
  <c r="H87" i="35"/>
  <c r="I81"/>
  <c r="I49"/>
  <c r="I40"/>
  <c r="I35"/>
  <c r="E84"/>
  <c r="F84" s="1"/>
  <c r="H84" s="1"/>
  <c r="F83"/>
  <c r="H83" s="1"/>
  <c r="H81"/>
  <c r="H79"/>
  <c r="H77"/>
  <c r="F76"/>
  <c r="H76" s="1"/>
  <c r="H75"/>
  <c r="F74"/>
  <c r="H74" s="1"/>
  <c r="F72"/>
  <c r="H72" s="1"/>
  <c r="F70"/>
  <c r="H70" s="1"/>
  <c r="F69"/>
  <c r="H69" s="1"/>
  <c r="F68"/>
  <c r="H68" s="1"/>
  <c r="F67"/>
  <c r="H67" s="1"/>
  <c r="F66"/>
  <c r="H66" s="1"/>
  <c r="F65"/>
  <c r="H65" s="1"/>
  <c r="F64"/>
  <c r="H64" s="1"/>
  <c r="F63"/>
  <c r="H63" s="1"/>
  <c r="H61"/>
  <c r="F60"/>
  <c r="H60" s="1"/>
  <c r="H58"/>
  <c r="F57"/>
  <c r="H57" s="1"/>
  <c r="H56"/>
  <c r="F55"/>
  <c r="H55" s="1"/>
  <c r="F54"/>
  <c r="H54" s="1"/>
  <c r="F51"/>
  <c r="H51" s="1"/>
  <c r="F50"/>
  <c r="H50" s="1"/>
  <c r="H49"/>
  <c r="F48"/>
  <c r="H48" s="1"/>
  <c r="F47"/>
  <c r="H47" s="1"/>
  <c r="F46"/>
  <c r="H46" s="1"/>
  <c r="F45"/>
  <c r="H45" s="1"/>
  <c r="F44"/>
  <c r="H44" s="1"/>
  <c r="F43"/>
  <c r="H43" s="1"/>
  <c r="F42"/>
  <c r="H42" s="1"/>
  <c r="H40"/>
  <c r="F39"/>
  <c r="H39" s="1"/>
  <c r="F38"/>
  <c r="H38" s="1"/>
  <c r="F37"/>
  <c r="H37" s="1"/>
  <c r="F36"/>
  <c r="H36" s="1"/>
  <c r="H35"/>
  <c r="H33"/>
  <c r="H32"/>
  <c r="H29" i="37" l="1"/>
  <c r="H32"/>
  <c r="H49"/>
  <c r="H47"/>
  <c r="H52"/>
  <c r="I86"/>
  <c r="H86"/>
  <c r="H87" s="1"/>
  <c r="H26"/>
  <c r="H30"/>
  <c r="H44"/>
  <c r="I45"/>
  <c r="H46"/>
  <c r="H48"/>
  <c r="H50"/>
  <c r="H53"/>
  <c r="H57"/>
  <c r="H59"/>
  <c r="H63"/>
  <c r="H85"/>
  <c r="H56" i="36"/>
  <c r="H47"/>
  <c r="H52"/>
  <c r="H45"/>
  <c r="H49"/>
  <c r="H86"/>
  <c r="H87" s="1"/>
  <c r="I86"/>
  <c r="I26"/>
  <c r="H29"/>
  <c r="I30"/>
  <c r="H32"/>
  <c r="I38"/>
  <c r="H39"/>
  <c r="I40"/>
  <c r="H41"/>
  <c r="I44"/>
  <c r="I46"/>
  <c r="I48"/>
  <c r="I50"/>
  <c r="I53"/>
  <c r="I57"/>
  <c r="I59"/>
  <c r="I63"/>
  <c r="I85"/>
  <c r="I83" i="35"/>
  <c r="I61"/>
  <c r="I72"/>
  <c r="I54"/>
  <c r="I55"/>
  <c r="I57"/>
  <c r="I47"/>
  <c r="I44"/>
  <c r="I46"/>
  <c r="I51"/>
  <c r="I42"/>
  <c r="I48"/>
  <c r="I45"/>
  <c r="I43"/>
  <c r="I50"/>
  <c r="I38"/>
  <c r="I36"/>
  <c r="I39"/>
  <c r="I37"/>
  <c r="I95" i="36" l="1"/>
  <c r="I101" i="37"/>
  <c r="I78" i="35" l="1"/>
  <c r="H85" l="1"/>
  <c r="I84"/>
  <c r="I94" l="1"/>
</calcChain>
</file>

<file path=xl/sharedStrings.xml><?xml version="1.0" encoding="utf-8"?>
<sst xmlns="http://schemas.openxmlformats.org/spreadsheetml/2006/main" count="2804" uniqueCount="284">
  <si>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</si>
  <si>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</si>
  <si>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</si>
  <si>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</si>
  <si>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</si>
  <si>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</si>
  <si>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</si>
  <si>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</si>
  <si>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</si>
  <si>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</si>
  <si>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</si>
  <si>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</si>
  <si>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</si>
  <si>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</si>
  <si>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</si>
  <si>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</si>
  <si>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</si>
  <si>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</si>
  <si>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</si>
  <si>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</si>
  <si>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</si>
  <si>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</si>
  <si>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</si>
  <si>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</si>
  <si>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</si>
  <si>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</si>
  <si>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</si>
  <si>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</si>
  <si>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</si>
  <si>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</si>
  <si>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</si>
  <si>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</si>
  <si>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</si>
  <si>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</si>
  <si>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</si>
  <si>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</si>
  <si>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</si>
  <si>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</si>
  <si>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</si>
  <si>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</si>
  <si>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</si>
  <si>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</si>
  <si>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</si>
  <si>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</si>
  <si>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</si>
  <si>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</si>
  <si>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</si>
  <si>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</si>
  <si>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</si>
  <si>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</si>
  <si>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</si>
  <si>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</si>
  <si>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</si>
  <si>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</si>
  <si>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</si>
  <si>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</si>
  <si>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</si>
  <si>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</si>
  <si>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</si>
  <si>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</si>
  <si>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</si>
  <si>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</si>
  <si>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</si>
  <si>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</si>
  <si>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</si>
  <si>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</si>
  <si>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</si>
  <si>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</si>
  <si>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</si>
  <si>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</si>
  <si>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</si>
  <si>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</si>
  <si>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</si>
  <si>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</si>
  <si>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</si>
  <si>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</si>
  <si>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</si>
  <si>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</si>
  <si>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</si>
  <si>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</si>
  <si>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</si>
  <si>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Влажное подметание лестничных клеток 1 этажа</t>
  </si>
  <si>
    <t>Смена арматуры - вентилей и клапанов обратных муфтовых диаметром до 20 мм</t>
  </si>
  <si>
    <t>генеральный директор Куканов Ю.Л.</t>
  </si>
  <si>
    <t>Очистка оголовков дымоходов и вентканалов от наледи и снега</t>
  </si>
  <si>
    <t xml:space="preserve">2 раза в месяц  </t>
  </si>
  <si>
    <t>шт</t>
  </si>
  <si>
    <t>Дератизация</t>
  </si>
  <si>
    <t>Влажное подметание лестничных клеток 2-5 этажа</t>
  </si>
  <si>
    <t>Мытье лестничных  площадок и маршей 1-5 этаж.</t>
  </si>
  <si>
    <t>100м2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</si>
  <si>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</si>
  <si>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</si>
  <si>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</si>
  <si>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</si>
  <si>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</si>
  <si>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</si>
  <si>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</si>
  <si>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</si>
  <si>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газонов</t>
  </si>
  <si>
    <t>1000м2</t>
  </si>
  <si>
    <t>52 раза в сезон</t>
  </si>
  <si>
    <t>Очистка урн от мусора</t>
  </si>
  <si>
    <t>Уборка контейнерной площадки (16 кв.м.)</t>
  </si>
  <si>
    <t>30 раз за сезон</t>
  </si>
  <si>
    <t>155 раз за сезон</t>
  </si>
  <si>
    <t>24 раза за сезон</t>
  </si>
  <si>
    <t xml:space="preserve">Пескопосыпка территории: крыльца и тротуары </t>
  </si>
  <si>
    <t>Осмотр рулонной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</si>
  <si>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</si>
  <si>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</si>
  <si>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Проверка дымоходов</t>
  </si>
  <si>
    <t xml:space="preserve">6 раз за сезон </t>
  </si>
  <si>
    <t>Очистка внутреннего водостока</t>
  </si>
  <si>
    <t>водосток</t>
  </si>
  <si>
    <t>Очистка водостоков от наледи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</si>
  <si>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</si>
  <si>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</si>
  <si>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</si>
  <si>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</si>
  <si>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</si>
  <si>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</si>
  <si>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</si>
  <si>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</si>
  <si>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№8 по ул.Космонавтов пгт.Ярега
</t>
  </si>
  <si>
    <t>Очистка края кровли от слежавшегося снега со сбрасыванием сосулек (10% от S кровли и козырьки)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</si>
  <si>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</si>
  <si>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</si>
  <si>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АКТ №1</t>
  </si>
  <si>
    <t xml:space="preserve"> </t>
  </si>
  <si>
    <t>Очистка  от мусора</t>
  </si>
  <si>
    <t>1 шт</t>
  </si>
  <si>
    <t>1 место</t>
  </si>
  <si>
    <t>Работа автовышки</t>
  </si>
  <si>
    <t>Подметание территории с усовершенствованным покрытием асф.: крыльца, контейнерн пл., проезд, тротуар</t>
  </si>
  <si>
    <t>III. Проведение технических осмотров</t>
  </si>
  <si>
    <t>IV. Содержание общего имущества МКД</t>
  </si>
  <si>
    <t>V. Прочие услуги</t>
  </si>
  <si>
    <t>АКТ №2</t>
  </si>
  <si>
    <t>III. Содержание общего имущества МКД</t>
  </si>
  <si>
    <t>IV. Прочие услуги</t>
  </si>
  <si>
    <t>АКТ №10</t>
  </si>
  <si>
    <t>5 раз в год</t>
  </si>
  <si>
    <t>Итого затраты за месяц</t>
  </si>
  <si>
    <t>52 раза за сезон</t>
  </si>
  <si>
    <t>48 раз</t>
  </si>
  <si>
    <t>Сдвигание снега в дни снегопада</t>
  </si>
  <si>
    <t>ХВС, канализация</t>
  </si>
  <si>
    <t>Техническое обслуживание внутренних сетей водопровода и канализации</t>
  </si>
  <si>
    <t>руб/м2 в мес</t>
  </si>
  <si>
    <t>Смена светодиодных светильников в.о.</t>
  </si>
  <si>
    <t>Стоимость светодиодного светильника</t>
  </si>
  <si>
    <t>руб.</t>
  </si>
  <si>
    <t>II. Уборка земельного участка</t>
  </si>
  <si>
    <t>по  необходимости</t>
  </si>
  <si>
    <t>АКТ №11</t>
  </si>
  <si>
    <t>Внеплановая проверка вентканалов</t>
  </si>
  <si>
    <t>АКТ №12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</si>
  <si>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д.8</t>
    </r>
  </si>
  <si>
    <t>Очистка канализационной сети внутренней</t>
  </si>
  <si>
    <t>Смена патронов</t>
  </si>
  <si>
    <t>АКТ №3</t>
  </si>
  <si>
    <t>Осмотр водопроводов, канализации, отопления в квартирах</t>
  </si>
  <si>
    <t>100 кв.</t>
  </si>
  <si>
    <t>48м2</t>
  </si>
  <si>
    <t>9 ч</t>
  </si>
  <si>
    <t>АКТ №5</t>
  </si>
  <si>
    <t>АКТ №6</t>
  </si>
  <si>
    <t>Тройник 20</t>
  </si>
  <si>
    <t>Колено 20-90</t>
  </si>
  <si>
    <t>Муфта разъемная 20*1/2 НР</t>
  </si>
  <si>
    <t>ООО «Движение»</t>
  </si>
  <si>
    <t>АКТ №7</t>
  </si>
  <si>
    <t>Работа ротенбергера</t>
  </si>
  <si>
    <t>час</t>
  </si>
  <si>
    <r>
      <t xml:space="preserve">    Собственники   помещений   в многоквартирном доме, расположенном по адресу:  пгт.Ярега, ул.Космонавтов, д.8,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21.09.2017г. стороны,  и ООО «Движение»,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</si>
  <si>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АКТ №8</t>
  </si>
  <si>
    <t>АКТ №4</t>
  </si>
  <si>
    <t>АКТ №9</t>
  </si>
  <si>
    <t>1ч</t>
  </si>
  <si>
    <t>Ремонт рулонной кровли</t>
  </si>
  <si>
    <t>Герметизация стыков трубопроводов</t>
  </si>
  <si>
    <t>Очистка вручную от снега и наледи люков каналиационных и водопроводных колодцев</t>
  </si>
  <si>
    <t>за период с 01.01.2019 г. по 31.01.2019 г.</t>
  </si>
  <si>
    <t>Смена плавкой вставки</t>
  </si>
  <si>
    <t>Осмотр электросетей, армазуры и электрооборудования на лестничных клетках</t>
  </si>
  <si>
    <t>м</t>
  </si>
  <si>
    <t xml:space="preserve">Смена внутренних трубопроводов из стальных труб диаметром до 100 мм </t>
  </si>
  <si>
    <t>Установка хомута D до 50 мм</t>
  </si>
  <si>
    <t>за период с 01.02.2019 г. по 28.02.2019 г.</t>
  </si>
  <si>
    <t>Ремонт переключателя на месте (с зачисткой контактов)</t>
  </si>
  <si>
    <t>1 переключатель</t>
  </si>
  <si>
    <t>Смена полипропиленовых канализационных труб Dу 100*2000</t>
  </si>
  <si>
    <t>Смена полипропиленовых канализационных труб Dу 100*500</t>
  </si>
  <si>
    <t>Тройник 110</t>
  </si>
  <si>
    <t>Переход чугун-пластик 110</t>
  </si>
  <si>
    <t>Муфта 110</t>
  </si>
  <si>
    <t>Переход чугун-пластик 50</t>
  </si>
  <si>
    <t>Патрубок компенсационный 110</t>
  </si>
  <si>
    <t>Смена полипропиленовых канализационных труб Dу 50*1000</t>
  </si>
  <si>
    <t>Ремонт штукатурки внутренних стен по камню и бетону цементно-известковым раствором площадью до 10 м2 толщиной слоя до 20 мм</t>
  </si>
  <si>
    <t>10 м2</t>
  </si>
  <si>
    <t>Пена монтажная</t>
  </si>
  <si>
    <t>за период с 01.03.2019 г. по 31.03.2019 г.</t>
  </si>
  <si>
    <t>Тройник 110-50</t>
  </si>
  <si>
    <t>Манжета 110</t>
  </si>
  <si>
    <t>Смена внутренних трубопроводов на полипропиленове трубы PN 20 Dу 20</t>
  </si>
  <si>
    <t>Смена внутренних трубопроводов на полипропиленове трубы PN 20 Dу 25</t>
  </si>
  <si>
    <t>за период с 01.04.2019 г. по 30.04.2019 г.</t>
  </si>
  <si>
    <t>за период с 01.05.2019 г. по 31.05.2019 г.</t>
  </si>
  <si>
    <t>Срезали арматуру</t>
  </si>
  <si>
    <t>10 м</t>
  </si>
  <si>
    <t>за период с 01.06.2019 г. по 30.06.2019 г.</t>
  </si>
  <si>
    <t xml:space="preserve">Осмотр водопроводов, канализации, отопления </t>
  </si>
  <si>
    <t>Установка почтовых ящиков</t>
  </si>
  <si>
    <t>Почтовые ящики  секции по 6 шт</t>
  </si>
  <si>
    <t>Организация мест накопления ТКО</t>
  </si>
  <si>
    <t>13 раз</t>
  </si>
  <si>
    <t>8 раз</t>
  </si>
  <si>
    <t>2 раза</t>
  </si>
  <si>
    <t>21 раз</t>
  </si>
  <si>
    <t>5 раз</t>
  </si>
  <si>
    <t>25 раз</t>
  </si>
  <si>
    <t>4 раза</t>
  </si>
  <si>
    <t>1 раз</t>
  </si>
  <si>
    <t xml:space="preserve">1 раз </t>
  </si>
  <si>
    <t>2. Всего за период с 01.01.2019 по 31.01.2019 выполнено работ (оказано услуг) на общую сумму: 81487,25  руб.</t>
  </si>
  <si>
    <t>(восемьдесят одна тысяча четыреста восемьдесят семь рублей 25 копеек)</t>
  </si>
  <si>
    <t>2. Всего за период с 01.02.2019 по 28.02.2019 выполнено работ (оказано услуг) на общую сумму: 102448,14 руб.</t>
  </si>
  <si>
    <t>(сто две тысячи четыреста сорок восемь рублей 14 копеек)</t>
  </si>
  <si>
    <t>2. Всего за период с 01.03.2019 по 31.03.2019 выполнено работ (оказано услуг) на общую сумму: 70992,26 руб.</t>
  </si>
  <si>
    <t>(семьдесят тысяч девятьсот девяносто два рубля 26 копеек)</t>
  </si>
  <si>
    <t>2. Всего за период с 01.04.2019 по 30.04.2019 выполнено работ (оказано услуг) на общую сумму: 61765,38 руб.</t>
  </si>
  <si>
    <t>(шестьдесят одна тысяча семьсот шестьдесят пять рублей 38 копеек)</t>
  </si>
  <si>
    <t xml:space="preserve">1 раз     </t>
  </si>
  <si>
    <t xml:space="preserve">1 раз    </t>
  </si>
  <si>
    <t xml:space="preserve">1 раз   </t>
  </si>
  <si>
    <t>2. Всего за период с 01.05.2019 по 31.05.2019 выполнено работ (оказано услуг) на общую сумму: 114983,74 руб.</t>
  </si>
  <si>
    <t>(сто четырнадцать тысяч девятьсот восемьдесят три рубля 74 копейки  )</t>
  </si>
  <si>
    <t>за период с 01.07.2019 г. по 31.07.2019 г.</t>
  </si>
  <si>
    <t>Ремонт входных площадок ( 4 и 5 под)</t>
  </si>
  <si>
    <t>руб</t>
  </si>
  <si>
    <t>Смена автомата на ток до 25А</t>
  </si>
  <si>
    <t>Муфта разъемная 20*1/2 ВР</t>
  </si>
  <si>
    <t>Смена внутренних трубопроводов из стальных труб диаметром до 80 мм (без стоимости креплений)</t>
  </si>
  <si>
    <t>Вентиль (ш) Ду 15</t>
  </si>
  <si>
    <t>Вентиль (ш) ПП Ду 20</t>
  </si>
  <si>
    <t>2. Всего за период с 01.07.2019 по 31.07.2019 выполнено работ (оказано услуг) на общую сумму: 199690,85 руб.</t>
  </si>
  <si>
    <t>(сто девяносто девять тысяч шестьсот девяносто рублей 85 копеек))</t>
  </si>
  <si>
    <t>Косметический ремонт подъезда №1</t>
  </si>
  <si>
    <t>2. Всего за период с 01.06.2019 по 30.06.2019 выполнено работ (оказано услуг) на общую сумму: 402436,26 руб.</t>
  </si>
  <si>
    <t>(четыреста две тысячи четыреста тридцать шесть рублей 26 копеек)</t>
  </si>
  <si>
    <t>за период с 01.08.2019 г. по 31.08.2019 г.</t>
  </si>
  <si>
    <t>Пропан</t>
  </si>
  <si>
    <t>изол</t>
  </si>
  <si>
    <t>Битум</t>
  </si>
  <si>
    <t>Герметизация межпанельных швов (кв.14)</t>
  </si>
  <si>
    <t>м.п.</t>
  </si>
  <si>
    <t>2. Всего за период с 01.08.2019 по 31.08.2019 выполнено работ (оказано услуг) на общую сумму: 113856,61 руб.</t>
  </si>
  <si>
    <t>(сто тринадцать тысяч восемьсот пятьдесят шесть рублей 61 копейка)</t>
  </si>
  <si>
    <t>за период с 01.09.2019 г. по 30.09.2019 г.</t>
  </si>
  <si>
    <t>Смена отдельных участков наружной проводки</t>
  </si>
  <si>
    <t>2. Всего за период с 01.09.2019 по 39.08.2019 выполнено работ (оказано услуг) на общую сумму: 78181,57 руб.</t>
  </si>
  <si>
    <t>(семьдесят восемь тысяч сто восемьдесят один рубль 57 копеек)</t>
  </si>
  <si>
    <t>за период с 01.10.2019 г. по 31.10.2019 г.</t>
  </si>
  <si>
    <t>Герметизация межпанельных швов ( альпинисты)кв.40 и кв.55</t>
  </si>
  <si>
    <t>5 м.п. и 19 м.п.</t>
  </si>
  <si>
    <t>Смена ламп ДРЛ</t>
  </si>
  <si>
    <t>под.№ 3 и№5</t>
  </si>
  <si>
    <t>2. Всего за период с 01.10.2019 по 31.10.2019 выполнено работ (оказано услуг) на общую сумму: 70109,21 руб.</t>
  </si>
  <si>
    <t>(семьдесят тысяч сто девять рублей 21 копейка)</t>
  </si>
  <si>
    <t>за период с 01.11.2019 г. по 30.11.2019 г.</t>
  </si>
  <si>
    <t>Ремонт и регулировка доводчика (со стоимостью доводчика)</t>
  </si>
  <si>
    <t>1шт.</t>
  </si>
  <si>
    <t>Устройство стяжек цементных толщиной 20 мм</t>
  </si>
  <si>
    <t>под.№5</t>
  </si>
  <si>
    <t>под.№1</t>
  </si>
  <si>
    <t>кв.72</t>
  </si>
  <si>
    <t>2. Всего за период с 01.11.2019 по 30.11.2019 выполнено работ (оказано услуг) на общую сумму: 61567,17 руб.</t>
  </si>
  <si>
    <t>(шестьдесят одна тыяча пятьсот шестьдесят семь рублей 17 копеек)</t>
  </si>
  <si>
    <t>за период с 01.12.2019 г. по 31.12.2019 г.</t>
  </si>
  <si>
    <t>Смена полипропиленовых канализационных труб Dу 100*1000</t>
  </si>
  <si>
    <t>2. Всего за период с 01.12.2019 по 31.12.2019 выполнено работ (оказано услуг) на общую сумму: 68124,64 руб.</t>
  </si>
  <si>
    <t>(шестьдесят восемь тысяч сто двадцать четыре рубля 64 копейки)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</si>
</sst>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1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4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wrapText="1"/>
    </xf>
    <xf numFmtId="0" fontId="14" fillId="0" borderId="0" xfId="0" applyFont="1" applyFill="1" applyBorder="1"/>
    <xf numFmtId="0" fontId="11" fillId="0" borderId="0" xfId="0" applyFont="1" applyFill="1" applyAlignment="1">
      <alignment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top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1" fillId="2" borderId="5" xfId="0" applyNumberFormat="1" applyFont="1" applyFill="1" applyBorder="1" applyAlignment="1">
      <alignment horizontal="center" vertical="center"/>
    </xf>
    <xf numFmtId="2" fontId="11" fillId="0" borderId="10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 wrapText="1"/>
    </xf>
    <xf numFmtId="4" fontId="17" fillId="2" borderId="9" xfId="0" applyNumberFormat="1" applyFont="1" applyFill="1" applyBorder="1" applyAlignment="1">
      <alignment horizontal="center" vertical="center" wrapText="1"/>
    </xf>
    <xf numFmtId="4" fontId="11" fillId="3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center" vertical="center"/>
    </xf>
    <xf numFmtId="4" fontId="11" fillId="3" borderId="9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6" xfId="0" applyNumberFormat="1" applyFont="1" applyFill="1" applyBorder="1" applyAlignment="1">
      <alignment horizontal="center" vertical="center"/>
    </xf>
    <xf numFmtId="4" fontId="11" fillId="2" borderId="17" xfId="0" applyNumberFormat="1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1" fillId="0" borderId="1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left" vertical="center" wrapText="1"/>
    </xf>
    <xf numFmtId="4" fontId="11" fillId="4" borderId="13" xfId="0" applyNumberFormat="1" applyFont="1" applyFill="1" applyBorder="1" applyAlignment="1">
      <alignment horizontal="center" vertical="center"/>
    </xf>
    <xf numFmtId="4" fontId="11" fillId="2" borderId="18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left" vertical="center" wrapText="1"/>
    </xf>
    <xf numFmtId="4" fontId="21" fillId="2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4" fontId="21" fillId="2" borderId="9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21" fillId="0" borderId="4" xfId="0" applyNumberFormat="1" applyFont="1" applyFill="1" applyBorder="1" applyAlignment="1" applyProtection="1">
      <alignment horizontal="left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1" fillId="2" borderId="16" xfId="0" applyNumberFormat="1" applyFont="1" applyFill="1" applyBorder="1" applyAlignment="1">
      <alignment horizontal="center" vertical="center" wrapText="1"/>
    </xf>
    <xf numFmtId="4" fontId="11" fillId="2" borderId="1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8" fillId="2" borderId="3" xfId="0" applyFont="1" applyFill="1" applyBorder="1" applyAlignment="1">
      <alignment horizontal="left" vertical="center" wrapText="1"/>
    </xf>
    <xf numFmtId="14" fontId="11" fillId="2" borderId="9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5"/>
  <sheetViews>
    <sheetView workbookViewId="0">
      <selection activeCell="D37" sqref="D37:D4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2" t="s">
        <v>171</v>
      </c>
      <c r="I1" s="21"/>
      <c r="J1" s="1"/>
      <c r="K1" s="1"/>
      <c r="L1" s="1"/>
      <c r="M1" s="1"/>
    </row>
    <row r="2" spans="1:13" ht="15.75" customHeight="1">
      <c r="A2" s="23" t="s">
        <v>59</v>
      </c>
      <c r="J2" s="2"/>
      <c r="K2" s="2"/>
      <c r="L2" s="2"/>
      <c r="M2" s="2"/>
    </row>
    <row r="3" spans="1:13" ht="15.75" customHeight="1">
      <c r="A3" s="204" t="s">
        <v>128</v>
      </c>
      <c r="B3" s="204"/>
      <c r="C3" s="204"/>
      <c r="D3" s="204"/>
      <c r="E3" s="204"/>
      <c r="F3" s="204"/>
      <c r="G3" s="204"/>
      <c r="H3" s="204"/>
      <c r="I3" s="204"/>
      <c r="J3" s="3"/>
      <c r="K3" s="3"/>
      <c r="L3" s="3"/>
    </row>
    <row r="4" spans="1:13" ht="31.5" customHeight="1">
      <c r="A4" s="205" t="s">
        <v>124</v>
      </c>
      <c r="B4" s="205"/>
      <c r="C4" s="205"/>
      <c r="D4" s="205"/>
      <c r="E4" s="205"/>
      <c r="F4" s="205"/>
      <c r="G4" s="205"/>
      <c r="H4" s="205"/>
      <c r="I4" s="205"/>
    </row>
    <row r="5" spans="1:13" ht="15.75">
      <c r="A5" s="204" t="s">
        <v>183</v>
      </c>
      <c r="B5" s="206"/>
      <c r="C5" s="206"/>
      <c r="D5" s="206"/>
      <c r="E5" s="206"/>
      <c r="F5" s="206"/>
      <c r="G5" s="206"/>
      <c r="H5" s="206"/>
      <c r="I5" s="206"/>
      <c r="J5" s="2"/>
      <c r="K5" s="2"/>
      <c r="L5" s="2"/>
      <c r="M5" s="2"/>
    </row>
    <row r="6" spans="1:13" ht="15.75">
      <c r="A6" s="2"/>
      <c r="B6" s="80"/>
      <c r="C6" s="80"/>
      <c r="D6" s="80"/>
      <c r="E6" s="80"/>
      <c r="F6" s="80"/>
      <c r="G6" s="80"/>
      <c r="H6" s="80"/>
      <c r="I6" s="25">
        <v>43496</v>
      </c>
      <c r="J6" s="2"/>
      <c r="K6" s="2"/>
      <c r="L6" s="2"/>
      <c r="M6" s="2"/>
    </row>
    <row r="7" spans="1:13" ht="15.75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7" t="s">
        <v>175</v>
      </c>
      <c r="B8" s="207"/>
      <c r="C8" s="207"/>
      <c r="D8" s="207"/>
      <c r="E8" s="207"/>
      <c r="F8" s="207"/>
      <c r="G8" s="207"/>
      <c r="H8" s="207"/>
      <c r="I8" s="207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08" t="s">
        <v>158</v>
      </c>
      <c r="B10" s="208"/>
      <c r="C10" s="208"/>
      <c r="D10" s="208"/>
      <c r="E10" s="208"/>
      <c r="F10" s="208"/>
      <c r="G10" s="208"/>
      <c r="H10" s="208"/>
      <c r="I10" s="208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9" t="s">
        <v>56</v>
      </c>
      <c r="B14" s="209"/>
      <c r="C14" s="209"/>
      <c r="D14" s="209"/>
      <c r="E14" s="209"/>
      <c r="F14" s="209"/>
      <c r="G14" s="209"/>
      <c r="H14" s="209"/>
      <c r="I14" s="209"/>
      <c r="J14" s="8"/>
      <c r="K14" s="8"/>
      <c r="L14" s="8"/>
      <c r="M14" s="8"/>
    </row>
    <row r="15" spans="1:13" ht="15.75" customHeight="1">
      <c r="A15" s="210" t="s">
        <v>4</v>
      </c>
      <c r="B15" s="210"/>
      <c r="C15" s="210"/>
      <c r="D15" s="210"/>
      <c r="E15" s="210"/>
      <c r="F15" s="210"/>
      <c r="G15" s="210"/>
      <c r="H15" s="210"/>
      <c r="I15" s="210"/>
      <c r="J15" s="8"/>
      <c r="K15" s="8"/>
      <c r="L15" s="8"/>
      <c r="M15" s="8"/>
    </row>
    <row r="16" spans="1:13" s="44" customFormat="1" ht="15.75" customHeight="1">
      <c r="A16" s="24">
        <v>1</v>
      </c>
      <c r="B16" s="85" t="s">
        <v>81</v>
      </c>
      <c r="C16" s="86" t="s">
        <v>90</v>
      </c>
      <c r="D16" s="85" t="s">
        <v>217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24" si="0">SUM(F16*G16/1000)</f>
        <v>34.100352000000008</v>
      </c>
      <c r="I16" s="12">
        <f>F16/12*G16</f>
        <v>2841.6960000000004</v>
      </c>
    </row>
    <row r="17" spans="1:10" s="44" customFormat="1" ht="15.75" customHeight="1">
      <c r="A17" s="24">
        <v>2</v>
      </c>
      <c r="B17" s="85" t="s">
        <v>88</v>
      </c>
      <c r="C17" s="86" t="s">
        <v>90</v>
      </c>
      <c r="D17" s="85" t="s">
        <v>218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  <c r="J17" s="45"/>
    </row>
    <row r="18" spans="1:10" s="44" customFormat="1" ht="15.75" customHeight="1">
      <c r="A18" s="24">
        <v>3</v>
      </c>
      <c r="B18" s="85" t="s">
        <v>89</v>
      </c>
      <c r="C18" s="86" t="s">
        <v>90</v>
      </c>
      <c r="D18" s="85" t="s">
        <v>219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  <c r="J18" s="45"/>
    </row>
    <row r="19" spans="1:10" s="44" customFormat="1" ht="15.75" hidden="1" customHeight="1">
      <c r="A19" s="24">
        <v>4</v>
      </c>
      <c r="B19" s="85" t="s">
        <v>91</v>
      </c>
      <c r="C19" s="86" t="s">
        <v>92</v>
      </c>
      <c r="D19" s="85" t="s">
        <v>93</v>
      </c>
      <c r="E19" s="87">
        <v>57.6</v>
      </c>
      <c r="F19" s="88">
        <f>SUM(E19/10)</f>
        <v>5.76</v>
      </c>
      <c r="G19" s="88">
        <v>223.17</v>
      </c>
      <c r="H19" s="89">
        <f t="shared" si="0"/>
        <v>1.2854591999999998</v>
      </c>
      <c r="I19" s="12">
        <v>0</v>
      </c>
      <c r="J19" s="45"/>
    </row>
    <row r="20" spans="1:10" s="44" customFormat="1" ht="15.75" hidden="1" customHeight="1">
      <c r="A20" s="24">
        <v>5</v>
      </c>
      <c r="B20" s="85" t="s">
        <v>94</v>
      </c>
      <c r="C20" s="86" t="s">
        <v>90</v>
      </c>
      <c r="D20" s="85" t="s">
        <v>40</v>
      </c>
      <c r="E20" s="87">
        <v>43.2</v>
      </c>
      <c r="F20" s="88">
        <f>SUM(E20*2/100)</f>
        <v>0.8640000000000001</v>
      </c>
      <c r="G20" s="88">
        <v>285.76</v>
      </c>
      <c r="H20" s="89">
        <f t="shared" si="0"/>
        <v>0.24689664000000003</v>
      </c>
      <c r="I20" s="12">
        <v>0</v>
      </c>
      <c r="J20" s="45"/>
    </row>
    <row r="21" spans="1:10" s="44" customFormat="1" ht="15.75" hidden="1" customHeight="1">
      <c r="A21" s="24">
        <v>6</v>
      </c>
      <c r="B21" s="85" t="s">
        <v>95</v>
      </c>
      <c r="C21" s="86" t="s">
        <v>90</v>
      </c>
      <c r="D21" s="85" t="s">
        <v>40</v>
      </c>
      <c r="E21" s="87">
        <v>10.08</v>
      </c>
      <c r="F21" s="88">
        <f>SUM(E21*2/100)</f>
        <v>0.2016</v>
      </c>
      <c r="G21" s="88">
        <v>283.44</v>
      </c>
      <c r="H21" s="89">
        <f t="shared" si="0"/>
        <v>5.7141503999999996E-2</v>
      </c>
      <c r="I21" s="12">
        <v>0</v>
      </c>
      <c r="J21" s="45"/>
    </row>
    <row r="22" spans="1:10" s="44" customFormat="1" ht="15.75" hidden="1" customHeight="1">
      <c r="A22" s="24">
        <v>7</v>
      </c>
      <c r="B22" s="85" t="s">
        <v>96</v>
      </c>
      <c r="C22" s="86" t="s">
        <v>50</v>
      </c>
      <c r="D22" s="85" t="s">
        <v>93</v>
      </c>
      <c r="E22" s="87">
        <v>642.6</v>
      </c>
      <c r="F22" s="88">
        <f>SUM(E22/100)</f>
        <v>6.4260000000000002</v>
      </c>
      <c r="G22" s="88">
        <v>353.14</v>
      </c>
      <c r="H22" s="89">
        <f t="shared" si="0"/>
        <v>2.2692776399999999</v>
      </c>
      <c r="I22" s="12">
        <v>0</v>
      </c>
      <c r="J22" s="45"/>
    </row>
    <row r="23" spans="1:10" s="44" customFormat="1" ht="15.75" hidden="1" customHeight="1">
      <c r="A23" s="24">
        <v>8</v>
      </c>
      <c r="B23" s="85" t="s">
        <v>97</v>
      </c>
      <c r="C23" s="86" t="s">
        <v>50</v>
      </c>
      <c r="D23" s="85" t="s">
        <v>93</v>
      </c>
      <c r="E23" s="90">
        <v>35.28</v>
      </c>
      <c r="F23" s="88">
        <f>SUM(E23/100)</f>
        <v>0.3528</v>
      </c>
      <c r="G23" s="88">
        <v>58.08</v>
      </c>
      <c r="H23" s="89">
        <f t="shared" si="0"/>
        <v>2.0490623999999999E-2</v>
      </c>
      <c r="I23" s="12">
        <v>0</v>
      </c>
      <c r="J23" s="45"/>
    </row>
    <row r="24" spans="1:10" s="44" customFormat="1" ht="15.75" hidden="1" customHeight="1">
      <c r="A24" s="24">
        <v>9</v>
      </c>
      <c r="B24" s="85" t="s">
        <v>98</v>
      </c>
      <c r="C24" s="86" t="s">
        <v>50</v>
      </c>
      <c r="D24" s="85" t="s">
        <v>93</v>
      </c>
      <c r="E24" s="87">
        <v>28.8</v>
      </c>
      <c r="F24" s="88">
        <f>SUM(E24/100)</f>
        <v>0.28800000000000003</v>
      </c>
      <c r="G24" s="88">
        <v>683.05</v>
      </c>
      <c r="H24" s="89">
        <f t="shared" si="0"/>
        <v>0.19671840000000002</v>
      </c>
      <c r="I24" s="12">
        <v>0</v>
      </c>
      <c r="J24" s="45"/>
    </row>
    <row r="25" spans="1:10" s="44" customFormat="1" ht="15.75" customHeight="1">
      <c r="A25" s="24">
        <v>4</v>
      </c>
      <c r="B25" s="85" t="s">
        <v>216</v>
      </c>
      <c r="C25" s="86" t="s">
        <v>25</v>
      </c>
      <c r="D25" s="85" t="s">
        <v>220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  <c r="J25" s="45"/>
    </row>
    <row r="26" spans="1:10" s="44" customFormat="1" ht="15.75" customHeight="1">
      <c r="A26" s="211" t="s">
        <v>153</v>
      </c>
      <c r="B26" s="212"/>
      <c r="C26" s="212"/>
      <c r="D26" s="212"/>
      <c r="E26" s="212"/>
      <c r="F26" s="212"/>
      <c r="G26" s="212"/>
      <c r="H26" s="212"/>
      <c r="I26" s="213"/>
      <c r="J26" s="45"/>
    </row>
    <row r="27" spans="1:10" s="44" customFormat="1" ht="15.75" hidden="1" customHeight="1">
      <c r="A27" s="24"/>
      <c r="B27" s="119" t="s">
        <v>28</v>
      </c>
      <c r="C27" s="86"/>
      <c r="D27" s="85"/>
      <c r="E27" s="87"/>
      <c r="F27" s="88"/>
      <c r="G27" s="88"/>
      <c r="H27" s="89"/>
      <c r="I27" s="12"/>
      <c r="J27" s="45"/>
    </row>
    <row r="28" spans="1:10" s="44" customFormat="1" ht="15.75" hidden="1" customHeight="1">
      <c r="A28" s="24">
        <v>6</v>
      </c>
      <c r="B28" s="85" t="s">
        <v>99</v>
      </c>
      <c r="C28" s="86" t="s">
        <v>100</v>
      </c>
      <c r="D28" s="85" t="s">
        <v>101</v>
      </c>
      <c r="E28" s="88">
        <v>271.95</v>
      </c>
      <c r="F28" s="88">
        <f>SUM(E28*52/1000)</f>
        <v>14.141399999999999</v>
      </c>
      <c r="G28" s="88">
        <v>204.44</v>
      </c>
      <c r="H28" s="89">
        <f t="shared" ref="H28:H34" si="2">SUM(F28*G28/1000)</f>
        <v>2.8910678159999996</v>
      </c>
      <c r="I28" s="12">
        <f>F28/6*G28</f>
        <v>481.84463599999998</v>
      </c>
      <c r="J28" s="45"/>
    </row>
    <row r="29" spans="1:10" s="44" customFormat="1" ht="15.75" hidden="1" customHeight="1">
      <c r="A29" s="24">
        <v>7</v>
      </c>
      <c r="B29" s="85" t="s">
        <v>134</v>
      </c>
      <c r="C29" s="86" t="s">
        <v>100</v>
      </c>
      <c r="D29" s="85" t="s">
        <v>144</v>
      </c>
      <c r="E29" s="88">
        <v>83.7</v>
      </c>
      <c r="F29" s="88">
        <f>SUM(E29*52/1000)</f>
        <v>4.3524000000000003</v>
      </c>
      <c r="G29" s="88">
        <v>339.21</v>
      </c>
      <c r="H29" s="89">
        <f t="shared" si="2"/>
        <v>1.4763776040000001</v>
      </c>
      <c r="I29" s="12">
        <f t="shared" ref="I29:I39" si="3">F29/6*G29</f>
        <v>246.06293400000001</v>
      </c>
      <c r="J29" s="45"/>
    </row>
    <row r="30" spans="1:10" s="44" customFormat="1" ht="15.75" hidden="1" customHeight="1">
      <c r="A30" s="24">
        <v>5</v>
      </c>
      <c r="B30" s="85" t="s">
        <v>27</v>
      </c>
      <c r="C30" s="86" t="s">
        <v>100</v>
      </c>
      <c r="D30" s="85" t="s">
        <v>51</v>
      </c>
      <c r="E30" s="88">
        <v>271.95</v>
      </c>
      <c r="F30" s="88">
        <f>SUM(E30/1000)</f>
        <v>0.27194999999999997</v>
      </c>
      <c r="G30" s="88">
        <v>3961.23</v>
      </c>
      <c r="H30" s="89">
        <f t="shared" si="2"/>
        <v>1.0772564984999999</v>
      </c>
      <c r="I30" s="12">
        <v>0</v>
      </c>
      <c r="J30" s="45"/>
    </row>
    <row r="31" spans="1:10" s="44" customFormat="1" ht="15.75" hidden="1" customHeight="1">
      <c r="A31" s="24">
        <v>8</v>
      </c>
      <c r="B31" s="85" t="s">
        <v>102</v>
      </c>
      <c r="C31" s="86" t="s">
        <v>38</v>
      </c>
      <c r="D31" s="85" t="s">
        <v>145</v>
      </c>
      <c r="E31" s="88">
        <v>6</v>
      </c>
      <c r="F31" s="88">
        <f>SUM(E31*48/100)</f>
        <v>2.88</v>
      </c>
      <c r="G31" s="88">
        <v>1707.63</v>
      </c>
      <c r="H31" s="89">
        <f>G31*F31/1000</f>
        <v>4.9179744000000003</v>
      </c>
      <c r="I31" s="12">
        <f t="shared" si="3"/>
        <v>819.66240000000005</v>
      </c>
      <c r="J31" s="45"/>
    </row>
    <row r="32" spans="1:10" s="44" customFormat="1" ht="15.75" hidden="1" customHeight="1">
      <c r="A32" s="24">
        <v>9</v>
      </c>
      <c r="B32" s="85" t="s">
        <v>103</v>
      </c>
      <c r="C32" s="86" t="s">
        <v>30</v>
      </c>
      <c r="D32" s="85" t="s">
        <v>60</v>
      </c>
      <c r="E32" s="91">
        <f>1/3</f>
        <v>0.33333333333333331</v>
      </c>
      <c r="F32" s="88">
        <f>155/3</f>
        <v>51.666666666666664</v>
      </c>
      <c r="G32" s="88">
        <v>74.349999999999994</v>
      </c>
      <c r="H32" s="89">
        <f>SUM(G32*155/3/1000)</f>
        <v>3.8414166666666665</v>
      </c>
      <c r="I32" s="12">
        <f t="shared" si="3"/>
        <v>640.23611111111109</v>
      </c>
      <c r="J32" s="45"/>
    </row>
    <row r="33" spans="1:14" s="44" customFormat="1" ht="15.75" hidden="1" customHeight="1">
      <c r="A33" s="24">
        <v>6</v>
      </c>
      <c r="B33" s="85" t="s">
        <v>61</v>
      </c>
      <c r="C33" s="86" t="s">
        <v>32</v>
      </c>
      <c r="D33" s="85" t="s">
        <v>63</v>
      </c>
      <c r="E33" s="87"/>
      <c r="F33" s="88">
        <v>2</v>
      </c>
      <c r="G33" s="88">
        <v>250.92</v>
      </c>
      <c r="H33" s="89">
        <f t="shared" si="2"/>
        <v>0.50183999999999995</v>
      </c>
      <c r="I33" s="12">
        <v>0</v>
      </c>
      <c r="J33" s="45"/>
    </row>
    <row r="34" spans="1:14" s="44" customFormat="1" ht="15.75" hidden="1" customHeight="1">
      <c r="A34" s="24">
        <v>7</v>
      </c>
      <c r="B34" s="85" t="s">
        <v>62</v>
      </c>
      <c r="C34" s="86" t="s">
        <v>31</v>
      </c>
      <c r="D34" s="85" t="s">
        <v>63</v>
      </c>
      <c r="E34" s="87"/>
      <c r="F34" s="88">
        <v>1</v>
      </c>
      <c r="G34" s="88">
        <v>1490.33</v>
      </c>
      <c r="H34" s="89">
        <f t="shared" si="2"/>
        <v>1.4903299999999999</v>
      </c>
      <c r="I34" s="12">
        <v>0</v>
      </c>
      <c r="J34" s="45"/>
    </row>
    <row r="35" spans="1:14" s="44" customFormat="1" ht="15.75" customHeight="1">
      <c r="A35" s="24"/>
      <c r="B35" s="118" t="s">
        <v>5</v>
      </c>
      <c r="C35" s="86"/>
      <c r="D35" s="85"/>
      <c r="E35" s="87"/>
      <c r="F35" s="88"/>
      <c r="G35" s="88"/>
      <c r="H35" s="89" t="s">
        <v>129</v>
      </c>
      <c r="I35" s="12"/>
      <c r="J35" s="45"/>
    </row>
    <row r="36" spans="1:14" s="44" customFormat="1" ht="15.75" customHeight="1">
      <c r="A36" s="24">
        <v>5</v>
      </c>
      <c r="B36" s="94" t="s">
        <v>26</v>
      </c>
      <c r="C36" s="86" t="s">
        <v>31</v>
      </c>
      <c r="D36" s="85"/>
      <c r="E36" s="87"/>
      <c r="F36" s="88">
        <v>5</v>
      </c>
      <c r="G36" s="88">
        <v>2003</v>
      </c>
      <c r="H36" s="89">
        <f t="shared" ref="H36:H41" si="4">SUM(F36*G36/1000)</f>
        <v>10.015000000000001</v>
      </c>
      <c r="I36" s="12">
        <f>G36*1.12</f>
        <v>2243.36</v>
      </c>
      <c r="J36" s="45"/>
    </row>
    <row r="37" spans="1:14" s="44" customFormat="1" ht="15.75" customHeight="1">
      <c r="A37" s="24">
        <v>6</v>
      </c>
      <c r="B37" s="94" t="s">
        <v>146</v>
      </c>
      <c r="C37" s="95" t="s">
        <v>29</v>
      </c>
      <c r="D37" s="85" t="s">
        <v>221</v>
      </c>
      <c r="E37" s="87">
        <v>83.7</v>
      </c>
      <c r="F37" s="96">
        <f>E37*30/1000</f>
        <v>2.5110000000000001</v>
      </c>
      <c r="G37" s="88">
        <v>2757.78</v>
      </c>
      <c r="H37" s="89">
        <f t="shared" si="4"/>
        <v>6.9247855800000009</v>
      </c>
      <c r="I37" s="12">
        <f t="shared" si="3"/>
        <v>1154.1309300000003</v>
      </c>
      <c r="J37" s="45"/>
    </row>
    <row r="38" spans="1:14" s="44" customFormat="1" ht="15.75" customHeight="1">
      <c r="A38" s="24">
        <v>7</v>
      </c>
      <c r="B38" s="85" t="s">
        <v>64</v>
      </c>
      <c r="C38" s="86" t="s">
        <v>29</v>
      </c>
      <c r="D38" s="85" t="s">
        <v>222</v>
      </c>
      <c r="E38" s="88">
        <v>83.7</v>
      </c>
      <c r="F38" s="96">
        <f>SUM(E38*155/1000)</f>
        <v>12.9735</v>
      </c>
      <c r="G38" s="88">
        <v>460.02</v>
      </c>
      <c r="H38" s="89">
        <f t="shared" si="4"/>
        <v>5.9680694699999997</v>
      </c>
      <c r="I38" s="12">
        <f t="shared" si="3"/>
        <v>994.67824499999983</v>
      </c>
      <c r="J38" s="45"/>
    </row>
    <row r="39" spans="1:14" s="44" customFormat="1" ht="47.25" customHeight="1">
      <c r="A39" s="24">
        <v>8</v>
      </c>
      <c r="B39" s="85" t="s">
        <v>79</v>
      </c>
      <c r="C39" s="86" t="s">
        <v>100</v>
      </c>
      <c r="D39" s="85" t="s">
        <v>221</v>
      </c>
      <c r="E39" s="88">
        <v>83.7</v>
      </c>
      <c r="F39" s="96">
        <f>SUM(E39*30/1000)</f>
        <v>2.5110000000000001</v>
      </c>
      <c r="G39" s="88">
        <v>7611.16</v>
      </c>
      <c r="H39" s="89">
        <f t="shared" si="4"/>
        <v>19.111622760000003</v>
      </c>
      <c r="I39" s="12">
        <f t="shared" si="3"/>
        <v>3185.2704600000002</v>
      </c>
      <c r="J39" s="45"/>
    </row>
    <row r="40" spans="1:14" s="44" customFormat="1" ht="15.75" customHeight="1">
      <c r="A40" s="24">
        <v>9</v>
      </c>
      <c r="B40" s="85" t="s">
        <v>107</v>
      </c>
      <c r="C40" s="86" t="s">
        <v>100</v>
      </c>
      <c r="D40" s="85" t="s">
        <v>223</v>
      </c>
      <c r="E40" s="88">
        <v>83.7</v>
      </c>
      <c r="F40" s="96">
        <f>SUM(E40*24/1000)</f>
        <v>2.0088000000000004</v>
      </c>
      <c r="G40" s="88">
        <v>562.25</v>
      </c>
      <c r="H40" s="89">
        <f t="shared" si="4"/>
        <v>1.1294478000000001</v>
      </c>
      <c r="I40" s="12">
        <f>F40/7.5*G40</f>
        <v>150.59304</v>
      </c>
      <c r="J40" s="45"/>
    </row>
    <row r="41" spans="1:14" s="44" customFormat="1" ht="15.75" customHeight="1">
      <c r="A41" s="24">
        <v>10</v>
      </c>
      <c r="B41" s="94" t="s">
        <v>65</v>
      </c>
      <c r="C41" s="95" t="s">
        <v>32</v>
      </c>
      <c r="D41" s="94"/>
      <c r="E41" s="92"/>
      <c r="F41" s="96">
        <v>0.9</v>
      </c>
      <c r="G41" s="96">
        <v>974.83</v>
      </c>
      <c r="H41" s="89">
        <f t="shared" si="4"/>
        <v>0.8773470000000001</v>
      </c>
      <c r="I41" s="12">
        <f>F41/7.5*G41</f>
        <v>116.97960000000002</v>
      </c>
      <c r="J41" s="45"/>
    </row>
    <row r="42" spans="1:14" s="44" customFormat="1" ht="15.75" customHeight="1">
      <c r="A42" s="211" t="s">
        <v>135</v>
      </c>
      <c r="B42" s="212"/>
      <c r="C42" s="212"/>
      <c r="D42" s="212"/>
      <c r="E42" s="212"/>
      <c r="F42" s="212"/>
      <c r="G42" s="212"/>
      <c r="H42" s="212"/>
      <c r="I42" s="213"/>
      <c r="J42" s="45"/>
    </row>
    <row r="43" spans="1:14" s="44" customFormat="1" ht="15.75" hidden="1" customHeight="1">
      <c r="A43" s="24">
        <v>8</v>
      </c>
      <c r="B43" s="85" t="s">
        <v>108</v>
      </c>
      <c r="C43" s="86" t="s">
        <v>100</v>
      </c>
      <c r="D43" s="85" t="s">
        <v>40</v>
      </c>
      <c r="E43" s="87">
        <v>1032.5</v>
      </c>
      <c r="F43" s="88">
        <f>SUM(E43*2/1000)</f>
        <v>2.0649999999999999</v>
      </c>
      <c r="G43" s="29">
        <v>1114.1300000000001</v>
      </c>
      <c r="H43" s="89">
        <f t="shared" ref="H43:H52" si="5">SUM(F43*G43/1000)</f>
        <v>2.3006784500000004</v>
      </c>
      <c r="I43" s="12">
        <f>F43/2*G43</f>
        <v>1150.3392250000002</v>
      </c>
      <c r="J43" s="45"/>
    </row>
    <row r="44" spans="1:14" s="44" customFormat="1" ht="15.75" hidden="1" customHeight="1">
      <c r="A44" s="24"/>
      <c r="B44" s="85" t="s">
        <v>33</v>
      </c>
      <c r="C44" s="86" t="s">
        <v>100</v>
      </c>
      <c r="D44" s="85" t="s">
        <v>40</v>
      </c>
      <c r="E44" s="87">
        <v>132</v>
      </c>
      <c r="F44" s="88">
        <f>E44*2/1000</f>
        <v>0.26400000000000001</v>
      </c>
      <c r="G44" s="29">
        <v>4419.05</v>
      </c>
      <c r="H44" s="89">
        <f t="shared" si="5"/>
        <v>1.1666292</v>
      </c>
      <c r="I44" s="12">
        <f t="shared" ref="I44:I50" si="6">F44/2*G44</f>
        <v>583.31460000000004</v>
      </c>
      <c r="J44" s="45"/>
      <c r="L44" s="17"/>
      <c r="M44" s="18"/>
      <c r="N44" s="26"/>
    </row>
    <row r="45" spans="1:14" s="44" customFormat="1" ht="15.75" hidden="1" customHeight="1">
      <c r="A45" s="24">
        <v>9</v>
      </c>
      <c r="B45" s="85" t="s">
        <v>34</v>
      </c>
      <c r="C45" s="86" t="s">
        <v>100</v>
      </c>
      <c r="D45" s="85" t="s">
        <v>40</v>
      </c>
      <c r="E45" s="87">
        <v>4248.22</v>
      </c>
      <c r="F45" s="88">
        <f>SUM(E45*2/1000)</f>
        <v>8.4964399999999998</v>
      </c>
      <c r="G45" s="29">
        <v>1803.69</v>
      </c>
      <c r="H45" s="89">
        <f t="shared" si="5"/>
        <v>15.3249438636</v>
      </c>
      <c r="I45" s="12">
        <f t="shared" si="6"/>
        <v>7662.4719317999998</v>
      </c>
      <c r="J45" s="45"/>
      <c r="L45" s="17"/>
      <c r="M45" s="18"/>
      <c r="N45" s="26"/>
    </row>
    <row r="46" spans="1:14" s="44" customFormat="1" ht="15.75" hidden="1" customHeight="1">
      <c r="A46" s="24">
        <v>10</v>
      </c>
      <c r="B46" s="85" t="s">
        <v>35</v>
      </c>
      <c r="C46" s="86" t="s">
        <v>100</v>
      </c>
      <c r="D46" s="85" t="s">
        <v>40</v>
      </c>
      <c r="E46" s="87">
        <v>2163.66</v>
      </c>
      <c r="F46" s="88">
        <f>SUM(E46*2/1000)</f>
        <v>4.3273199999999994</v>
      </c>
      <c r="G46" s="29">
        <v>1243.43</v>
      </c>
      <c r="H46" s="89">
        <f t="shared" si="5"/>
        <v>5.3807195075999994</v>
      </c>
      <c r="I46" s="12">
        <f t="shared" si="6"/>
        <v>2690.3597537999999</v>
      </c>
      <c r="J46" s="45"/>
      <c r="L46" s="17"/>
      <c r="M46" s="18"/>
      <c r="N46" s="26"/>
    </row>
    <row r="47" spans="1:14" s="44" customFormat="1" ht="15.75" customHeight="1">
      <c r="A47" s="24">
        <v>11</v>
      </c>
      <c r="B47" s="85" t="s">
        <v>53</v>
      </c>
      <c r="C47" s="86" t="s">
        <v>100</v>
      </c>
      <c r="D47" s="85" t="s">
        <v>224</v>
      </c>
      <c r="E47" s="87">
        <v>3931</v>
      </c>
      <c r="F47" s="88">
        <f>SUM(E47*5/1000)</f>
        <v>19.655000000000001</v>
      </c>
      <c r="G47" s="29">
        <v>1083.69</v>
      </c>
      <c r="H47" s="89">
        <f t="shared" si="5"/>
        <v>21.29992695</v>
      </c>
      <c r="I47" s="12">
        <f>F47/5*G47</f>
        <v>4259.9853899999998</v>
      </c>
      <c r="J47" s="45"/>
      <c r="L47" s="17"/>
      <c r="M47" s="18"/>
      <c r="N47" s="26"/>
    </row>
    <row r="48" spans="1:14" s="44" customFormat="1" ht="31.5" hidden="1" customHeight="1">
      <c r="A48" s="24">
        <v>12</v>
      </c>
      <c r="B48" s="85" t="s">
        <v>109</v>
      </c>
      <c r="C48" s="86" t="s">
        <v>100</v>
      </c>
      <c r="D48" s="85" t="s">
        <v>40</v>
      </c>
      <c r="E48" s="87">
        <v>3931</v>
      </c>
      <c r="F48" s="88">
        <f>SUM(E48*2/1000)</f>
        <v>7.8620000000000001</v>
      </c>
      <c r="G48" s="29">
        <v>1591.6</v>
      </c>
      <c r="H48" s="89">
        <f t="shared" si="5"/>
        <v>12.5131592</v>
      </c>
      <c r="I48" s="12">
        <f t="shared" si="6"/>
        <v>6256.5796</v>
      </c>
      <c r="J48" s="45"/>
      <c r="L48" s="17"/>
      <c r="M48" s="18"/>
      <c r="N48" s="26"/>
    </row>
    <row r="49" spans="1:14" s="44" customFormat="1" ht="31.5" hidden="1" customHeight="1">
      <c r="A49" s="24">
        <v>12</v>
      </c>
      <c r="B49" s="85" t="s">
        <v>110</v>
      </c>
      <c r="C49" s="86" t="s">
        <v>36</v>
      </c>
      <c r="D49" s="85" t="s">
        <v>40</v>
      </c>
      <c r="E49" s="87">
        <v>30</v>
      </c>
      <c r="F49" s="88">
        <f>SUM(E49*2/100)</f>
        <v>0.6</v>
      </c>
      <c r="G49" s="29">
        <v>4058.32</v>
      </c>
      <c r="H49" s="89">
        <f t="shared" si="5"/>
        <v>2.4349920000000003</v>
      </c>
      <c r="I49" s="12">
        <f t="shared" si="6"/>
        <v>1217.4960000000001</v>
      </c>
      <c r="J49" s="45"/>
      <c r="L49" s="17"/>
      <c r="M49" s="18"/>
      <c r="N49" s="26"/>
    </row>
    <row r="50" spans="1:14" s="44" customFormat="1" ht="15.75" hidden="1" customHeight="1">
      <c r="A50" s="24">
        <v>13</v>
      </c>
      <c r="B50" s="85" t="s">
        <v>37</v>
      </c>
      <c r="C50" s="86" t="s">
        <v>38</v>
      </c>
      <c r="D50" s="85" t="s">
        <v>40</v>
      </c>
      <c r="E50" s="87">
        <v>1</v>
      </c>
      <c r="F50" s="88">
        <v>0.02</v>
      </c>
      <c r="G50" s="29">
        <v>7412.92</v>
      </c>
      <c r="H50" s="89">
        <f t="shared" si="5"/>
        <v>0.14825839999999998</v>
      </c>
      <c r="I50" s="12">
        <f t="shared" si="6"/>
        <v>74.129199999999997</v>
      </c>
      <c r="J50" s="45"/>
      <c r="L50" s="17"/>
      <c r="M50" s="18"/>
      <c r="N50" s="26"/>
    </row>
    <row r="51" spans="1:14" s="44" customFormat="1" ht="15.75" hidden="1" customHeight="1">
      <c r="A51" s="24">
        <v>13</v>
      </c>
      <c r="B51" s="85" t="s">
        <v>111</v>
      </c>
      <c r="C51" s="86" t="s">
        <v>86</v>
      </c>
      <c r="D51" s="85" t="s">
        <v>66</v>
      </c>
      <c r="E51" s="87">
        <v>90</v>
      </c>
      <c r="F51" s="88">
        <f>E51*3</f>
        <v>270</v>
      </c>
      <c r="G51" s="29">
        <v>185.08</v>
      </c>
      <c r="H51" s="89">
        <f t="shared" si="5"/>
        <v>49.971600000000009</v>
      </c>
      <c r="I51" s="12">
        <f>F51/3*G51</f>
        <v>16657.2</v>
      </c>
      <c r="J51" s="45"/>
      <c r="L51" s="17"/>
      <c r="M51" s="18"/>
      <c r="N51" s="26"/>
    </row>
    <row r="52" spans="1:14" s="44" customFormat="1" ht="15.75" hidden="1" customHeight="1">
      <c r="A52" s="24">
        <v>14</v>
      </c>
      <c r="B52" s="85" t="s">
        <v>39</v>
      </c>
      <c r="C52" s="86" t="s">
        <v>86</v>
      </c>
      <c r="D52" s="85" t="s">
        <v>66</v>
      </c>
      <c r="E52" s="87">
        <v>180</v>
      </c>
      <c r="F52" s="88">
        <f>SUM(E52)*3</f>
        <v>540</v>
      </c>
      <c r="G52" s="97">
        <v>86.15</v>
      </c>
      <c r="H52" s="89">
        <f t="shared" si="5"/>
        <v>46.521000000000001</v>
      </c>
      <c r="I52" s="12">
        <f>F52/3*G52</f>
        <v>15507.000000000002</v>
      </c>
      <c r="J52" s="45"/>
      <c r="L52" s="17"/>
      <c r="M52" s="18"/>
      <c r="N52" s="26"/>
    </row>
    <row r="53" spans="1:14" s="44" customFormat="1" ht="15.75" customHeight="1">
      <c r="A53" s="211" t="s">
        <v>136</v>
      </c>
      <c r="B53" s="212"/>
      <c r="C53" s="212"/>
      <c r="D53" s="212"/>
      <c r="E53" s="212"/>
      <c r="F53" s="212"/>
      <c r="G53" s="212"/>
      <c r="H53" s="212"/>
      <c r="I53" s="213"/>
      <c r="J53" s="45"/>
      <c r="L53" s="17"/>
      <c r="M53" s="18"/>
      <c r="N53" s="26"/>
    </row>
    <row r="54" spans="1:14" s="44" customFormat="1" ht="15.75" customHeight="1">
      <c r="A54" s="24"/>
      <c r="B54" s="119" t="s">
        <v>41</v>
      </c>
      <c r="C54" s="86"/>
      <c r="D54" s="85"/>
      <c r="E54" s="87"/>
      <c r="F54" s="88"/>
      <c r="G54" s="88"/>
      <c r="H54" s="89"/>
      <c r="I54" s="12"/>
      <c r="J54" s="45"/>
      <c r="L54" s="17"/>
      <c r="M54" s="18"/>
      <c r="N54" s="26"/>
    </row>
    <row r="55" spans="1:14" s="44" customFormat="1" ht="31.5" customHeight="1">
      <c r="A55" s="24">
        <v>12</v>
      </c>
      <c r="B55" s="85" t="s">
        <v>125</v>
      </c>
      <c r="C55" s="86" t="s">
        <v>90</v>
      </c>
      <c r="D55" s="85"/>
      <c r="E55" s="87">
        <v>30.6</v>
      </c>
      <c r="F55" s="88">
        <f>SUM(E55*6/100)</f>
        <v>1.8360000000000003</v>
      </c>
      <c r="G55" s="29">
        <v>2029.3</v>
      </c>
      <c r="H55" s="89">
        <f>SUM(F55*G55/1000)</f>
        <v>3.7257948000000005</v>
      </c>
      <c r="I55" s="12">
        <f>G55*0.426</f>
        <v>864.48179999999991</v>
      </c>
      <c r="J55" s="45"/>
      <c r="L55" s="17"/>
      <c r="M55" s="18"/>
      <c r="N55" s="26"/>
    </row>
    <row r="56" spans="1:14" s="44" customFormat="1" ht="31.5" hidden="1" customHeight="1">
      <c r="A56" s="24">
        <v>13</v>
      </c>
      <c r="B56" s="85" t="s">
        <v>84</v>
      </c>
      <c r="C56" s="86" t="s">
        <v>90</v>
      </c>
      <c r="D56" s="85" t="s">
        <v>85</v>
      </c>
      <c r="E56" s="87">
        <v>39.69</v>
      </c>
      <c r="F56" s="88">
        <f>SUM(E56*12/100)</f>
        <v>4.7627999999999995</v>
      </c>
      <c r="G56" s="29">
        <v>2029.3</v>
      </c>
      <c r="H56" s="89">
        <f>SUM(F56*G56/1000)</f>
        <v>9.6651500399999986</v>
      </c>
      <c r="I56" s="12">
        <f t="shared" ref="I56:I58" si="7">F56/6*G56</f>
        <v>1610.8583399999998</v>
      </c>
      <c r="J56" s="45"/>
      <c r="L56" s="17"/>
      <c r="M56" s="18"/>
      <c r="N56" s="26"/>
    </row>
    <row r="57" spans="1:14" s="44" customFormat="1" ht="15.75" hidden="1" customHeight="1">
      <c r="A57" s="24">
        <v>20</v>
      </c>
      <c r="B57" s="98" t="s">
        <v>113</v>
      </c>
      <c r="C57" s="99" t="s">
        <v>114</v>
      </c>
      <c r="D57" s="98" t="s">
        <v>40</v>
      </c>
      <c r="E57" s="100">
        <v>8</v>
      </c>
      <c r="F57" s="101">
        <v>16</v>
      </c>
      <c r="G57" s="29">
        <v>237.1</v>
      </c>
      <c r="H57" s="89">
        <f>SUM(F57*G57/1000)</f>
        <v>3.7936000000000001</v>
      </c>
      <c r="I57" s="12">
        <v>0</v>
      </c>
      <c r="J57" s="45"/>
      <c r="L57" s="17"/>
      <c r="M57" s="18"/>
      <c r="N57" s="26"/>
    </row>
    <row r="58" spans="1:14" s="44" customFormat="1" ht="15.75" customHeight="1">
      <c r="A58" s="24">
        <v>13</v>
      </c>
      <c r="B58" s="85" t="s">
        <v>115</v>
      </c>
      <c r="C58" s="86" t="s">
        <v>90</v>
      </c>
      <c r="D58" s="85" t="s">
        <v>224</v>
      </c>
      <c r="E58" s="87">
        <v>41.73</v>
      </c>
      <c r="F58" s="88">
        <f>SUM(E58*6/100)</f>
        <v>2.5038</v>
      </c>
      <c r="G58" s="29">
        <v>2029.3</v>
      </c>
      <c r="H58" s="89">
        <f>SUM(F58*G58/1000)</f>
        <v>5.08096134</v>
      </c>
      <c r="I58" s="12">
        <f t="shared" si="7"/>
        <v>846.82688999999993</v>
      </c>
      <c r="J58" s="45"/>
      <c r="L58" s="17"/>
      <c r="M58" s="18"/>
      <c r="N58" s="26"/>
    </row>
    <row r="59" spans="1:14" s="44" customFormat="1" ht="15.75" hidden="1" customHeight="1">
      <c r="A59" s="24"/>
      <c r="B59" s="98" t="s">
        <v>133</v>
      </c>
      <c r="C59" s="99" t="s">
        <v>31</v>
      </c>
      <c r="D59" s="98" t="s">
        <v>63</v>
      </c>
      <c r="E59" s="100"/>
      <c r="F59" s="101">
        <v>4</v>
      </c>
      <c r="G59" s="29">
        <v>1582.05</v>
      </c>
      <c r="H59" s="89">
        <f>SUM(F59*G59/1000)</f>
        <v>6.3281999999999998</v>
      </c>
      <c r="I59" s="12">
        <v>0</v>
      </c>
      <c r="J59" s="45"/>
      <c r="L59" s="17"/>
      <c r="M59" s="18"/>
      <c r="N59" s="26"/>
    </row>
    <row r="60" spans="1:14" s="44" customFormat="1" ht="15.75" customHeight="1">
      <c r="A60" s="24"/>
      <c r="B60" s="120" t="s">
        <v>42</v>
      </c>
      <c r="C60" s="99"/>
      <c r="D60" s="98"/>
      <c r="E60" s="100"/>
      <c r="F60" s="101"/>
      <c r="G60" s="29"/>
      <c r="H60" s="102"/>
      <c r="I60" s="12"/>
      <c r="J60" s="45"/>
      <c r="L60" s="17"/>
      <c r="M60" s="18"/>
      <c r="N60" s="26"/>
    </row>
    <row r="61" spans="1:14" s="44" customFormat="1" ht="15.75" hidden="1" customHeight="1">
      <c r="A61" s="24">
        <v>14</v>
      </c>
      <c r="B61" s="98" t="s">
        <v>130</v>
      </c>
      <c r="C61" s="99" t="s">
        <v>50</v>
      </c>
      <c r="D61" s="98" t="s">
        <v>51</v>
      </c>
      <c r="E61" s="100">
        <v>508.73</v>
      </c>
      <c r="F61" s="88">
        <f>SUM(E61/100)</f>
        <v>5.0872999999999999</v>
      </c>
      <c r="G61" s="29">
        <v>1040.8399999999999</v>
      </c>
      <c r="H61" s="102">
        <f>F61*G61/1000</f>
        <v>5.2950653319999992</v>
      </c>
      <c r="I61" s="12">
        <v>0</v>
      </c>
      <c r="J61" s="45"/>
      <c r="L61" s="17"/>
      <c r="M61" s="18"/>
      <c r="N61" s="26"/>
    </row>
    <row r="62" spans="1:14" s="44" customFormat="1" ht="15.75" customHeight="1">
      <c r="A62" s="24">
        <v>14</v>
      </c>
      <c r="B62" s="47" t="s">
        <v>87</v>
      </c>
      <c r="C62" s="48" t="s">
        <v>25</v>
      </c>
      <c r="D62" s="47" t="s">
        <v>225</v>
      </c>
      <c r="E62" s="49">
        <v>200</v>
      </c>
      <c r="F62" s="130">
        <f>E62*12</f>
        <v>2400</v>
      </c>
      <c r="G62" s="40">
        <v>1.4</v>
      </c>
      <c r="H62" s="50">
        <f>F62*G62/1000</f>
        <v>3.36</v>
      </c>
      <c r="I62" s="12">
        <f>F62/12*G62</f>
        <v>280</v>
      </c>
      <c r="J62" s="45"/>
      <c r="L62" s="17"/>
    </row>
    <row r="63" spans="1:14" s="44" customFormat="1" ht="15.75" customHeight="1">
      <c r="A63" s="24"/>
      <c r="B63" s="121" t="s">
        <v>43</v>
      </c>
      <c r="C63" s="99"/>
      <c r="D63" s="98"/>
      <c r="E63" s="100"/>
      <c r="F63" s="103"/>
      <c r="G63" s="103"/>
      <c r="H63" s="101" t="s">
        <v>129</v>
      </c>
      <c r="I63" s="12"/>
      <c r="J63" s="45"/>
      <c r="L63" s="17"/>
    </row>
    <row r="64" spans="1:14" s="44" customFormat="1" ht="17.25" customHeight="1">
      <c r="A64" s="24">
        <v>15</v>
      </c>
      <c r="B64" s="105" t="s">
        <v>44</v>
      </c>
      <c r="C64" s="106" t="s">
        <v>86</v>
      </c>
      <c r="D64" s="30" t="s">
        <v>221</v>
      </c>
      <c r="E64" s="15">
        <v>10</v>
      </c>
      <c r="F64" s="88">
        <f>E64</f>
        <v>10</v>
      </c>
      <c r="G64" s="29">
        <v>291.68</v>
      </c>
      <c r="H64" s="75">
        <f t="shared" ref="H64:H80" si="8">SUM(F64*G64/1000)</f>
        <v>2.9168000000000003</v>
      </c>
      <c r="I64" s="12">
        <f>G64*5</f>
        <v>1458.4</v>
      </c>
    </row>
    <row r="65" spans="1:22" s="44" customFormat="1" ht="16.5" hidden="1" customHeight="1">
      <c r="A65" s="61"/>
      <c r="B65" s="105" t="s">
        <v>45</v>
      </c>
      <c r="C65" s="106" t="s">
        <v>86</v>
      </c>
      <c r="D65" s="30" t="s">
        <v>154</v>
      </c>
      <c r="E65" s="15">
        <v>10</v>
      </c>
      <c r="F65" s="88">
        <f>E65</f>
        <v>10</v>
      </c>
      <c r="G65" s="29">
        <v>100.01</v>
      </c>
      <c r="H65" s="75">
        <f t="shared" si="8"/>
        <v>1.0001</v>
      </c>
      <c r="I65" s="12">
        <v>0</v>
      </c>
    </row>
    <row r="66" spans="1:22" s="44" customFormat="1" ht="18" hidden="1" customHeight="1">
      <c r="A66" s="24">
        <v>22</v>
      </c>
      <c r="B66" s="105" t="s">
        <v>46</v>
      </c>
      <c r="C66" s="107" t="s">
        <v>116</v>
      </c>
      <c r="D66" s="30" t="s">
        <v>51</v>
      </c>
      <c r="E66" s="87">
        <v>14347</v>
      </c>
      <c r="F66" s="97">
        <f>SUM(E66/100)</f>
        <v>143.47</v>
      </c>
      <c r="G66" s="29">
        <v>278.24</v>
      </c>
      <c r="H66" s="75">
        <f t="shared" si="8"/>
        <v>39.919092800000001</v>
      </c>
      <c r="I66" s="12">
        <v>0</v>
      </c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2"/>
    </row>
    <row r="67" spans="1:22" s="44" customFormat="1" ht="18.75" hidden="1" customHeight="1">
      <c r="A67" s="62"/>
      <c r="B67" s="105" t="s">
        <v>47</v>
      </c>
      <c r="C67" s="106" t="s">
        <v>117</v>
      </c>
      <c r="D67" s="30"/>
      <c r="E67" s="87">
        <v>14347</v>
      </c>
      <c r="F67" s="29">
        <f>SUM(E67/1000)</f>
        <v>14.347</v>
      </c>
      <c r="G67" s="29">
        <v>216.68</v>
      </c>
      <c r="H67" s="75">
        <f t="shared" si="8"/>
        <v>3.1087079600000003</v>
      </c>
      <c r="I67" s="12">
        <v>0</v>
      </c>
      <c r="J67" s="53"/>
      <c r="K67" s="53"/>
      <c r="L67" s="51"/>
      <c r="M67" s="51"/>
      <c r="N67" s="51"/>
      <c r="O67" s="51"/>
      <c r="P67" s="51"/>
      <c r="Q67" s="51"/>
      <c r="R67" s="51"/>
      <c r="S67" s="51"/>
      <c r="T67" s="51"/>
      <c r="U67" s="51"/>
    </row>
    <row r="68" spans="1:22" s="44" customFormat="1" ht="18.75" hidden="1" customHeight="1">
      <c r="A68" s="24">
        <v>23</v>
      </c>
      <c r="B68" s="105" t="s">
        <v>48</v>
      </c>
      <c r="C68" s="106" t="s">
        <v>72</v>
      </c>
      <c r="D68" s="30" t="s">
        <v>51</v>
      </c>
      <c r="E68" s="87">
        <v>2244</v>
      </c>
      <c r="F68" s="29">
        <f>SUM(E68/100)</f>
        <v>22.44</v>
      </c>
      <c r="G68" s="29">
        <v>2720.94</v>
      </c>
      <c r="H68" s="75">
        <f t="shared" si="8"/>
        <v>61.0578936</v>
      </c>
      <c r="I68" s="12">
        <v>0</v>
      </c>
      <c r="J68" s="51"/>
      <c r="K68" s="51"/>
      <c r="L68" s="51"/>
      <c r="M68" s="51"/>
      <c r="N68" s="51"/>
      <c r="O68" s="51"/>
      <c r="P68" s="51"/>
      <c r="Q68" s="51"/>
      <c r="S68" s="51"/>
      <c r="T68" s="51"/>
      <c r="U68" s="51"/>
    </row>
    <row r="69" spans="1:22" s="44" customFormat="1" ht="19.5" hidden="1" customHeight="1">
      <c r="A69" s="24"/>
      <c r="B69" s="108" t="s">
        <v>118</v>
      </c>
      <c r="C69" s="106" t="s">
        <v>32</v>
      </c>
      <c r="D69" s="30"/>
      <c r="E69" s="87">
        <v>12.8</v>
      </c>
      <c r="F69" s="29">
        <f>SUM(E69)</f>
        <v>12.8</v>
      </c>
      <c r="G69" s="29">
        <v>42.61</v>
      </c>
      <c r="H69" s="75">
        <f t="shared" si="8"/>
        <v>0.545408</v>
      </c>
      <c r="I69" s="12">
        <v>0</v>
      </c>
      <c r="J69" s="55"/>
      <c r="K69" s="55"/>
      <c r="L69" s="55"/>
      <c r="M69" s="55"/>
      <c r="N69" s="55"/>
      <c r="O69" s="55"/>
      <c r="P69" s="55"/>
      <c r="Q69" s="55"/>
      <c r="R69" s="188"/>
      <c r="S69" s="188"/>
      <c r="T69" s="188"/>
      <c r="U69" s="188"/>
    </row>
    <row r="70" spans="1:22" s="44" customFormat="1" ht="16.5" hidden="1" customHeight="1">
      <c r="A70" s="24">
        <v>19</v>
      </c>
      <c r="B70" s="108" t="s">
        <v>119</v>
      </c>
      <c r="C70" s="106" t="s">
        <v>32</v>
      </c>
      <c r="D70" s="30"/>
      <c r="E70" s="87">
        <v>12.8</v>
      </c>
      <c r="F70" s="29">
        <f>SUM(E70)</f>
        <v>12.8</v>
      </c>
      <c r="G70" s="29">
        <v>46.04</v>
      </c>
      <c r="H70" s="75">
        <f t="shared" si="8"/>
        <v>0.58931200000000006</v>
      </c>
      <c r="I70" s="12">
        <v>0</v>
      </c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</row>
    <row r="71" spans="1:22" s="44" customFormat="1" ht="15.75" hidden="1" customHeight="1">
      <c r="A71" s="24">
        <v>20</v>
      </c>
      <c r="B71" s="30" t="s">
        <v>54</v>
      </c>
      <c r="C71" s="106" t="s">
        <v>55</v>
      </c>
      <c r="D71" s="30" t="s">
        <v>51</v>
      </c>
      <c r="E71" s="15">
        <v>6</v>
      </c>
      <c r="F71" s="29">
        <f>SUM(E71)</f>
        <v>6</v>
      </c>
      <c r="G71" s="29">
        <v>65.42</v>
      </c>
      <c r="H71" s="75">
        <f t="shared" si="8"/>
        <v>0.39251999999999998</v>
      </c>
      <c r="I71" s="12">
        <v>0</v>
      </c>
    </row>
    <row r="72" spans="1:22" s="44" customFormat="1" ht="15.75" customHeight="1">
      <c r="A72" s="24"/>
      <c r="B72" s="122" t="s">
        <v>147</v>
      </c>
      <c r="C72" s="106"/>
      <c r="D72" s="30"/>
      <c r="E72" s="15"/>
      <c r="F72" s="104"/>
      <c r="G72" s="29"/>
      <c r="H72" s="75"/>
      <c r="I72" s="12"/>
    </row>
    <row r="73" spans="1:22" s="44" customFormat="1" ht="15.75" customHeight="1">
      <c r="A73" s="24">
        <v>16</v>
      </c>
      <c r="B73" s="30" t="s">
        <v>148</v>
      </c>
      <c r="C73" s="109" t="s">
        <v>149</v>
      </c>
      <c r="D73" s="30"/>
      <c r="E73" s="15">
        <v>3181</v>
      </c>
      <c r="F73" s="88">
        <f>SUM(E73)*12</f>
        <v>38172</v>
      </c>
      <c r="G73" s="29">
        <v>2.2799999999999998</v>
      </c>
      <c r="H73" s="75">
        <f t="shared" ref="H73" si="9">SUM(F73*G73/1000)</f>
        <v>87.03215999999999</v>
      </c>
      <c r="I73" s="12">
        <f>F73/12*G73</f>
        <v>7252.6799999999994</v>
      </c>
    </row>
    <row r="74" spans="1:22" s="44" customFormat="1" ht="15.75" hidden="1" customHeight="1">
      <c r="A74" s="24"/>
      <c r="B74" s="122" t="s">
        <v>67</v>
      </c>
      <c r="C74" s="106"/>
      <c r="D74" s="30"/>
      <c r="E74" s="15"/>
      <c r="F74" s="29"/>
      <c r="G74" s="29"/>
      <c r="H74" s="75" t="s">
        <v>129</v>
      </c>
      <c r="I74" s="12"/>
    </row>
    <row r="75" spans="1:22" s="44" customFormat="1" ht="15.75" hidden="1" customHeight="1">
      <c r="A75" s="24">
        <v>20</v>
      </c>
      <c r="B75" s="30" t="s">
        <v>150</v>
      </c>
      <c r="C75" s="106" t="s">
        <v>30</v>
      </c>
      <c r="D75" s="30" t="s">
        <v>63</v>
      </c>
      <c r="E75" s="15">
        <v>1</v>
      </c>
      <c r="F75" s="88">
        <f t="shared" ref="F75" si="10">E75</f>
        <v>1</v>
      </c>
      <c r="G75" s="29">
        <v>1029.1199999999999</v>
      </c>
      <c r="H75" s="75">
        <f>G75*F75/1000</f>
        <v>1.0291199999999998</v>
      </c>
      <c r="I75" s="12">
        <f>G75*2</f>
        <v>2058.2399999999998</v>
      </c>
    </row>
    <row r="76" spans="1:22" s="44" customFormat="1" ht="15.75" hidden="1" customHeight="1">
      <c r="A76" s="24">
        <v>21</v>
      </c>
      <c r="B76" s="30" t="s">
        <v>151</v>
      </c>
      <c r="C76" s="106" t="s">
        <v>152</v>
      </c>
      <c r="D76" s="30" t="s">
        <v>63</v>
      </c>
      <c r="E76" s="15">
        <v>1</v>
      </c>
      <c r="F76" s="29">
        <v>1</v>
      </c>
      <c r="G76" s="29">
        <v>735</v>
      </c>
      <c r="H76" s="75">
        <f t="shared" ref="H76:H78" si="11">SUM(F76*G76/1000)</f>
        <v>0.73499999999999999</v>
      </c>
      <c r="I76" s="12">
        <f>G76*2</f>
        <v>1470</v>
      </c>
    </row>
    <row r="77" spans="1:22" s="44" customFormat="1" ht="15.75" hidden="1" customHeight="1">
      <c r="A77" s="24"/>
      <c r="B77" s="30" t="s">
        <v>68</v>
      </c>
      <c r="C77" s="106" t="s">
        <v>70</v>
      </c>
      <c r="D77" s="30" t="s">
        <v>63</v>
      </c>
      <c r="E77" s="15">
        <v>8</v>
      </c>
      <c r="F77" s="29">
        <f>E77/10</f>
        <v>0.8</v>
      </c>
      <c r="G77" s="29">
        <v>657.87</v>
      </c>
      <c r="H77" s="75">
        <f t="shared" si="11"/>
        <v>0.5262960000000001</v>
      </c>
      <c r="I77" s="12">
        <v>0</v>
      </c>
    </row>
    <row r="78" spans="1:22" s="44" customFormat="1" ht="15.75" hidden="1" customHeight="1">
      <c r="A78" s="24">
        <v>22</v>
      </c>
      <c r="B78" s="30" t="s">
        <v>69</v>
      </c>
      <c r="C78" s="106" t="s">
        <v>30</v>
      </c>
      <c r="D78" s="30" t="s">
        <v>63</v>
      </c>
      <c r="E78" s="15">
        <v>1</v>
      </c>
      <c r="F78" s="104">
        <v>1</v>
      </c>
      <c r="G78" s="29">
        <v>1118.72</v>
      </c>
      <c r="H78" s="75">
        <f t="shared" si="11"/>
        <v>1.1187199999999999</v>
      </c>
      <c r="I78" s="12">
        <f>G78*10</f>
        <v>11187.2</v>
      </c>
    </row>
    <row r="79" spans="1:22" s="44" customFormat="1" ht="15.75" hidden="1" customHeight="1">
      <c r="A79" s="24"/>
      <c r="B79" s="123" t="s">
        <v>71</v>
      </c>
      <c r="C79" s="106"/>
      <c r="D79" s="30"/>
      <c r="E79" s="15"/>
      <c r="F79" s="29"/>
      <c r="G79" s="29" t="s">
        <v>129</v>
      </c>
      <c r="H79" s="75" t="s">
        <v>129</v>
      </c>
      <c r="I79" s="12" t="str">
        <f>G79</f>
        <v xml:space="preserve"> </v>
      </c>
    </row>
    <row r="80" spans="1:22" s="44" customFormat="1" ht="15.75" hidden="1" customHeight="1">
      <c r="A80" s="24"/>
      <c r="B80" s="110" t="s">
        <v>122</v>
      </c>
      <c r="C80" s="107" t="s">
        <v>72</v>
      </c>
      <c r="D80" s="105"/>
      <c r="E80" s="111"/>
      <c r="F80" s="97">
        <v>0.6</v>
      </c>
      <c r="G80" s="97">
        <v>3619.09</v>
      </c>
      <c r="H80" s="75">
        <f t="shared" si="8"/>
        <v>2.1714540000000002</v>
      </c>
      <c r="I80" s="12">
        <v>0</v>
      </c>
    </row>
    <row r="81" spans="1:9" s="44" customFormat="1" ht="15.75" hidden="1" customHeight="1">
      <c r="A81" s="24"/>
      <c r="B81" s="79" t="s">
        <v>120</v>
      </c>
      <c r="C81" s="12"/>
      <c r="D81" s="12"/>
      <c r="E81" s="12"/>
      <c r="F81" s="12"/>
      <c r="G81" s="12"/>
      <c r="H81" s="12"/>
      <c r="I81" s="12"/>
    </row>
    <row r="82" spans="1:9" s="44" customFormat="1" ht="15.75" hidden="1" customHeight="1">
      <c r="A82" s="24"/>
      <c r="B82" s="85" t="s">
        <v>121</v>
      </c>
      <c r="C82" s="112"/>
      <c r="D82" s="113"/>
      <c r="E82" s="114"/>
      <c r="F82" s="115">
        <v>1</v>
      </c>
      <c r="G82" s="115">
        <v>30235</v>
      </c>
      <c r="H82" s="75">
        <f>G82*F82/1000</f>
        <v>30.234999999999999</v>
      </c>
      <c r="I82" s="12">
        <f>G82</f>
        <v>30235</v>
      </c>
    </row>
    <row r="83" spans="1:9" s="44" customFormat="1" ht="15.75" customHeight="1">
      <c r="A83" s="201" t="s">
        <v>137</v>
      </c>
      <c r="B83" s="202"/>
      <c r="C83" s="202"/>
      <c r="D83" s="202"/>
      <c r="E83" s="202"/>
      <c r="F83" s="202"/>
      <c r="G83" s="202"/>
      <c r="H83" s="202"/>
      <c r="I83" s="203"/>
    </row>
    <row r="84" spans="1:9" s="44" customFormat="1" ht="15.75" customHeight="1">
      <c r="A84" s="61">
        <v>17</v>
      </c>
      <c r="B84" s="85" t="s">
        <v>123</v>
      </c>
      <c r="C84" s="106" t="s">
        <v>52</v>
      </c>
      <c r="D84" s="116"/>
      <c r="E84" s="29">
        <v>3931</v>
      </c>
      <c r="F84" s="29">
        <f>SUM(E84*12)</f>
        <v>47172</v>
      </c>
      <c r="G84" s="29">
        <v>3.1</v>
      </c>
      <c r="H84" s="75">
        <f>SUM(F84*G84/1000)</f>
        <v>146.23320000000001</v>
      </c>
      <c r="I84" s="12">
        <f>F84/12*G84</f>
        <v>12186.1</v>
      </c>
    </row>
    <row r="85" spans="1:9" s="44" customFormat="1" ht="31.5" customHeight="1">
      <c r="A85" s="24">
        <v>18</v>
      </c>
      <c r="B85" s="30" t="s">
        <v>73</v>
      </c>
      <c r="C85" s="106"/>
      <c r="D85" s="116"/>
      <c r="E85" s="87">
        <f>E84</f>
        <v>3931</v>
      </c>
      <c r="F85" s="29">
        <f>E85*12</f>
        <v>47172</v>
      </c>
      <c r="G85" s="29">
        <v>3.5</v>
      </c>
      <c r="H85" s="75">
        <f>F85*G85/1000</f>
        <v>165.102</v>
      </c>
      <c r="I85" s="12">
        <f>F85/12*G85</f>
        <v>13758.5</v>
      </c>
    </row>
    <row r="86" spans="1:9" s="44" customFormat="1" ht="15.75" customHeight="1">
      <c r="A86" s="24"/>
      <c r="B86" s="31" t="s">
        <v>76</v>
      </c>
      <c r="C86" s="57"/>
      <c r="D86" s="56"/>
      <c r="E86" s="46"/>
      <c r="F86" s="46"/>
      <c r="G86" s="46"/>
      <c r="H86" s="58">
        <f>H85</f>
        <v>165.102</v>
      </c>
      <c r="I86" s="46">
        <f>I85+I84+I73+I64+I62+I58+I55+I47+I41+I40+I39+I38+I37+I36+I25+I18+I17+I16</f>
        <v>66731.110685000007</v>
      </c>
    </row>
    <row r="87" spans="1:9" s="44" customFormat="1" ht="15.75" customHeight="1">
      <c r="A87" s="190" t="s">
        <v>57</v>
      </c>
      <c r="B87" s="191"/>
      <c r="C87" s="191"/>
      <c r="D87" s="191"/>
      <c r="E87" s="191"/>
      <c r="F87" s="191"/>
      <c r="G87" s="191"/>
      <c r="H87" s="191"/>
      <c r="I87" s="192"/>
    </row>
    <row r="88" spans="1:9" s="44" customFormat="1" ht="33.75" customHeight="1">
      <c r="A88" s="24">
        <v>19</v>
      </c>
      <c r="B88" s="77" t="s">
        <v>182</v>
      </c>
      <c r="C88" s="78" t="s">
        <v>29</v>
      </c>
      <c r="D88" s="13"/>
      <c r="E88" s="16"/>
      <c r="F88" s="12">
        <v>31</v>
      </c>
      <c r="G88" s="29">
        <v>19757.060000000001</v>
      </c>
      <c r="H88" s="54">
        <f>G88*F88/1000</f>
        <v>612.46885999999995</v>
      </c>
      <c r="I88" s="59">
        <f>G88*10*0.599/1000</f>
        <v>118.3447894</v>
      </c>
    </row>
    <row r="89" spans="1:9" s="44" customFormat="1" ht="17.25" customHeight="1">
      <c r="A89" s="24">
        <v>20</v>
      </c>
      <c r="B89" s="77" t="s">
        <v>184</v>
      </c>
      <c r="C89" s="78" t="s">
        <v>86</v>
      </c>
      <c r="D89" s="13"/>
      <c r="E89" s="16"/>
      <c r="F89" s="12">
        <v>8</v>
      </c>
      <c r="G89" s="29">
        <v>208.61</v>
      </c>
      <c r="H89" s="54">
        <f t="shared" ref="H89:H92" si="12">G89*F89/1000</f>
        <v>1.6688800000000001</v>
      </c>
      <c r="I89" s="12">
        <f>G89*1</f>
        <v>208.61</v>
      </c>
    </row>
    <row r="90" spans="1:9" s="44" customFormat="1" ht="15" customHeight="1">
      <c r="A90" s="24">
        <v>21</v>
      </c>
      <c r="B90" s="77" t="s">
        <v>160</v>
      </c>
      <c r="C90" s="78" t="s">
        <v>86</v>
      </c>
      <c r="D90" s="13"/>
      <c r="E90" s="16"/>
      <c r="F90" s="12">
        <v>2.5</v>
      </c>
      <c r="G90" s="29">
        <v>154.52000000000001</v>
      </c>
      <c r="H90" s="54">
        <f t="shared" si="12"/>
        <v>0.38630000000000003</v>
      </c>
      <c r="I90" s="12">
        <f>G90*1</f>
        <v>154.52000000000001</v>
      </c>
    </row>
    <row r="91" spans="1:9" s="44" customFormat="1" ht="15.75" customHeight="1">
      <c r="A91" s="24">
        <v>22</v>
      </c>
      <c r="B91" s="77" t="s">
        <v>78</v>
      </c>
      <c r="C91" s="78" t="s">
        <v>86</v>
      </c>
      <c r="D91" s="13"/>
      <c r="E91" s="16"/>
      <c r="F91" s="12">
        <v>1</v>
      </c>
      <c r="G91" s="29">
        <v>207.55</v>
      </c>
      <c r="H91" s="54">
        <f t="shared" si="12"/>
        <v>0.20755000000000001</v>
      </c>
      <c r="I91" s="59">
        <f>G91*2</f>
        <v>415.1</v>
      </c>
    </row>
    <row r="92" spans="1:9" s="44" customFormat="1" ht="30" customHeight="1">
      <c r="A92" s="24">
        <v>23</v>
      </c>
      <c r="B92" s="77" t="s">
        <v>75</v>
      </c>
      <c r="C92" s="78" t="s">
        <v>86</v>
      </c>
      <c r="D92" s="13"/>
      <c r="E92" s="16"/>
      <c r="F92" s="12">
        <v>1</v>
      </c>
      <c r="G92" s="29">
        <v>91.11</v>
      </c>
      <c r="H92" s="54">
        <f t="shared" si="12"/>
        <v>9.1109999999999997E-2</v>
      </c>
      <c r="I92" s="59">
        <f>G92*1</f>
        <v>91.11</v>
      </c>
    </row>
    <row r="93" spans="1:9" s="44" customFormat="1" ht="31.5" customHeight="1">
      <c r="A93" s="24">
        <v>24</v>
      </c>
      <c r="B93" s="77" t="s">
        <v>185</v>
      </c>
      <c r="C93" s="78" t="s">
        <v>36</v>
      </c>
      <c r="D93" s="13"/>
      <c r="E93" s="16"/>
      <c r="F93" s="12">
        <v>0.04</v>
      </c>
      <c r="G93" s="29">
        <v>3914.31</v>
      </c>
      <c r="H93" s="54">
        <f>G93*F93/1000</f>
        <v>0.1565724</v>
      </c>
      <c r="I93" s="59">
        <f>G93*0.01</f>
        <v>39.143099999999997</v>
      </c>
    </row>
    <row r="94" spans="1:9" s="44" customFormat="1" ht="31.5" customHeight="1">
      <c r="A94" s="24">
        <v>25</v>
      </c>
      <c r="B94" s="77" t="s">
        <v>82</v>
      </c>
      <c r="C94" s="78" t="s">
        <v>131</v>
      </c>
      <c r="D94" s="13"/>
      <c r="E94" s="16"/>
      <c r="F94" s="12">
        <v>3</v>
      </c>
      <c r="G94" s="29">
        <v>644.72</v>
      </c>
      <c r="H94" s="54">
        <f>G94*F94/1000</f>
        <v>1.9341600000000001</v>
      </c>
      <c r="I94" s="12">
        <f>G94*2</f>
        <v>1289.44</v>
      </c>
    </row>
    <row r="95" spans="1:9" s="44" customFormat="1" ht="15.75" customHeight="1">
      <c r="A95" s="24">
        <v>26</v>
      </c>
      <c r="B95" s="77" t="s">
        <v>169</v>
      </c>
      <c r="C95" s="78" t="s">
        <v>86</v>
      </c>
      <c r="D95" s="13"/>
      <c r="E95" s="16"/>
      <c r="F95" s="12">
        <v>1</v>
      </c>
      <c r="G95" s="29">
        <v>9</v>
      </c>
      <c r="H95" s="54">
        <f>G95*F95/1000</f>
        <v>8.9999999999999993E-3</v>
      </c>
      <c r="I95" s="59">
        <f>G95*1</f>
        <v>9</v>
      </c>
    </row>
    <row r="96" spans="1:9" s="44" customFormat="1" ht="15.75" customHeight="1">
      <c r="A96" s="24">
        <v>27</v>
      </c>
      <c r="B96" s="77" t="s">
        <v>170</v>
      </c>
      <c r="C96" s="78" t="s">
        <v>86</v>
      </c>
      <c r="D96" s="37"/>
      <c r="E96" s="12"/>
      <c r="F96" s="12">
        <v>2</v>
      </c>
      <c r="G96" s="29">
        <v>95.25</v>
      </c>
      <c r="H96" s="54">
        <f>G96*F96/1000</f>
        <v>0.1905</v>
      </c>
      <c r="I96" s="12">
        <f>G96*1</f>
        <v>95.25</v>
      </c>
    </row>
    <row r="97" spans="1:9" s="44" customFormat="1" ht="15.75" customHeight="1">
      <c r="A97" s="24">
        <v>28</v>
      </c>
      <c r="B97" s="77" t="s">
        <v>159</v>
      </c>
      <c r="C97" s="78" t="s">
        <v>186</v>
      </c>
      <c r="D97" s="13"/>
      <c r="E97" s="16"/>
      <c r="F97" s="12">
        <v>0.5</v>
      </c>
      <c r="G97" s="29">
        <v>273</v>
      </c>
      <c r="H97" s="54">
        <f t="shared" ref="H97:H99" si="13">G97*F97/1000</f>
        <v>0.13650000000000001</v>
      </c>
      <c r="I97" s="59">
        <f>G97*32</f>
        <v>8736</v>
      </c>
    </row>
    <row r="98" spans="1:9" s="44" customFormat="1" ht="15.75" customHeight="1">
      <c r="A98" s="24">
        <v>29</v>
      </c>
      <c r="B98" s="77" t="s">
        <v>173</v>
      </c>
      <c r="C98" s="78" t="s">
        <v>174</v>
      </c>
      <c r="D98" s="13"/>
      <c r="E98" s="16"/>
      <c r="F98" s="12">
        <f>7.66/10</f>
        <v>0.76600000000000001</v>
      </c>
      <c r="G98" s="29">
        <v>218</v>
      </c>
      <c r="H98" s="54">
        <f t="shared" si="13"/>
        <v>0.166988</v>
      </c>
      <c r="I98" s="59">
        <f>G98*2</f>
        <v>436</v>
      </c>
    </row>
    <row r="99" spans="1:9" s="44" customFormat="1" ht="15.75" customHeight="1">
      <c r="A99" s="24">
        <v>30</v>
      </c>
      <c r="B99" s="77" t="s">
        <v>162</v>
      </c>
      <c r="C99" s="78" t="s">
        <v>163</v>
      </c>
      <c r="D99" s="13"/>
      <c r="E99" s="16"/>
      <c r="F99" s="12">
        <v>1</v>
      </c>
      <c r="G99" s="29">
        <v>26095.37</v>
      </c>
      <c r="H99" s="54">
        <f t="shared" si="13"/>
        <v>26.095369999999999</v>
      </c>
      <c r="I99" s="59">
        <f>G99*0.01</f>
        <v>260.95369999999997</v>
      </c>
    </row>
    <row r="100" spans="1:9" s="44" customFormat="1" ht="30.75" customHeight="1">
      <c r="A100" s="24">
        <v>31</v>
      </c>
      <c r="B100" s="77" t="s">
        <v>187</v>
      </c>
      <c r="C100" s="78" t="s">
        <v>77</v>
      </c>
      <c r="D100" s="13"/>
      <c r="E100" s="16"/>
      <c r="F100" s="12"/>
      <c r="G100" s="29">
        <v>2688.6</v>
      </c>
      <c r="H100" s="54"/>
      <c r="I100" s="59">
        <f>G100*1</f>
        <v>2688.6</v>
      </c>
    </row>
    <row r="101" spans="1:9" s="44" customFormat="1" ht="15.75" customHeight="1">
      <c r="A101" s="24">
        <v>32</v>
      </c>
      <c r="B101" s="77" t="s">
        <v>188</v>
      </c>
      <c r="C101" s="78" t="s">
        <v>80</v>
      </c>
      <c r="D101" s="13"/>
      <c r="E101" s="16"/>
      <c r="F101" s="12"/>
      <c r="G101" s="29">
        <v>214.07</v>
      </c>
      <c r="H101" s="54"/>
      <c r="I101" s="59">
        <f>G101*1</f>
        <v>214.07</v>
      </c>
    </row>
    <row r="102" spans="1:9" ht="15.75" customHeight="1">
      <c r="A102" s="24"/>
      <c r="B102" s="60" t="s">
        <v>49</v>
      </c>
      <c r="C102" s="32"/>
      <c r="D102" s="38"/>
      <c r="E102" s="32">
        <v>1</v>
      </c>
      <c r="F102" s="32"/>
      <c r="G102" s="32"/>
      <c r="H102" s="32"/>
      <c r="I102" s="27">
        <f>SUM(I88:I101)</f>
        <v>14756.1415894</v>
      </c>
    </row>
    <row r="103" spans="1:9" ht="15.75" customHeight="1">
      <c r="A103" s="24"/>
      <c r="B103" s="37" t="s">
        <v>74</v>
      </c>
      <c r="C103" s="14"/>
      <c r="D103" s="14"/>
      <c r="E103" s="33"/>
      <c r="F103" s="33"/>
      <c r="G103" s="34"/>
      <c r="H103" s="34"/>
      <c r="I103" s="15">
        <v>0</v>
      </c>
    </row>
    <row r="104" spans="1:9">
      <c r="A104" s="39"/>
      <c r="B104" s="36" t="s">
        <v>143</v>
      </c>
      <c r="C104" s="28"/>
      <c r="D104" s="28"/>
      <c r="E104" s="28"/>
      <c r="F104" s="28"/>
      <c r="G104" s="28"/>
      <c r="H104" s="28"/>
      <c r="I104" s="35">
        <f>I86+I102</f>
        <v>81487.252274400002</v>
      </c>
    </row>
    <row r="105" spans="1:9" ht="15.75">
      <c r="A105" s="193" t="s">
        <v>226</v>
      </c>
      <c r="B105" s="193"/>
      <c r="C105" s="193"/>
      <c r="D105" s="193"/>
      <c r="E105" s="193"/>
      <c r="F105" s="193"/>
      <c r="G105" s="193"/>
      <c r="H105" s="193"/>
      <c r="I105" s="193"/>
    </row>
    <row r="106" spans="1:9" ht="15.75">
      <c r="A106" s="68"/>
      <c r="B106" s="194" t="s">
        <v>227</v>
      </c>
      <c r="C106" s="194"/>
      <c r="D106" s="194"/>
      <c r="E106" s="194"/>
      <c r="F106" s="194"/>
      <c r="G106" s="194"/>
      <c r="H106" s="43"/>
      <c r="I106" s="3"/>
    </row>
    <row r="107" spans="1:9" ht="15.75" customHeight="1">
      <c r="A107" s="84"/>
      <c r="B107" s="195" t="s">
        <v>6</v>
      </c>
      <c r="C107" s="195"/>
      <c r="D107" s="195"/>
      <c r="E107" s="195"/>
      <c r="F107" s="195"/>
      <c r="G107" s="195"/>
      <c r="H107" s="19"/>
      <c r="I107" s="5"/>
    </row>
    <row r="108" spans="1:9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5.75">
      <c r="A109" s="196" t="s">
        <v>7</v>
      </c>
      <c r="B109" s="196"/>
      <c r="C109" s="196"/>
      <c r="D109" s="196"/>
      <c r="E109" s="196"/>
      <c r="F109" s="196"/>
      <c r="G109" s="196"/>
      <c r="H109" s="196"/>
      <c r="I109" s="196"/>
    </row>
    <row r="110" spans="1:9" ht="15.75">
      <c r="A110" s="196" t="s">
        <v>8</v>
      </c>
      <c r="B110" s="196"/>
      <c r="C110" s="196"/>
      <c r="D110" s="196"/>
      <c r="E110" s="196"/>
      <c r="F110" s="196"/>
      <c r="G110" s="196"/>
      <c r="H110" s="196"/>
      <c r="I110" s="196"/>
    </row>
    <row r="111" spans="1:9" ht="15.75" customHeight="1">
      <c r="A111" s="197" t="s">
        <v>58</v>
      </c>
      <c r="B111" s="197"/>
      <c r="C111" s="197"/>
      <c r="D111" s="197"/>
      <c r="E111" s="197"/>
      <c r="F111" s="197"/>
      <c r="G111" s="197"/>
      <c r="H111" s="197"/>
      <c r="I111" s="197"/>
    </row>
    <row r="112" spans="1:9" ht="15.75">
      <c r="A112" s="10"/>
    </row>
    <row r="113" spans="1:9" ht="15.75">
      <c r="A113" s="198" t="s">
        <v>9</v>
      </c>
      <c r="B113" s="198"/>
      <c r="C113" s="198"/>
      <c r="D113" s="198"/>
      <c r="E113" s="198"/>
      <c r="F113" s="198"/>
      <c r="G113" s="198"/>
      <c r="H113" s="198"/>
      <c r="I113" s="198"/>
    </row>
    <row r="114" spans="1:9" ht="15.75">
      <c r="A114" s="4"/>
    </row>
    <row r="115" spans="1:9" ht="15.75">
      <c r="B115" s="81" t="s">
        <v>10</v>
      </c>
      <c r="C115" s="199" t="s">
        <v>83</v>
      </c>
      <c r="D115" s="199"/>
      <c r="E115" s="199"/>
      <c r="F115" s="41"/>
      <c r="I115" s="83"/>
    </row>
    <row r="116" spans="1:9">
      <c r="A116" s="84"/>
      <c r="C116" s="195" t="s">
        <v>11</v>
      </c>
      <c r="D116" s="195"/>
      <c r="E116" s="195"/>
      <c r="F116" s="19"/>
      <c r="I116" s="82" t="s">
        <v>12</v>
      </c>
    </row>
    <row r="117" spans="1:9" ht="15.75">
      <c r="A117" s="20"/>
      <c r="C117" s="11"/>
      <c r="D117" s="11"/>
      <c r="G117" s="11"/>
      <c r="H117" s="11"/>
    </row>
    <row r="118" spans="1:9" ht="15.75">
      <c r="B118" s="81" t="s">
        <v>13</v>
      </c>
      <c r="C118" s="200"/>
      <c r="D118" s="200"/>
      <c r="E118" s="200"/>
      <c r="F118" s="42"/>
      <c r="I118" s="83"/>
    </row>
    <row r="119" spans="1:9">
      <c r="A119" s="84"/>
      <c r="C119" s="189" t="s">
        <v>11</v>
      </c>
      <c r="D119" s="189"/>
      <c r="E119" s="189"/>
      <c r="F119" s="84"/>
      <c r="I119" s="82" t="s">
        <v>12</v>
      </c>
    </row>
    <row r="120" spans="1:9" ht="15.75">
      <c r="A120" s="4" t="s">
        <v>14</v>
      </c>
    </row>
    <row r="121" spans="1:9" ht="15" customHeight="1">
      <c r="A121" s="186" t="s">
        <v>15</v>
      </c>
      <c r="B121" s="186"/>
      <c r="C121" s="186"/>
      <c r="D121" s="186"/>
      <c r="E121" s="186"/>
      <c r="F121" s="186"/>
      <c r="G121" s="186"/>
      <c r="H121" s="186"/>
      <c r="I121" s="186"/>
    </row>
    <row r="122" spans="1:9" ht="45" customHeight="1">
      <c r="A122" s="187" t="s">
        <v>16</v>
      </c>
      <c r="B122" s="187"/>
      <c r="C122" s="187"/>
      <c r="D122" s="187"/>
      <c r="E122" s="187"/>
      <c r="F122" s="187"/>
      <c r="G122" s="187"/>
      <c r="H122" s="187"/>
      <c r="I122" s="187"/>
    </row>
    <row r="123" spans="1:9" ht="30" customHeight="1">
      <c r="A123" s="187" t="s">
        <v>17</v>
      </c>
      <c r="B123" s="187"/>
      <c r="C123" s="187"/>
      <c r="D123" s="187"/>
      <c r="E123" s="187"/>
      <c r="F123" s="187"/>
      <c r="G123" s="187"/>
      <c r="H123" s="187"/>
      <c r="I123" s="187"/>
    </row>
    <row r="124" spans="1:9" ht="30" customHeight="1">
      <c r="A124" s="187" t="s">
        <v>21</v>
      </c>
      <c r="B124" s="187"/>
      <c r="C124" s="187"/>
      <c r="D124" s="187"/>
      <c r="E124" s="187"/>
      <c r="F124" s="187"/>
      <c r="G124" s="187"/>
      <c r="H124" s="187"/>
      <c r="I124" s="187"/>
    </row>
    <row r="125" spans="1:9" ht="15" customHeight="1">
      <c r="A125" s="187" t="s">
        <v>20</v>
      </c>
      <c r="B125" s="187"/>
      <c r="C125" s="187"/>
      <c r="D125" s="187"/>
      <c r="E125" s="187"/>
      <c r="F125" s="187"/>
      <c r="G125" s="187"/>
      <c r="H125" s="187"/>
      <c r="I125" s="187"/>
    </row>
  </sheetData>
  <autoFilter ref="I12:I64"/>
  <mergeCells count="29">
    <mergeCell ref="A14:I14"/>
    <mergeCell ref="A15:I15"/>
    <mergeCell ref="A26:I26"/>
    <mergeCell ref="A42:I42"/>
    <mergeCell ref="A53:I53"/>
    <mergeCell ref="A3:I3"/>
    <mergeCell ref="A4:I4"/>
    <mergeCell ref="A5:I5"/>
    <mergeCell ref="A8:I8"/>
    <mergeCell ref="A10:I10"/>
    <mergeCell ref="R69:U69"/>
    <mergeCell ref="C119:E119"/>
    <mergeCell ref="A87:I87"/>
    <mergeCell ref="A105:I105"/>
    <mergeCell ref="B106:G106"/>
    <mergeCell ref="B107:G107"/>
    <mergeCell ref="A109:I109"/>
    <mergeCell ref="A110:I110"/>
    <mergeCell ref="A111:I111"/>
    <mergeCell ref="A113:I113"/>
    <mergeCell ref="C115:E115"/>
    <mergeCell ref="C116:E116"/>
    <mergeCell ref="C118:E118"/>
    <mergeCell ref="A83:I83"/>
    <mergeCell ref="A121:I121"/>
    <mergeCell ref="A122:I122"/>
    <mergeCell ref="A123:I123"/>
    <mergeCell ref="A124:I124"/>
    <mergeCell ref="A125:I12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5"/>
  <sheetViews>
    <sheetView topLeftCell="A59" workbookViewId="0">
      <selection activeCell="B16" sqref="B16:I2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2" t="s">
        <v>171</v>
      </c>
      <c r="I1" s="21"/>
      <c r="J1" s="1"/>
      <c r="K1" s="1"/>
      <c r="L1" s="1"/>
      <c r="M1" s="1"/>
    </row>
    <row r="2" spans="1:13" ht="15.75" customHeight="1">
      <c r="A2" s="23" t="s">
        <v>59</v>
      </c>
      <c r="J2" s="2"/>
      <c r="K2" s="2"/>
      <c r="L2" s="2"/>
      <c r="M2" s="2"/>
    </row>
    <row r="3" spans="1:13" ht="15.75" customHeight="1">
      <c r="A3" s="204" t="s">
        <v>141</v>
      </c>
      <c r="B3" s="204"/>
      <c r="C3" s="204"/>
      <c r="D3" s="204"/>
      <c r="E3" s="204"/>
      <c r="F3" s="204"/>
      <c r="G3" s="204"/>
      <c r="H3" s="204"/>
      <c r="I3" s="204"/>
      <c r="J3" s="3"/>
      <c r="K3" s="3"/>
      <c r="L3" s="3"/>
    </row>
    <row r="4" spans="1:13" ht="31.5" customHeight="1">
      <c r="A4" s="205" t="s">
        <v>124</v>
      </c>
      <c r="B4" s="205"/>
      <c r="C4" s="205"/>
      <c r="D4" s="205"/>
      <c r="E4" s="205"/>
      <c r="F4" s="205"/>
      <c r="G4" s="205"/>
      <c r="H4" s="205"/>
      <c r="I4" s="205"/>
    </row>
    <row r="5" spans="1:13" ht="15.75">
      <c r="A5" s="204" t="s">
        <v>264</v>
      </c>
      <c r="B5" s="206"/>
      <c r="C5" s="206"/>
      <c r="D5" s="206"/>
      <c r="E5" s="206"/>
      <c r="F5" s="206"/>
      <c r="G5" s="206"/>
      <c r="H5" s="206"/>
      <c r="I5" s="206"/>
      <c r="J5" s="2"/>
      <c r="K5" s="2"/>
      <c r="L5" s="2"/>
      <c r="M5" s="2"/>
    </row>
    <row r="6" spans="1:13" ht="15.75">
      <c r="A6" s="2"/>
      <c r="B6" s="63"/>
      <c r="C6" s="63"/>
      <c r="D6" s="63"/>
      <c r="E6" s="63"/>
      <c r="F6" s="63"/>
      <c r="G6" s="63"/>
      <c r="H6" s="63"/>
      <c r="I6" s="25">
        <v>43769</v>
      </c>
      <c r="J6" s="2"/>
      <c r="K6" s="2"/>
      <c r="L6" s="2"/>
      <c r="M6" s="2"/>
    </row>
    <row r="7" spans="1:13" ht="15.75">
      <c r="B7" s="64"/>
      <c r="C7" s="64"/>
      <c r="D7" s="6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7" t="s">
        <v>175</v>
      </c>
      <c r="B8" s="207"/>
      <c r="C8" s="207"/>
      <c r="D8" s="207"/>
      <c r="E8" s="207"/>
      <c r="F8" s="207"/>
      <c r="G8" s="207"/>
      <c r="H8" s="207"/>
      <c r="I8" s="207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08" t="s">
        <v>158</v>
      </c>
      <c r="B10" s="208"/>
      <c r="C10" s="208"/>
      <c r="D10" s="208"/>
      <c r="E10" s="208"/>
      <c r="F10" s="208"/>
      <c r="G10" s="208"/>
      <c r="H10" s="208"/>
      <c r="I10" s="208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9" t="s">
        <v>56</v>
      </c>
      <c r="B14" s="209"/>
      <c r="C14" s="209"/>
      <c r="D14" s="209"/>
      <c r="E14" s="209"/>
      <c r="F14" s="209"/>
      <c r="G14" s="209"/>
      <c r="H14" s="209"/>
      <c r="I14" s="209"/>
      <c r="J14" s="8"/>
      <c r="K14" s="8"/>
      <c r="L14" s="8"/>
      <c r="M14" s="8"/>
    </row>
    <row r="15" spans="1:13" ht="15.75" customHeight="1">
      <c r="A15" s="210" t="s">
        <v>4</v>
      </c>
      <c r="B15" s="210"/>
      <c r="C15" s="210"/>
      <c r="D15" s="210"/>
      <c r="E15" s="210"/>
      <c r="F15" s="210"/>
      <c r="G15" s="210"/>
      <c r="H15" s="210"/>
      <c r="I15" s="210"/>
      <c r="J15" s="8"/>
      <c r="K15" s="8"/>
      <c r="L15" s="8"/>
      <c r="M15" s="8"/>
    </row>
    <row r="16" spans="1:13" s="44" customFormat="1" ht="15.75" customHeight="1">
      <c r="A16" s="24">
        <v>1</v>
      </c>
      <c r="B16" s="85" t="s">
        <v>81</v>
      </c>
      <c r="C16" s="86" t="s">
        <v>90</v>
      </c>
      <c r="D16" s="85" t="s">
        <v>217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18" si="0">SUM(F16*G16/1000)</f>
        <v>34.100352000000008</v>
      </c>
      <c r="I16" s="12">
        <f>F16/12*G16</f>
        <v>2841.6960000000004</v>
      </c>
    </row>
    <row r="17" spans="1:10" s="44" customFormat="1" ht="15.75" customHeight="1">
      <c r="A17" s="24">
        <v>2</v>
      </c>
      <c r="B17" s="85" t="s">
        <v>88</v>
      </c>
      <c r="C17" s="86" t="s">
        <v>90</v>
      </c>
      <c r="D17" s="85" t="s">
        <v>218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  <c r="J17" s="45"/>
    </row>
    <row r="18" spans="1:10" s="44" customFormat="1" ht="15.75" customHeight="1">
      <c r="A18" s="24">
        <v>3</v>
      </c>
      <c r="B18" s="85" t="s">
        <v>89</v>
      </c>
      <c r="C18" s="86" t="s">
        <v>90</v>
      </c>
      <c r="D18" s="85" t="s">
        <v>219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  <c r="J18" s="45"/>
    </row>
    <row r="19" spans="1:10" s="44" customFormat="1" ht="15.75" hidden="1" customHeight="1">
      <c r="A19" s="24">
        <v>4</v>
      </c>
      <c r="B19" s="85" t="s">
        <v>91</v>
      </c>
      <c r="C19" s="86" t="s">
        <v>92</v>
      </c>
      <c r="D19" s="85" t="s">
        <v>93</v>
      </c>
      <c r="E19" s="87">
        <v>57.6</v>
      </c>
      <c r="F19" s="158">
        <f>SUM(E19/10)</f>
        <v>5.76</v>
      </c>
      <c r="G19" s="88">
        <v>223.17</v>
      </c>
      <c r="H19" s="89">
        <f t="shared" ref="H19:H24" si="2">SUM(F19*G19/1000)</f>
        <v>1.2854591999999998</v>
      </c>
      <c r="I19" s="12">
        <f>F19*G19</f>
        <v>1285.4591999999998</v>
      </c>
      <c r="J19" s="45"/>
    </row>
    <row r="20" spans="1:10" s="44" customFormat="1" ht="15.75" hidden="1" customHeight="1">
      <c r="A20" s="24">
        <v>5</v>
      </c>
      <c r="B20" s="85" t="s">
        <v>94</v>
      </c>
      <c r="C20" s="86" t="s">
        <v>90</v>
      </c>
      <c r="D20" s="85" t="s">
        <v>40</v>
      </c>
      <c r="E20" s="87">
        <v>43.2</v>
      </c>
      <c r="F20" s="158">
        <f>SUM(E20*2/100)</f>
        <v>0.8640000000000001</v>
      </c>
      <c r="G20" s="88">
        <v>285.76</v>
      </c>
      <c r="H20" s="89">
        <f t="shared" si="2"/>
        <v>0.24689664000000003</v>
      </c>
      <c r="I20" s="12">
        <f>F20/2*G20</f>
        <v>123.44832000000001</v>
      </c>
      <c r="J20" s="45"/>
    </row>
    <row r="21" spans="1:10" s="44" customFormat="1" ht="15.75" hidden="1" customHeight="1">
      <c r="A21" s="24">
        <v>6</v>
      </c>
      <c r="B21" s="85" t="s">
        <v>95</v>
      </c>
      <c r="C21" s="86" t="s">
        <v>90</v>
      </c>
      <c r="D21" s="85" t="s">
        <v>40</v>
      </c>
      <c r="E21" s="87">
        <v>10.08</v>
      </c>
      <c r="F21" s="158">
        <f>SUM(E21*2/100)</f>
        <v>0.2016</v>
      </c>
      <c r="G21" s="88">
        <v>283.44</v>
      </c>
      <c r="H21" s="89">
        <f t="shared" si="2"/>
        <v>5.7141503999999996E-2</v>
      </c>
      <c r="I21" s="12">
        <f>F21/2*G21</f>
        <v>28.570751999999999</v>
      </c>
      <c r="J21" s="45"/>
    </row>
    <row r="22" spans="1:10" s="44" customFormat="1" ht="15.75" hidden="1" customHeight="1">
      <c r="A22" s="24">
        <v>7</v>
      </c>
      <c r="B22" s="85" t="s">
        <v>96</v>
      </c>
      <c r="C22" s="86" t="s">
        <v>50</v>
      </c>
      <c r="D22" s="85" t="s">
        <v>93</v>
      </c>
      <c r="E22" s="87">
        <v>642.6</v>
      </c>
      <c r="F22" s="158">
        <f>SUM(E22/100)</f>
        <v>6.4260000000000002</v>
      </c>
      <c r="G22" s="88">
        <v>353.14</v>
      </c>
      <c r="H22" s="89">
        <f t="shared" si="2"/>
        <v>2.2692776399999999</v>
      </c>
      <c r="I22" s="12">
        <f>F22*G22</f>
        <v>2269.2776399999998</v>
      </c>
      <c r="J22" s="45"/>
    </row>
    <row r="23" spans="1:10" s="44" customFormat="1" ht="15.75" hidden="1" customHeight="1">
      <c r="A23" s="24">
        <v>8</v>
      </c>
      <c r="B23" s="85" t="s">
        <v>97</v>
      </c>
      <c r="C23" s="86" t="s">
        <v>50</v>
      </c>
      <c r="D23" s="85" t="s">
        <v>93</v>
      </c>
      <c r="E23" s="90">
        <v>35.28</v>
      </c>
      <c r="F23" s="158">
        <f>SUM(E23/100)</f>
        <v>0.3528</v>
      </c>
      <c r="G23" s="88">
        <v>58.08</v>
      </c>
      <c r="H23" s="89">
        <f t="shared" si="2"/>
        <v>2.0490623999999999E-2</v>
      </c>
      <c r="I23" s="12">
        <f>F23*G23</f>
        <v>20.490624</v>
      </c>
      <c r="J23" s="45"/>
    </row>
    <row r="24" spans="1:10" s="44" customFormat="1" ht="15.75" hidden="1" customHeight="1">
      <c r="A24" s="24">
        <v>9</v>
      </c>
      <c r="B24" s="85" t="s">
        <v>98</v>
      </c>
      <c r="C24" s="86" t="s">
        <v>50</v>
      </c>
      <c r="D24" s="85" t="s">
        <v>93</v>
      </c>
      <c r="E24" s="87">
        <v>28.8</v>
      </c>
      <c r="F24" s="158">
        <f>SUM(E24/100)</f>
        <v>0.28800000000000003</v>
      </c>
      <c r="G24" s="88">
        <v>683.05</v>
      </c>
      <c r="H24" s="89">
        <f t="shared" si="2"/>
        <v>0.19671840000000002</v>
      </c>
      <c r="I24" s="12">
        <f>F24*G24</f>
        <v>196.7184</v>
      </c>
      <c r="J24" s="45"/>
    </row>
    <row r="25" spans="1:10" s="44" customFormat="1" ht="15.75" customHeight="1">
      <c r="A25" s="24">
        <v>4</v>
      </c>
      <c r="B25" s="85" t="s">
        <v>216</v>
      </c>
      <c r="C25" s="86" t="s">
        <v>25</v>
      </c>
      <c r="D25" s="85" t="s">
        <v>220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  <c r="J25" s="45"/>
    </row>
    <row r="26" spans="1:10" s="44" customFormat="1" ht="15.75" customHeight="1">
      <c r="A26" s="211" t="s">
        <v>153</v>
      </c>
      <c r="B26" s="212"/>
      <c r="C26" s="212"/>
      <c r="D26" s="212"/>
      <c r="E26" s="212"/>
      <c r="F26" s="212"/>
      <c r="G26" s="212"/>
      <c r="H26" s="212"/>
      <c r="I26" s="213"/>
      <c r="J26" s="45"/>
    </row>
    <row r="27" spans="1:10" s="44" customFormat="1" ht="15.75" customHeight="1">
      <c r="A27" s="24"/>
      <c r="B27" s="119" t="s">
        <v>28</v>
      </c>
      <c r="C27" s="86"/>
      <c r="D27" s="85"/>
      <c r="E27" s="87"/>
      <c r="F27" s="88"/>
      <c r="G27" s="88"/>
      <c r="H27" s="89"/>
      <c r="I27" s="12"/>
      <c r="J27" s="45"/>
    </row>
    <row r="28" spans="1:10" s="44" customFormat="1" ht="15.75" customHeight="1">
      <c r="A28" s="24">
        <v>5</v>
      </c>
      <c r="B28" s="85" t="s">
        <v>99</v>
      </c>
      <c r="C28" s="86" t="s">
        <v>100</v>
      </c>
      <c r="D28" s="85" t="s">
        <v>218</v>
      </c>
      <c r="E28" s="88">
        <v>271.95</v>
      </c>
      <c r="F28" s="88">
        <f>SUM(E28*52/1000)</f>
        <v>14.141399999999999</v>
      </c>
      <c r="G28" s="88">
        <v>204.44</v>
      </c>
      <c r="H28" s="89">
        <f t="shared" ref="H28:H30" si="3">SUM(F28*G28/1000)</f>
        <v>2.8910678159999996</v>
      </c>
      <c r="I28" s="12">
        <f>F28/6*G28</f>
        <v>481.84463599999998</v>
      </c>
      <c r="J28" s="45"/>
    </row>
    <row r="29" spans="1:10" s="44" customFormat="1" ht="15.75" customHeight="1">
      <c r="A29" s="24">
        <v>6</v>
      </c>
      <c r="B29" s="85" t="s">
        <v>134</v>
      </c>
      <c r="C29" s="86" t="s">
        <v>100</v>
      </c>
      <c r="D29" s="85" t="s">
        <v>218</v>
      </c>
      <c r="E29" s="88">
        <v>83.7</v>
      </c>
      <c r="F29" s="88">
        <f>SUM(E29*52/1000)</f>
        <v>4.3524000000000003</v>
      </c>
      <c r="G29" s="88">
        <v>339.21</v>
      </c>
      <c r="H29" s="89">
        <f t="shared" si="3"/>
        <v>1.4763776040000001</v>
      </c>
      <c r="I29" s="12">
        <f t="shared" ref="I29:I31" si="4">F29/6*G29</f>
        <v>246.06293400000001</v>
      </c>
      <c r="J29" s="45"/>
    </row>
    <row r="30" spans="1:10" s="44" customFormat="1" ht="15.75" hidden="1" customHeight="1">
      <c r="A30" s="24">
        <v>5</v>
      </c>
      <c r="B30" s="85" t="s">
        <v>27</v>
      </c>
      <c r="C30" s="86" t="s">
        <v>100</v>
      </c>
      <c r="D30" s="85" t="s">
        <v>51</v>
      </c>
      <c r="E30" s="88">
        <v>271.95</v>
      </c>
      <c r="F30" s="88">
        <f>SUM(E30/1000)</f>
        <v>0.27194999999999997</v>
      </c>
      <c r="G30" s="88">
        <v>3961.23</v>
      </c>
      <c r="H30" s="89">
        <f t="shared" si="3"/>
        <v>1.0772564984999999</v>
      </c>
      <c r="I30" s="12">
        <f>F30*G30</f>
        <v>1077.2564984999999</v>
      </c>
      <c r="J30" s="45"/>
    </row>
    <row r="31" spans="1:10" s="44" customFormat="1" ht="15.75" customHeight="1">
      <c r="A31" s="24">
        <v>7</v>
      </c>
      <c r="B31" s="85" t="s">
        <v>102</v>
      </c>
      <c r="C31" s="86" t="s">
        <v>38</v>
      </c>
      <c r="D31" s="85" t="s">
        <v>218</v>
      </c>
      <c r="E31" s="88">
        <v>6</v>
      </c>
      <c r="F31" s="88">
        <f>SUM(E31*48/100)</f>
        <v>2.88</v>
      </c>
      <c r="G31" s="88">
        <v>1707.63</v>
      </c>
      <c r="H31" s="89">
        <f>G31*F31/1000</f>
        <v>4.9179744000000003</v>
      </c>
      <c r="I31" s="12">
        <f t="shared" si="4"/>
        <v>819.66240000000005</v>
      </c>
      <c r="J31" s="45"/>
    </row>
    <row r="32" spans="1:10" s="44" customFormat="1" ht="15.75" hidden="1" customHeight="1">
      <c r="A32" s="24">
        <v>6</v>
      </c>
      <c r="B32" s="85" t="s">
        <v>61</v>
      </c>
      <c r="C32" s="86" t="s">
        <v>32</v>
      </c>
      <c r="D32" s="85" t="s">
        <v>63</v>
      </c>
      <c r="E32" s="87"/>
      <c r="F32" s="88">
        <v>2</v>
      </c>
      <c r="G32" s="88">
        <v>250.92</v>
      </c>
      <c r="H32" s="89">
        <f t="shared" ref="H32:H33" si="5">SUM(F32*G32/1000)</f>
        <v>0.50183999999999995</v>
      </c>
      <c r="I32" s="12">
        <v>0</v>
      </c>
      <c r="J32" s="45"/>
    </row>
    <row r="33" spans="1:14" s="44" customFormat="1" ht="15.75" hidden="1" customHeight="1">
      <c r="A33" s="24">
        <v>7</v>
      </c>
      <c r="B33" s="85" t="s">
        <v>62</v>
      </c>
      <c r="C33" s="86" t="s">
        <v>31</v>
      </c>
      <c r="D33" s="85" t="s">
        <v>63</v>
      </c>
      <c r="E33" s="87"/>
      <c r="F33" s="88">
        <v>1</v>
      </c>
      <c r="G33" s="88">
        <v>1490.33</v>
      </c>
      <c r="H33" s="89">
        <f t="shared" si="5"/>
        <v>1.4903299999999999</v>
      </c>
      <c r="I33" s="12">
        <v>0</v>
      </c>
      <c r="J33" s="45"/>
    </row>
    <row r="34" spans="1:14" s="44" customFormat="1" ht="15.75" hidden="1" customHeight="1">
      <c r="A34" s="24"/>
      <c r="B34" s="118" t="s">
        <v>5</v>
      </c>
      <c r="C34" s="86"/>
      <c r="D34" s="85"/>
      <c r="E34" s="87"/>
      <c r="F34" s="88"/>
      <c r="G34" s="88"/>
      <c r="H34" s="89" t="s">
        <v>129</v>
      </c>
      <c r="I34" s="12"/>
      <c r="J34" s="45"/>
    </row>
    <row r="35" spans="1:14" s="44" customFormat="1" ht="15.75" hidden="1" customHeight="1">
      <c r="A35" s="24">
        <v>6</v>
      </c>
      <c r="B35" s="94" t="s">
        <v>26</v>
      </c>
      <c r="C35" s="86" t="s">
        <v>31</v>
      </c>
      <c r="D35" s="85"/>
      <c r="E35" s="87"/>
      <c r="F35" s="88">
        <v>5</v>
      </c>
      <c r="G35" s="88">
        <v>2003</v>
      </c>
      <c r="H35" s="89">
        <f t="shared" ref="H35:H40" si="6">SUM(F35*G35/1000)</f>
        <v>10.015000000000001</v>
      </c>
      <c r="I35" s="12">
        <f t="shared" ref="I35:I40" si="7">F35/6*G35</f>
        <v>1669.1666666666667</v>
      </c>
      <c r="J35" s="45"/>
    </row>
    <row r="36" spans="1:14" s="44" customFormat="1" ht="15.75" hidden="1" customHeight="1">
      <c r="A36" s="24">
        <v>7</v>
      </c>
      <c r="B36" s="94" t="s">
        <v>146</v>
      </c>
      <c r="C36" s="95" t="s">
        <v>29</v>
      </c>
      <c r="D36" s="85" t="s">
        <v>104</v>
      </c>
      <c r="E36" s="87">
        <v>83.7</v>
      </c>
      <c r="F36" s="96">
        <f>E36*30/1000</f>
        <v>2.5110000000000001</v>
      </c>
      <c r="G36" s="88">
        <v>2757.78</v>
      </c>
      <c r="H36" s="89">
        <f t="shared" si="6"/>
        <v>6.9247855800000009</v>
      </c>
      <c r="I36" s="12">
        <f t="shared" si="7"/>
        <v>1154.1309300000003</v>
      </c>
      <c r="J36" s="45"/>
    </row>
    <row r="37" spans="1:14" s="44" customFormat="1" ht="15.75" hidden="1" customHeight="1">
      <c r="A37" s="24">
        <v>8</v>
      </c>
      <c r="B37" s="85" t="s">
        <v>64</v>
      </c>
      <c r="C37" s="86" t="s">
        <v>29</v>
      </c>
      <c r="D37" s="85" t="s">
        <v>105</v>
      </c>
      <c r="E37" s="88">
        <v>83.7</v>
      </c>
      <c r="F37" s="96">
        <f>SUM(E37*155/1000)</f>
        <v>12.9735</v>
      </c>
      <c r="G37" s="88">
        <v>460.02</v>
      </c>
      <c r="H37" s="89">
        <f t="shared" si="6"/>
        <v>5.9680694699999997</v>
      </c>
      <c r="I37" s="12">
        <f t="shared" si="7"/>
        <v>994.67824499999983</v>
      </c>
      <c r="J37" s="45"/>
    </row>
    <row r="38" spans="1:14" s="44" customFormat="1" ht="47.25" hidden="1" customHeight="1">
      <c r="A38" s="24">
        <v>9</v>
      </c>
      <c r="B38" s="85" t="s">
        <v>79</v>
      </c>
      <c r="C38" s="86" t="s">
        <v>100</v>
      </c>
      <c r="D38" s="85" t="s">
        <v>104</v>
      </c>
      <c r="E38" s="88">
        <v>83.7</v>
      </c>
      <c r="F38" s="96">
        <f>SUM(E38*30/1000)</f>
        <v>2.5110000000000001</v>
      </c>
      <c r="G38" s="88">
        <v>7611.16</v>
      </c>
      <c r="H38" s="89">
        <f t="shared" si="6"/>
        <v>19.111622760000003</v>
      </c>
      <c r="I38" s="12">
        <f t="shared" si="7"/>
        <v>3185.2704600000002</v>
      </c>
      <c r="J38" s="45"/>
    </row>
    <row r="39" spans="1:14" s="44" customFormat="1" ht="15.75" hidden="1" customHeight="1">
      <c r="A39" s="24">
        <v>10</v>
      </c>
      <c r="B39" s="85" t="s">
        <v>107</v>
      </c>
      <c r="C39" s="86" t="s">
        <v>100</v>
      </c>
      <c r="D39" s="85" t="s">
        <v>106</v>
      </c>
      <c r="E39" s="88">
        <v>83.7</v>
      </c>
      <c r="F39" s="96">
        <f>SUM(E39*24/1000)</f>
        <v>2.0088000000000004</v>
      </c>
      <c r="G39" s="88">
        <v>562.25</v>
      </c>
      <c r="H39" s="89">
        <f t="shared" si="6"/>
        <v>1.1294478000000001</v>
      </c>
      <c r="I39" s="12">
        <f t="shared" si="7"/>
        <v>188.24130000000002</v>
      </c>
      <c r="J39" s="45"/>
    </row>
    <row r="40" spans="1:14" s="44" customFormat="1" ht="15.75" hidden="1" customHeight="1">
      <c r="A40" s="24">
        <v>11</v>
      </c>
      <c r="B40" s="94" t="s">
        <v>65</v>
      </c>
      <c r="C40" s="95" t="s">
        <v>32</v>
      </c>
      <c r="D40" s="94"/>
      <c r="E40" s="92"/>
      <c r="F40" s="96">
        <v>0.9</v>
      </c>
      <c r="G40" s="96">
        <v>974.83</v>
      </c>
      <c r="H40" s="89">
        <f t="shared" si="6"/>
        <v>0.8773470000000001</v>
      </c>
      <c r="I40" s="12">
        <f t="shared" si="7"/>
        <v>146.22450000000001</v>
      </c>
      <c r="J40" s="45"/>
    </row>
    <row r="41" spans="1:14" s="44" customFormat="1" ht="22.5" hidden="1" customHeight="1">
      <c r="A41" s="211" t="s">
        <v>135</v>
      </c>
      <c r="B41" s="212"/>
      <c r="C41" s="212"/>
      <c r="D41" s="212"/>
      <c r="E41" s="212"/>
      <c r="F41" s="212"/>
      <c r="G41" s="212"/>
      <c r="H41" s="212"/>
      <c r="I41" s="213"/>
      <c r="J41" s="45"/>
    </row>
    <row r="42" spans="1:14" s="44" customFormat="1" ht="28.5" hidden="1" customHeight="1">
      <c r="A42" s="24">
        <v>8</v>
      </c>
      <c r="B42" s="85" t="s">
        <v>108</v>
      </c>
      <c r="C42" s="86" t="s">
        <v>100</v>
      </c>
      <c r="D42" s="85" t="s">
        <v>40</v>
      </c>
      <c r="E42" s="87">
        <v>1032.5</v>
      </c>
      <c r="F42" s="88">
        <f>SUM(E42*2/1000)</f>
        <v>2.0649999999999999</v>
      </c>
      <c r="G42" s="29">
        <v>1114.1300000000001</v>
      </c>
      <c r="H42" s="89">
        <f t="shared" ref="H42:H51" si="8">SUM(F42*G42/1000)</f>
        <v>2.3006784500000004</v>
      </c>
      <c r="I42" s="12">
        <f>F42/2*G42</f>
        <v>1150.3392250000002</v>
      </c>
      <c r="J42" s="45"/>
    </row>
    <row r="43" spans="1:14" s="44" customFormat="1" ht="27" hidden="1" customHeight="1">
      <c r="A43" s="24"/>
      <c r="B43" s="85" t="s">
        <v>33</v>
      </c>
      <c r="C43" s="86" t="s">
        <v>100</v>
      </c>
      <c r="D43" s="85" t="s">
        <v>40</v>
      </c>
      <c r="E43" s="87">
        <v>132</v>
      </c>
      <c r="F43" s="88">
        <f>E43*2/1000</f>
        <v>0.26400000000000001</v>
      </c>
      <c r="G43" s="29">
        <v>4419.05</v>
      </c>
      <c r="H43" s="89">
        <f t="shared" si="8"/>
        <v>1.1666292</v>
      </c>
      <c r="I43" s="12">
        <f t="shared" ref="I43:I49" si="9">F43/2*G43</f>
        <v>583.31460000000004</v>
      </c>
      <c r="J43" s="45"/>
      <c r="L43" s="17"/>
      <c r="M43" s="18"/>
      <c r="N43" s="26"/>
    </row>
    <row r="44" spans="1:14" s="44" customFormat="1" ht="28.5" hidden="1" customHeight="1">
      <c r="A44" s="24">
        <v>9</v>
      </c>
      <c r="B44" s="85" t="s">
        <v>34</v>
      </c>
      <c r="C44" s="86" t="s">
        <v>100</v>
      </c>
      <c r="D44" s="85" t="s">
        <v>40</v>
      </c>
      <c r="E44" s="87">
        <v>4248.22</v>
      </c>
      <c r="F44" s="88">
        <f>SUM(E44*2/1000)</f>
        <v>8.4964399999999998</v>
      </c>
      <c r="G44" s="29">
        <v>1803.69</v>
      </c>
      <c r="H44" s="89">
        <f t="shared" si="8"/>
        <v>15.3249438636</v>
      </c>
      <c r="I44" s="12">
        <f t="shared" si="9"/>
        <v>7662.4719317999998</v>
      </c>
      <c r="J44" s="45"/>
      <c r="L44" s="17"/>
      <c r="M44" s="18"/>
      <c r="N44" s="26"/>
    </row>
    <row r="45" spans="1:14" s="44" customFormat="1" ht="26.25" hidden="1" customHeight="1">
      <c r="A45" s="24">
        <v>10</v>
      </c>
      <c r="B45" s="85" t="s">
        <v>35</v>
      </c>
      <c r="C45" s="86" t="s">
        <v>100</v>
      </c>
      <c r="D45" s="85" t="s">
        <v>40</v>
      </c>
      <c r="E45" s="87">
        <v>2163.66</v>
      </c>
      <c r="F45" s="88">
        <f>SUM(E45*2/1000)</f>
        <v>4.3273199999999994</v>
      </c>
      <c r="G45" s="29">
        <v>1243.43</v>
      </c>
      <c r="H45" s="89">
        <f t="shared" si="8"/>
        <v>5.3807195075999994</v>
      </c>
      <c r="I45" s="12">
        <f t="shared" si="9"/>
        <v>2690.3597537999999</v>
      </c>
      <c r="J45" s="45"/>
      <c r="L45" s="17"/>
      <c r="M45" s="18"/>
      <c r="N45" s="26"/>
    </row>
    <row r="46" spans="1:14" s="44" customFormat="1" ht="27" hidden="1" customHeight="1">
      <c r="A46" s="24">
        <v>11</v>
      </c>
      <c r="B46" s="85" t="s">
        <v>53</v>
      </c>
      <c r="C46" s="86" t="s">
        <v>100</v>
      </c>
      <c r="D46" s="85" t="s">
        <v>142</v>
      </c>
      <c r="E46" s="87">
        <v>3931</v>
      </c>
      <c r="F46" s="88">
        <f>SUM(E46*5/1000)</f>
        <v>19.655000000000001</v>
      </c>
      <c r="G46" s="29">
        <v>1083.69</v>
      </c>
      <c r="H46" s="89">
        <f t="shared" si="8"/>
        <v>21.29992695</v>
      </c>
      <c r="I46" s="12">
        <f>F46/5*G46</f>
        <v>4259.9853899999998</v>
      </c>
      <c r="J46" s="45"/>
      <c r="L46" s="17"/>
      <c r="M46" s="18"/>
      <c r="N46" s="26"/>
    </row>
    <row r="47" spans="1:14" s="44" customFormat="1" ht="36.75" hidden="1" customHeight="1">
      <c r="A47" s="24">
        <v>10</v>
      </c>
      <c r="B47" s="85" t="s">
        <v>109</v>
      </c>
      <c r="C47" s="86" t="s">
        <v>100</v>
      </c>
      <c r="D47" s="85" t="s">
        <v>40</v>
      </c>
      <c r="E47" s="87">
        <v>3931</v>
      </c>
      <c r="F47" s="88">
        <f>SUM(E47*2/1000)</f>
        <v>7.8620000000000001</v>
      </c>
      <c r="G47" s="29">
        <v>1591.6</v>
      </c>
      <c r="H47" s="89">
        <f t="shared" si="8"/>
        <v>12.5131592</v>
      </c>
      <c r="I47" s="12">
        <f t="shared" si="9"/>
        <v>6256.5796</v>
      </c>
      <c r="J47" s="45"/>
      <c r="L47" s="17"/>
      <c r="M47" s="18"/>
      <c r="N47" s="26"/>
    </row>
    <row r="48" spans="1:14" s="44" customFormat="1" ht="30" hidden="1" customHeight="1">
      <c r="A48" s="24">
        <v>11</v>
      </c>
      <c r="B48" s="85" t="s">
        <v>110</v>
      </c>
      <c r="C48" s="86" t="s">
        <v>36</v>
      </c>
      <c r="D48" s="85" t="s">
        <v>40</v>
      </c>
      <c r="E48" s="87">
        <v>30</v>
      </c>
      <c r="F48" s="88">
        <f>SUM(E48*2/100)</f>
        <v>0.6</v>
      </c>
      <c r="G48" s="29">
        <v>4058.32</v>
      </c>
      <c r="H48" s="89">
        <f t="shared" si="8"/>
        <v>2.4349920000000003</v>
      </c>
      <c r="I48" s="12">
        <f t="shared" si="9"/>
        <v>1217.4960000000001</v>
      </c>
      <c r="J48" s="45"/>
      <c r="L48" s="17"/>
      <c r="M48" s="18"/>
      <c r="N48" s="26"/>
    </row>
    <row r="49" spans="1:14" s="44" customFormat="1" ht="18.75" hidden="1" customHeight="1">
      <c r="A49" s="24">
        <v>12</v>
      </c>
      <c r="B49" s="85" t="s">
        <v>37</v>
      </c>
      <c r="C49" s="86" t="s">
        <v>38</v>
      </c>
      <c r="D49" s="85" t="s">
        <v>40</v>
      </c>
      <c r="E49" s="87">
        <v>1</v>
      </c>
      <c r="F49" s="88">
        <v>0.02</v>
      </c>
      <c r="G49" s="29">
        <v>7412.92</v>
      </c>
      <c r="H49" s="89">
        <f t="shared" si="8"/>
        <v>0.14825839999999998</v>
      </c>
      <c r="I49" s="12">
        <f t="shared" si="9"/>
        <v>74.129199999999997</v>
      </c>
      <c r="J49" s="45"/>
      <c r="L49" s="17"/>
      <c r="M49" s="18"/>
      <c r="N49" s="26"/>
    </row>
    <row r="50" spans="1:14" s="44" customFormat="1" ht="25.5" hidden="1" customHeight="1">
      <c r="A50" s="24">
        <v>14</v>
      </c>
      <c r="B50" s="85" t="s">
        <v>111</v>
      </c>
      <c r="C50" s="86" t="s">
        <v>86</v>
      </c>
      <c r="D50" s="85" t="s">
        <v>66</v>
      </c>
      <c r="E50" s="87">
        <v>90</v>
      </c>
      <c r="F50" s="88">
        <f>E50*3</f>
        <v>270</v>
      </c>
      <c r="G50" s="29">
        <v>185.08</v>
      </c>
      <c r="H50" s="89">
        <f t="shared" si="8"/>
        <v>49.971600000000009</v>
      </c>
      <c r="I50" s="12">
        <f>F50/3*G50</f>
        <v>16657.2</v>
      </c>
      <c r="J50" s="45"/>
      <c r="L50" s="17"/>
      <c r="M50" s="18"/>
      <c r="N50" s="26"/>
    </row>
    <row r="51" spans="1:14" s="44" customFormat="1" ht="23.25" hidden="1" customHeight="1">
      <c r="A51" s="24">
        <v>15</v>
      </c>
      <c r="B51" s="85" t="s">
        <v>39</v>
      </c>
      <c r="C51" s="86" t="s">
        <v>86</v>
      </c>
      <c r="D51" s="85" t="s">
        <v>66</v>
      </c>
      <c r="E51" s="87">
        <v>180</v>
      </c>
      <c r="F51" s="88">
        <f>SUM(E51)*3</f>
        <v>540</v>
      </c>
      <c r="G51" s="97">
        <v>86.15</v>
      </c>
      <c r="H51" s="89">
        <f t="shared" si="8"/>
        <v>46.521000000000001</v>
      </c>
      <c r="I51" s="12">
        <f>F51/3*G51</f>
        <v>15507.000000000002</v>
      </c>
      <c r="J51" s="45"/>
      <c r="L51" s="17"/>
      <c r="M51" s="18"/>
      <c r="N51" s="26"/>
    </row>
    <row r="52" spans="1:14" s="44" customFormat="1" ht="15.75" customHeight="1">
      <c r="A52" s="211" t="s">
        <v>139</v>
      </c>
      <c r="B52" s="212"/>
      <c r="C52" s="212"/>
      <c r="D52" s="212"/>
      <c r="E52" s="212"/>
      <c r="F52" s="212"/>
      <c r="G52" s="212"/>
      <c r="H52" s="212"/>
      <c r="I52" s="213"/>
      <c r="J52" s="45"/>
      <c r="L52" s="17"/>
      <c r="M52" s="18"/>
      <c r="N52" s="26"/>
    </row>
    <row r="53" spans="1:14" s="44" customFormat="1" ht="15.75" hidden="1" customHeight="1">
      <c r="A53" s="24"/>
      <c r="B53" s="119" t="s">
        <v>41</v>
      </c>
      <c r="C53" s="86"/>
      <c r="D53" s="85"/>
      <c r="E53" s="87"/>
      <c r="F53" s="88"/>
      <c r="G53" s="88"/>
      <c r="H53" s="89"/>
      <c r="I53" s="12"/>
      <c r="J53" s="45"/>
      <c r="L53" s="17"/>
      <c r="M53" s="18"/>
      <c r="N53" s="26"/>
    </row>
    <row r="54" spans="1:14" s="44" customFormat="1" ht="31.5" hidden="1" customHeight="1">
      <c r="A54" s="24">
        <v>18</v>
      </c>
      <c r="B54" s="85" t="s">
        <v>125</v>
      </c>
      <c r="C54" s="86" t="s">
        <v>90</v>
      </c>
      <c r="D54" s="85" t="s">
        <v>112</v>
      </c>
      <c r="E54" s="87">
        <v>30.6</v>
      </c>
      <c r="F54" s="88">
        <f>SUM(E54*6/100)</f>
        <v>1.8360000000000003</v>
      </c>
      <c r="G54" s="29">
        <v>2029.3</v>
      </c>
      <c r="H54" s="89">
        <f>SUM(F54*G54/1000)</f>
        <v>3.7257948000000005</v>
      </c>
      <c r="I54" s="12">
        <f>F54/6*G54</f>
        <v>620.96580000000006</v>
      </c>
      <c r="J54" s="45"/>
      <c r="L54" s="17"/>
      <c r="M54" s="18"/>
      <c r="N54" s="26"/>
    </row>
    <row r="55" spans="1:14" s="44" customFormat="1" ht="31.5" hidden="1" customHeight="1">
      <c r="A55" s="24">
        <v>19</v>
      </c>
      <c r="B55" s="85" t="s">
        <v>84</v>
      </c>
      <c r="C55" s="86" t="s">
        <v>90</v>
      </c>
      <c r="D55" s="85" t="s">
        <v>85</v>
      </c>
      <c r="E55" s="87">
        <v>39.69</v>
      </c>
      <c r="F55" s="88">
        <f>SUM(E55*12/100)</f>
        <v>4.7627999999999995</v>
      </c>
      <c r="G55" s="29">
        <v>2029.3</v>
      </c>
      <c r="H55" s="89">
        <f>SUM(F55*G55/1000)</f>
        <v>9.6651500399999986</v>
      </c>
      <c r="I55" s="12">
        <f t="shared" ref="I55:I57" si="10">F55/6*G55</f>
        <v>1610.8583399999998</v>
      </c>
      <c r="J55" s="45"/>
      <c r="L55" s="17"/>
      <c r="M55" s="18"/>
      <c r="N55" s="26"/>
    </row>
    <row r="56" spans="1:14" s="44" customFormat="1" ht="15.75" hidden="1" customHeight="1">
      <c r="A56" s="24">
        <v>20</v>
      </c>
      <c r="B56" s="98" t="s">
        <v>113</v>
      </c>
      <c r="C56" s="99" t="s">
        <v>114</v>
      </c>
      <c r="D56" s="98" t="s">
        <v>40</v>
      </c>
      <c r="E56" s="100">
        <v>8</v>
      </c>
      <c r="F56" s="101">
        <v>16</v>
      </c>
      <c r="G56" s="29">
        <v>237.1</v>
      </c>
      <c r="H56" s="89">
        <f>SUM(F56*G56/1000)</f>
        <v>3.7936000000000001</v>
      </c>
      <c r="I56" s="12">
        <v>0</v>
      </c>
      <c r="J56" s="45"/>
      <c r="L56" s="17"/>
      <c r="M56" s="18"/>
      <c r="N56" s="26"/>
    </row>
    <row r="57" spans="1:14" s="44" customFormat="1" ht="15.75" hidden="1" customHeight="1">
      <c r="A57" s="24">
        <v>21</v>
      </c>
      <c r="B57" s="85" t="s">
        <v>115</v>
      </c>
      <c r="C57" s="86" t="s">
        <v>90</v>
      </c>
      <c r="D57" s="85" t="s">
        <v>112</v>
      </c>
      <c r="E57" s="87">
        <v>41.73</v>
      </c>
      <c r="F57" s="88">
        <f>SUM(E57*6/100)</f>
        <v>2.5038</v>
      </c>
      <c r="G57" s="29">
        <v>2029.3</v>
      </c>
      <c r="H57" s="89">
        <f>SUM(F57*G57/1000)</f>
        <v>5.08096134</v>
      </c>
      <c r="I57" s="12">
        <f t="shared" si="10"/>
        <v>846.82688999999993</v>
      </c>
      <c r="J57" s="45"/>
      <c r="L57" s="17"/>
      <c r="M57" s="18"/>
      <c r="N57" s="26"/>
    </row>
    <row r="58" spans="1:14" s="44" customFormat="1" ht="15.75" hidden="1" customHeight="1">
      <c r="A58" s="24"/>
      <c r="B58" s="98" t="s">
        <v>133</v>
      </c>
      <c r="C58" s="99" t="s">
        <v>31</v>
      </c>
      <c r="D58" s="98" t="s">
        <v>63</v>
      </c>
      <c r="E58" s="100"/>
      <c r="F58" s="101">
        <v>4</v>
      </c>
      <c r="G58" s="29">
        <v>1582.05</v>
      </c>
      <c r="H58" s="89">
        <f>SUM(F58*G58/1000)</f>
        <v>6.3281999999999998</v>
      </c>
      <c r="I58" s="12">
        <v>0</v>
      </c>
      <c r="J58" s="45"/>
      <c r="L58" s="17"/>
      <c r="M58" s="18"/>
      <c r="N58" s="26"/>
    </row>
    <row r="59" spans="1:14" s="44" customFormat="1" ht="15.75" customHeight="1">
      <c r="A59" s="24"/>
      <c r="B59" s="120" t="s">
        <v>42</v>
      </c>
      <c r="C59" s="99"/>
      <c r="D59" s="98"/>
      <c r="E59" s="100"/>
      <c r="F59" s="101"/>
      <c r="G59" s="29"/>
      <c r="H59" s="102"/>
      <c r="I59" s="12"/>
      <c r="J59" s="45"/>
      <c r="L59" s="17"/>
      <c r="M59" s="18"/>
      <c r="N59" s="26"/>
    </row>
    <row r="60" spans="1:14" s="44" customFormat="1" ht="15.75" hidden="1" customHeight="1">
      <c r="A60" s="24">
        <v>14</v>
      </c>
      <c r="B60" s="98" t="s">
        <v>130</v>
      </c>
      <c r="C60" s="99" t="s">
        <v>50</v>
      </c>
      <c r="D60" s="98" t="s">
        <v>51</v>
      </c>
      <c r="E60" s="100">
        <v>508.73</v>
      </c>
      <c r="F60" s="88">
        <f>SUM(E60/100)</f>
        <v>5.0872999999999999</v>
      </c>
      <c r="G60" s="29">
        <v>1040.8399999999999</v>
      </c>
      <c r="H60" s="102">
        <f>F60*G60/1000</f>
        <v>5.2950653319999992</v>
      </c>
      <c r="I60" s="12">
        <v>0</v>
      </c>
      <c r="J60" s="45"/>
      <c r="L60" s="17"/>
      <c r="M60" s="18"/>
      <c r="N60" s="26"/>
    </row>
    <row r="61" spans="1:14" s="44" customFormat="1" ht="15.75" customHeight="1">
      <c r="A61" s="24">
        <v>8</v>
      </c>
      <c r="B61" s="98" t="s">
        <v>87</v>
      </c>
      <c r="C61" s="99" t="s">
        <v>25</v>
      </c>
      <c r="D61" s="98" t="s">
        <v>224</v>
      </c>
      <c r="E61" s="100">
        <v>203.5</v>
      </c>
      <c r="F61" s="103">
        <v>2400</v>
      </c>
      <c r="G61" s="104">
        <v>1.4</v>
      </c>
      <c r="H61" s="101">
        <f>F61*G61/1000</f>
        <v>3.36</v>
      </c>
      <c r="I61" s="12">
        <f>F61/12*G61</f>
        <v>280</v>
      </c>
      <c r="J61" s="45"/>
      <c r="L61" s="17"/>
    </row>
    <row r="62" spans="1:14" s="44" customFormat="1" ht="15" customHeight="1">
      <c r="A62" s="24"/>
      <c r="B62" s="121" t="s">
        <v>43</v>
      </c>
      <c r="C62" s="99"/>
      <c r="D62" s="98"/>
      <c r="E62" s="100"/>
      <c r="F62" s="103"/>
      <c r="G62" s="103"/>
      <c r="H62" s="101" t="s">
        <v>129</v>
      </c>
      <c r="I62" s="12"/>
      <c r="J62" s="45"/>
      <c r="L62" s="17"/>
    </row>
    <row r="63" spans="1:14" s="44" customFormat="1" ht="16.5" customHeight="1">
      <c r="A63" s="24">
        <v>9</v>
      </c>
      <c r="B63" s="105" t="s">
        <v>44</v>
      </c>
      <c r="C63" s="106" t="s">
        <v>86</v>
      </c>
      <c r="D63" s="30" t="s">
        <v>224</v>
      </c>
      <c r="E63" s="15">
        <v>10</v>
      </c>
      <c r="F63" s="88">
        <f>E63</f>
        <v>10</v>
      </c>
      <c r="G63" s="29">
        <v>291.68</v>
      </c>
      <c r="H63" s="75">
        <f t="shared" ref="H63:H79" si="11">SUM(F63*G63/1000)</f>
        <v>2.9168000000000003</v>
      </c>
      <c r="I63" s="12">
        <f>G63*1</f>
        <v>291.68</v>
      </c>
    </row>
    <row r="64" spans="1:14" s="44" customFormat="1" ht="13.5" hidden="1" customHeight="1">
      <c r="A64" s="61"/>
      <c r="B64" s="105" t="s">
        <v>45</v>
      </c>
      <c r="C64" s="106" t="s">
        <v>86</v>
      </c>
      <c r="D64" s="30" t="s">
        <v>154</v>
      </c>
      <c r="E64" s="15">
        <v>10</v>
      </c>
      <c r="F64" s="88">
        <f>E64</f>
        <v>10</v>
      </c>
      <c r="G64" s="29">
        <v>100.01</v>
      </c>
      <c r="H64" s="75">
        <f t="shared" si="11"/>
        <v>1.0001</v>
      </c>
      <c r="I64" s="12">
        <v>0</v>
      </c>
    </row>
    <row r="65" spans="1:22" s="44" customFormat="1" ht="15.75" hidden="1" customHeight="1">
      <c r="A65" s="24">
        <v>22</v>
      </c>
      <c r="B65" s="105" t="s">
        <v>46</v>
      </c>
      <c r="C65" s="107" t="s">
        <v>116</v>
      </c>
      <c r="D65" s="30" t="s">
        <v>51</v>
      </c>
      <c r="E65" s="87">
        <v>14347</v>
      </c>
      <c r="F65" s="97">
        <f>SUM(E65/100)</f>
        <v>143.47</v>
      </c>
      <c r="G65" s="29">
        <v>278.24</v>
      </c>
      <c r="H65" s="75">
        <f t="shared" si="11"/>
        <v>39.919092800000001</v>
      </c>
      <c r="I65" s="12">
        <v>0</v>
      </c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2"/>
    </row>
    <row r="66" spans="1:22" s="44" customFormat="1" ht="18.75" hidden="1" customHeight="1">
      <c r="A66" s="62"/>
      <c r="B66" s="105" t="s">
        <v>47</v>
      </c>
      <c r="C66" s="106" t="s">
        <v>117</v>
      </c>
      <c r="D66" s="30"/>
      <c r="E66" s="87">
        <v>14347</v>
      </c>
      <c r="F66" s="29">
        <f>SUM(E66/1000)</f>
        <v>14.347</v>
      </c>
      <c r="G66" s="29">
        <v>216.68</v>
      </c>
      <c r="H66" s="75">
        <f t="shared" si="11"/>
        <v>3.1087079600000003</v>
      </c>
      <c r="I66" s="12">
        <v>0</v>
      </c>
      <c r="J66" s="53"/>
      <c r="K66" s="53"/>
      <c r="L66" s="51"/>
      <c r="M66" s="51"/>
      <c r="N66" s="51"/>
      <c r="O66" s="51"/>
      <c r="P66" s="51"/>
      <c r="Q66" s="51"/>
      <c r="R66" s="51"/>
      <c r="S66" s="51"/>
      <c r="T66" s="51"/>
      <c r="U66" s="51"/>
    </row>
    <row r="67" spans="1:22" s="44" customFormat="1" ht="23.25" hidden="1" customHeight="1">
      <c r="A67" s="24">
        <v>23</v>
      </c>
      <c r="B67" s="105" t="s">
        <v>48</v>
      </c>
      <c r="C67" s="106" t="s">
        <v>72</v>
      </c>
      <c r="D67" s="30" t="s">
        <v>51</v>
      </c>
      <c r="E67" s="87">
        <v>2244</v>
      </c>
      <c r="F67" s="29">
        <f>SUM(E67/100)</f>
        <v>22.44</v>
      </c>
      <c r="G67" s="29">
        <v>2720.94</v>
      </c>
      <c r="H67" s="75">
        <f t="shared" si="11"/>
        <v>61.0578936</v>
      </c>
      <c r="I67" s="12">
        <v>0</v>
      </c>
      <c r="J67" s="51"/>
      <c r="K67" s="51"/>
      <c r="L67" s="51"/>
      <c r="M67" s="51"/>
      <c r="N67" s="51"/>
      <c r="O67" s="51"/>
      <c r="P67" s="51"/>
      <c r="Q67" s="51"/>
      <c r="S67" s="51"/>
      <c r="T67" s="51"/>
      <c r="U67" s="51"/>
    </row>
    <row r="68" spans="1:22" s="44" customFormat="1" ht="21" hidden="1" customHeight="1">
      <c r="A68" s="24"/>
      <c r="B68" s="108" t="s">
        <v>118</v>
      </c>
      <c r="C68" s="106" t="s">
        <v>32</v>
      </c>
      <c r="D68" s="30"/>
      <c r="E68" s="87">
        <v>12.8</v>
      </c>
      <c r="F68" s="29">
        <f>SUM(E68)</f>
        <v>12.8</v>
      </c>
      <c r="G68" s="29">
        <v>42.61</v>
      </c>
      <c r="H68" s="75">
        <f t="shared" si="11"/>
        <v>0.545408</v>
      </c>
      <c r="I68" s="12">
        <v>0</v>
      </c>
      <c r="J68" s="55"/>
      <c r="K68" s="55"/>
      <c r="L68" s="55"/>
      <c r="M68" s="55"/>
      <c r="N68" s="55"/>
      <c r="O68" s="55"/>
      <c r="P68" s="55"/>
      <c r="Q68" s="55"/>
      <c r="R68" s="188"/>
      <c r="S68" s="188"/>
      <c r="T68" s="188"/>
      <c r="U68" s="188"/>
    </row>
    <row r="69" spans="1:22" s="44" customFormat="1" ht="19.5" hidden="1" customHeight="1">
      <c r="A69" s="24">
        <v>19</v>
      </c>
      <c r="B69" s="108" t="s">
        <v>119</v>
      </c>
      <c r="C69" s="106" t="s">
        <v>32</v>
      </c>
      <c r="D69" s="30"/>
      <c r="E69" s="87">
        <v>12.8</v>
      </c>
      <c r="F69" s="29">
        <f>SUM(E69)</f>
        <v>12.8</v>
      </c>
      <c r="G69" s="29">
        <v>46.04</v>
      </c>
      <c r="H69" s="75">
        <f t="shared" si="11"/>
        <v>0.58931200000000006</v>
      </c>
      <c r="I69" s="12">
        <v>0</v>
      </c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</row>
    <row r="70" spans="1:22" s="44" customFormat="1" ht="18" hidden="1" customHeight="1">
      <c r="A70" s="24">
        <v>20</v>
      </c>
      <c r="B70" s="30" t="s">
        <v>54</v>
      </c>
      <c r="C70" s="106" t="s">
        <v>55</v>
      </c>
      <c r="D70" s="30" t="s">
        <v>51</v>
      </c>
      <c r="E70" s="15">
        <v>6</v>
      </c>
      <c r="F70" s="29">
        <f>SUM(E70)</f>
        <v>6</v>
      </c>
      <c r="G70" s="29">
        <v>65.42</v>
      </c>
      <c r="H70" s="75">
        <f t="shared" si="11"/>
        <v>0.39251999999999998</v>
      </c>
      <c r="I70" s="12">
        <v>0</v>
      </c>
    </row>
    <row r="71" spans="1:22" s="44" customFormat="1" ht="15.75" customHeight="1">
      <c r="A71" s="24"/>
      <c r="B71" s="122" t="s">
        <v>147</v>
      </c>
      <c r="C71" s="106"/>
      <c r="D71" s="30"/>
      <c r="E71" s="15"/>
      <c r="F71" s="104"/>
      <c r="G71" s="29"/>
      <c r="H71" s="75"/>
      <c r="I71" s="12"/>
    </row>
    <row r="72" spans="1:22" s="44" customFormat="1" ht="15.75" customHeight="1">
      <c r="A72" s="24">
        <v>10</v>
      </c>
      <c r="B72" s="30" t="s">
        <v>148</v>
      </c>
      <c r="C72" s="109" t="s">
        <v>149</v>
      </c>
      <c r="D72" s="30"/>
      <c r="E72" s="15">
        <v>3181</v>
      </c>
      <c r="F72" s="88">
        <f>SUM(E72)*12</f>
        <v>38172</v>
      </c>
      <c r="G72" s="29">
        <v>2.2799999999999998</v>
      </c>
      <c r="H72" s="75">
        <f t="shared" ref="H72" si="12">SUM(F72*G72/1000)</f>
        <v>87.03215999999999</v>
      </c>
      <c r="I72" s="12">
        <f>F72/12*G72</f>
        <v>7252.6799999999994</v>
      </c>
    </row>
    <row r="73" spans="1:22" s="44" customFormat="1" ht="15.75" hidden="1" customHeight="1">
      <c r="A73" s="24"/>
      <c r="B73" s="122" t="s">
        <v>67</v>
      </c>
      <c r="C73" s="106"/>
      <c r="D73" s="30"/>
      <c r="E73" s="15"/>
      <c r="F73" s="29"/>
      <c r="G73" s="29"/>
      <c r="H73" s="75" t="s">
        <v>129</v>
      </c>
      <c r="I73" s="12"/>
    </row>
    <row r="74" spans="1:22" s="44" customFormat="1" ht="15.75" hidden="1" customHeight="1">
      <c r="A74" s="24">
        <v>24</v>
      </c>
      <c r="B74" s="30" t="s">
        <v>150</v>
      </c>
      <c r="C74" s="106" t="s">
        <v>30</v>
      </c>
      <c r="D74" s="30" t="s">
        <v>63</v>
      </c>
      <c r="E74" s="15">
        <v>1</v>
      </c>
      <c r="F74" s="88">
        <f t="shared" ref="F74" si="13">E74</f>
        <v>1</v>
      </c>
      <c r="G74" s="29">
        <v>1029.1199999999999</v>
      </c>
      <c r="H74" s="75">
        <f>G74*F74/1000</f>
        <v>1.0291199999999998</v>
      </c>
      <c r="I74" s="12">
        <v>0</v>
      </c>
    </row>
    <row r="75" spans="1:22" s="44" customFormat="1" ht="15.75" hidden="1" customHeight="1">
      <c r="A75" s="24"/>
      <c r="B75" s="30" t="s">
        <v>151</v>
      </c>
      <c r="C75" s="106" t="s">
        <v>152</v>
      </c>
      <c r="D75" s="30" t="s">
        <v>63</v>
      </c>
      <c r="E75" s="15">
        <v>1</v>
      </c>
      <c r="F75" s="29">
        <v>1</v>
      </c>
      <c r="G75" s="29">
        <v>735</v>
      </c>
      <c r="H75" s="75">
        <f t="shared" ref="H75:H77" si="14">SUM(F75*G75/1000)</f>
        <v>0.73499999999999999</v>
      </c>
      <c r="I75" s="12">
        <v>0</v>
      </c>
    </row>
    <row r="76" spans="1:22" s="44" customFormat="1" ht="15.75" hidden="1" customHeight="1">
      <c r="A76" s="24"/>
      <c r="B76" s="30" t="s">
        <v>68</v>
      </c>
      <c r="C76" s="106" t="s">
        <v>70</v>
      </c>
      <c r="D76" s="30" t="s">
        <v>63</v>
      </c>
      <c r="E76" s="15">
        <v>8</v>
      </c>
      <c r="F76" s="29">
        <f>E76/10</f>
        <v>0.8</v>
      </c>
      <c r="G76" s="29">
        <v>657.87</v>
      </c>
      <c r="H76" s="75">
        <f t="shared" si="14"/>
        <v>0.5262960000000001</v>
      </c>
      <c r="I76" s="12">
        <v>0</v>
      </c>
    </row>
    <row r="77" spans="1:22" s="44" customFormat="1" ht="15.75" hidden="1" customHeight="1">
      <c r="A77" s="24">
        <v>21</v>
      </c>
      <c r="B77" s="30" t="s">
        <v>69</v>
      </c>
      <c r="C77" s="106" t="s">
        <v>30</v>
      </c>
      <c r="D77" s="30" t="s">
        <v>63</v>
      </c>
      <c r="E77" s="15">
        <v>1</v>
      </c>
      <c r="F77" s="104">
        <v>1</v>
      </c>
      <c r="G77" s="29">
        <v>1118.72</v>
      </c>
      <c r="H77" s="75">
        <f t="shared" si="14"/>
        <v>1.1187199999999999</v>
      </c>
      <c r="I77" s="12">
        <v>0</v>
      </c>
    </row>
    <row r="78" spans="1:22" s="44" customFormat="1" ht="15.75" hidden="1" customHeight="1">
      <c r="A78" s="24"/>
      <c r="B78" s="123" t="s">
        <v>71</v>
      </c>
      <c r="C78" s="106"/>
      <c r="D78" s="30"/>
      <c r="E78" s="15"/>
      <c r="F78" s="29"/>
      <c r="G78" s="29" t="s">
        <v>129</v>
      </c>
      <c r="H78" s="75" t="s">
        <v>129</v>
      </c>
      <c r="I78" s="12" t="str">
        <f>G78</f>
        <v xml:space="preserve"> </v>
      </c>
    </row>
    <row r="79" spans="1:22" s="44" customFormat="1" ht="15.75" hidden="1" customHeight="1">
      <c r="A79" s="24"/>
      <c r="B79" s="110" t="s">
        <v>122</v>
      </c>
      <c r="C79" s="107" t="s">
        <v>72</v>
      </c>
      <c r="D79" s="105"/>
      <c r="E79" s="111"/>
      <c r="F79" s="97">
        <v>0.6</v>
      </c>
      <c r="G79" s="97">
        <v>3619.09</v>
      </c>
      <c r="H79" s="75">
        <f t="shared" si="11"/>
        <v>2.1714540000000002</v>
      </c>
      <c r="I79" s="12">
        <v>0</v>
      </c>
    </row>
    <row r="80" spans="1:22" s="44" customFormat="1" ht="15.75" hidden="1" customHeight="1">
      <c r="A80" s="24"/>
      <c r="B80" s="73" t="s">
        <v>120</v>
      </c>
      <c r="C80" s="12"/>
      <c r="D80" s="12"/>
      <c r="E80" s="12"/>
      <c r="F80" s="12"/>
      <c r="G80" s="12"/>
      <c r="H80" s="12"/>
      <c r="I80" s="12"/>
    </row>
    <row r="81" spans="1:9" s="44" customFormat="1" ht="15.75" hidden="1" customHeight="1">
      <c r="A81" s="24"/>
      <c r="B81" s="85" t="s">
        <v>121</v>
      </c>
      <c r="C81" s="112"/>
      <c r="D81" s="113"/>
      <c r="E81" s="114"/>
      <c r="F81" s="115">
        <v>1</v>
      </c>
      <c r="G81" s="115">
        <v>30235</v>
      </c>
      <c r="H81" s="75">
        <f>G81*F81/1000</f>
        <v>30.234999999999999</v>
      </c>
      <c r="I81" s="12">
        <f>G81</f>
        <v>30235</v>
      </c>
    </row>
    <row r="82" spans="1:9" s="44" customFormat="1" ht="15.75" customHeight="1">
      <c r="A82" s="201" t="s">
        <v>140</v>
      </c>
      <c r="B82" s="202"/>
      <c r="C82" s="202"/>
      <c r="D82" s="202"/>
      <c r="E82" s="202"/>
      <c r="F82" s="202"/>
      <c r="G82" s="202"/>
      <c r="H82" s="202"/>
      <c r="I82" s="203"/>
    </row>
    <row r="83" spans="1:9" s="44" customFormat="1" ht="15.75" customHeight="1">
      <c r="A83" s="61">
        <v>11</v>
      </c>
      <c r="B83" s="85" t="s">
        <v>123</v>
      </c>
      <c r="C83" s="106" t="s">
        <v>52</v>
      </c>
      <c r="D83" s="116"/>
      <c r="E83" s="29">
        <v>3931</v>
      </c>
      <c r="F83" s="29">
        <f>SUM(E83*12)</f>
        <v>47172</v>
      </c>
      <c r="G83" s="29">
        <v>3.1</v>
      </c>
      <c r="H83" s="75">
        <f>SUM(F83*G83/1000)</f>
        <v>146.23320000000001</v>
      </c>
      <c r="I83" s="12">
        <f>F83/12*G83</f>
        <v>12186.1</v>
      </c>
    </row>
    <row r="84" spans="1:9" s="44" customFormat="1" ht="31.5" customHeight="1">
      <c r="A84" s="24">
        <v>12</v>
      </c>
      <c r="B84" s="30" t="s">
        <v>73</v>
      </c>
      <c r="C84" s="106"/>
      <c r="D84" s="116"/>
      <c r="E84" s="87">
        <f>E83</f>
        <v>3931</v>
      </c>
      <c r="F84" s="29">
        <f>E84*12</f>
        <v>47172</v>
      </c>
      <c r="G84" s="29">
        <v>3.5</v>
      </c>
      <c r="H84" s="75">
        <f>F84*G84/1000</f>
        <v>165.102</v>
      </c>
      <c r="I84" s="12">
        <f>F84/12*G84</f>
        <v>13758.5</v>
      </c>
    </row>
    <row r="85" spans="1:9" s="44" customFormat="1" ht="15.75" customHeight="1">
      <c r="A85" s="24"/>
      <c r="B85" s="31" t="s">
        <v>76</v>
      </c>
      <c r="C85" s="57"/>
      <c r="D85" s="56"/>
      <c r="E85" s="46"/>
      <c r="F85" s="46"/>
      <c r="G85" s="46"/>
      <c r="H85" s="58">
        <f>H84</f>
        <v>165.102</v>
      </c>
      <c r="I85" s="46">
        <f>I84+I83+I72+I63+I61+I31+I29+I28+I25+I18+I17+I16</f>
        <v>53295.654300000009</v>
      </c>
    </row>
    <row r="86" spans="1:9" s="44" customFormat="1" ht="15.75" customHeight="1">
      <c r="A86" s="190" t="s">
        <v>57</v>
      </c>
      <c r="B86" s="191"/>
      <c r="C86" s="191"/>
      <c r="D86" s="191"/>
      <c r="E86" s="191"/>
      <c r="F86" s="191"/>
      <c r="G86" s="191"/>
      <c r="H86" s="191"/>
      <c r="I86" s="192"/>
    </row>
    <row r="87" spans="1:9" s="44" customFormat="1" ht="31.5" customHeight="1">
      <c r="A87" s="24">
        <v>13</v>
      </c>
      <c r="B87" s="77" t="s">
        <v>265</v>
      </c>
      <c r="C87" s="78" t="s">
        <v>257</v>
      </c>
      <c r="D87" s="117" t="s">
        <v>266</v>
      </c>
      <c r="E87" s="29"/>
      <c r="F87" s="29">
        <v>1</v>
      </c>
      <c r="G87" s="29">
        <v>650</v>
      </c>
      <c r="H87" s="75">
        <f>G87*F87/1000</f>
        <v>0.65</v>
      </c>
      <c r="I87" s="59">
        <f>G87*24</f>
        <v>15600</v>
      </c>
    </row>
    <row r="88" spans="1:9" s="44" customFormat="1" ht="30" customHeight="1">
      <c r="A88" s="24">
        <v>14</v>
      </c>
      <c r="B88" s="77" t="s">
        <v>185</v>
      </c>
      <c r="C88" s="78" t="s">
        <v>36</v>
      </c>
      <c r="D88" s="117"/>
      <c r="E88" s="29"/>
      <c r="F88" s="29"/>
      <c r="G88" s="29">
        <v>3914.31</v>
      </c>
      <c r="H88" s="75"/>
      <c r="I88" s="59">
        <f>G88*0.01</f>
        <v>39.143099999999997</v>
      </c>
    </row>
    <row r="89" spans="1:9" s="44" customFormat="1" ht="18" customHeight="1">
      <c r="A89" s="24">
        <v>15</v>
      </c>
      <c r="B89" s="77" t="s">
        <v>267</v>
      </c>
      <c r="C89" s="78" t="s">
        <v>86</v>
      </c>
      <c r="D89" s="117" t="s">
        <v>268</v>
      </c>
      <c r="E89" s="29"/>
      <c r="F89" s="29"/>
      <c r="G89" s="29">
        <v>513.96</v>
      </c>
      <c r="H89" s="75"/>
      <c r="I89" s="59">
        <f>G89*2</f>
        <v>1027.92</v>
      </c>
    </row>
    <row r="90" spans="1:9" s="44" customFormat="1" ht="18" customHeight="1">
      <c r="A90" s="24">
        <v>16</v>
      </c>
      <c r="B90" s="77" t="s">
        <v>156</v>
      </c>
      <c r="C90" s="78" t="s">
        <v>86</v>
      </c>
      <c r="D90" s="117"/>
      <c r="E90" s="29"/>
      <c r="F90" s="29"/>
      <c r="G90" s="29">
        <v>87.32</v>
      </c>
      <c r="H90" s="75"/>
      <c r="I90" s="59">
        <f>G90*1</f>
        <v>87.32</v>
      </c>
    </row>
    <row r="91" spans="1:9" s="44" customFormat="1" ht="30" customHeight="1">
      <c r="A91" s="24">
        <v>17</v>
      </c>
      <c r="B91" s="77" t="s">
        <v>182</v>
      </c>
      <c r="C91" s="78" t="s">
        <v>29</v>
      </c>
      <c r="D91" s="117"/>
      <c r="E91" s="29"/>
      <c r="F91" s="29"/>
      <c r="G91" s="144">
        <v>19757.060000000001</v>
      </c>
      <c r="H91" s="75"/>
      <c r="I91" s="59">
        <f>G91*0.599*5/1000</f>
        <v>59.172394700000005</v>
      </c>
    </row>
    <row r="92" spans="1:9" ht="15.75" customHeight="1">
      <c r="A92" s="24"/>
      <c r="B92" s="60" t="s">
        <v>49</v>
      </c>
      <c r="C92" s="32"/>
      <c r="D92" s="38"/>
      <c r="E92" s="32">
        <v>1</v>
      </c>
      <c r="F92" s="32"/>
      <c r="G92" s="32"/>
      <c r="H92" s="32"/>
      <c r="I92" s="27">
        <f>SUM(I87:I91)</f>
        <v>16813.555494699998</v>
      </c>
    </row>
    <row r="93" spans="1:9" ht="15.75" customHeight="1">
      <c r="A93" s="24"/>
      <c r="B93" s="37" t="s">
        <v>74</v>
      </c>
      <c r="C93" s="14"/>
      <c r="D93" s="14"/>
      <c r="E93" s="33"/>
      <c r="F93" s="33"/>
      <c r="G93" s="34"/>
      <c r="H93" s="34"/>
      <c r="I93" s="15">
        <v>0</v>
      </c>
    </row>
    <row r="94" spans="1:9">
      <c r="A94" s="39"/>
      <c r="B94" s="36" t="s">
        <v>143</v>
      </c>
      <c r="C94" s="28"/>
      <c r="D94" s="28"/>
      <c r="E94" s="28"/>
      <c r="F94" s="28"/>
      <c r="G94" s="28"/>
      <c r="H94" s="28"/>
      <c r="I94" s="35">
        <f>I85+I92</f>
        <v>70109.2097947</v>
      </c>
    </row>
    <row r="95" spans="1:9" ht="15.75">
      <c r="A95" s="193" t="s">
        <v>269</v>
      </c>
      <c r="B95" s="193"/>
      <c r="C95" s="193"/>
      <c r="D95" s="193"/>
      <c r="E95" s="193"/>
      <c r="F95" s="193"/>
      <c r="G95" s="193"/>
      <c r="H95" s="193"/>
      <c r="I95" s="193"/>
    </row>
    <row r="96" spans="1:9" ht="15.75">
      <c r="A96" s="68"/>
      <c r="B96" s="194" t="s">
        <v>270</v>
      </c>
      <c r="C96" s="194"/>
      <c r="D96" s="194"/>
      <c r="E96" s="194"/>
      <c r="F96" s="194"/>
      <c r="G96" s="194"/>
      <c r="H96" s="43"/>
      <c r="I96" s="3"/>
    </row>
    <row r="97" spans="1:9" ht="15.75" customHeight="1">
      <c r="A97" s="67"/>
      <c r="B97" s="195" t="s">
        <v>6</v>
      </c>
      <c r="C97" s="195"/>
      <c r="D97" s="195"/>
      <c r="E97" s="195"/>
      <c r="F97" s="195"/>
      <c r="G97" s="195"/>
      <c r="H97" s="19"/>
      <c r="I97" s="5"/>
    </row>
    <row r="98" spans="1:9">
      <c r="A98" s="9"/>
      <c r="B98" s="9"/>
      <c r="C98" s="9"/>
      <c r="D98" s="9"/>
      <c r="E98" s="9"/>
      <c r="F98" s="9"/>
      <c r="G98" s="9"/>
      <c r="H98" s="9"/>
      <c r="I98" s="9"/>
    </row>
    <row r="99" spans="1:9" ht="15.75">
      <c r="A99" s="196" t="s">
        <v>7</v>
      </c>
      <c r="B99" s="196"/>
      <c r="C99" s="196"/>
      <c r="D99" s="196"/>
      <c r="E99" s="196"/>
      <c r="F99" s="196"/>
      <c r="G99" s="196"/>
      <c r="H99" s="196"/>
      <c r="I99" s="196"/>
    </row>
    <row r="100" spans="1:9" ht="15.75">
      <c r="A100" s="196" t="s">
        <v>8</v>
      </c>
      <c r="B100" s="196"/>
      <c r="C100" s="196"/>
      <c r="D100" s="196"/>
      <c r="E100" s="196"/>
      <c r="F100" s="196"/>
      <c r="G100" s="196"/>
      <c r="H100" s="196"/>
      <c r="I100" s="196"/>
    </row>
    <row r="101" spans="1:9" ht="15.75" customHeight="1">
      <c r="A101" s="197" t="s">
        <v>58</v>
      </c>
      <c r="B101" s="197"/>
      <c r="C101" s="197"/>
      <c r="D101" s="197"/>
      <c r="E101" s="197"/>
      <c r="F101" s="197"/>
      <c r="G101" s="197"/>
      <c r="H101" s="197"/>
      <c r="I101" s="197"/>
    </row>
    <row r="102" spans="1:9" ht="15.75">
      <c r="A102" s="10"/>
    </row>
    <row r="103" spans="1:9" ht="15.75">
      <c r="A103" s="198" t="s">
        <v>9</v>
      </c>
      <c r="B103" s="198"/>
      <c r="C103" s="198"/>
      <c r="D103" s="198"/>
      <c r="E103" s="198"/>
      <c r="F103" s="198"/>
      <c r="G103" s="198"/>
      <c r="H103" s="198"/>
      <c r="I103" s="198"/>
    </row>
    <row r="104" spans="1:9" ht="15.75">
      <c r="A104" s="4"/>
    </row>
    <row r="105" spans="1:9" ht="15.75">
      <c r="B105" s="64" t="s">
        <v>10</v>
      </c>
      <c r="C105" s="199" t="s">
        <v>83</v>
      </c>
      <c r="D105" s="199"/>
      <c r="E105" s="199"/>
      <c r="F105" s="41"/>
      <c r="I105" s="66"/>
    </row>
    <row r="106" spans="1:9">
      <c r="A106" s="67"/>
      <c r="C106" s="195" t="s">
        <v>11</v>
      </c>
      <c r="D106" s="195"/>
      <c r="E106" s="195"/>
      <c r="F106" s="19"/>
      <c r="I106" s="65" t="s">
        <v>12</v>
      </c>
    </row>
    <row r="107" spans="1:9" ht="15.75">
      <c r="A107" s="20"/>
      <c r="C107" s="11"/>
      <c r="D107" s="11"/>
      <c r="G107" s="11"/>
      <c r="H107" s="11"/>
    </row>
    <row r="108" spans="1:9" ht="15.75">
      <c r="B108" s="64" t="s">
        <v>13</v>
      </c>
      <c r="C108" s="200"/>
      <c r="D108" s="200"/>
      <c r="E108" s="200"/>
      <c r="F108" s="42"/>
      <c r="I108" s="66"/>
    </row>
    <row r="109" spans="1:9">
      <c r="A109" s="67"/>
      <c r="C109" s="189" t="s">
        <v>11</v>
      </c>
      <c r="D109" s="189"/>
      <c r="E109" s="189"/>
      <c r="F109" s="67"/>
      <c r="I109" s="65" t="s">
        <v>12</v>
      </c>
    </row>
    <row r="110" spans="1:9" ht="15.75">
      <c r="A110" s="4" t="s">
        <v>14</v>
      </c>
    </row>
    <row r="111" spans="1:9" ht="15" customHeight="1">
      <c r="A111" s="186" t="s">
        <v>15</v>
      </c>
      <c r="B111" s="186"/>
      <c r="C111" s="186"/>
      <c r="D111" s="186"/>
      <c r="E111" s="186"/>
      <c r="F111" s="186"/>
      <c r="G111" s="186"/>
      <c r="H111" s="186"/>
      <c r="I111" s="186"/>
    </row>
    <row r="112" spans="1:9" ht="45" customHeight="1">
      <c r="A112" s="187" t="s">
        <v>16</v>
      </c>
      <c r="B112" s="187"/>
      <c r="C112" s="187"/>
      <c r="D112" s="187"/>
      <c r="E112" s="187"/>
      <c r="F112" s="187"/>
      <c r="G112" s="187"/>
      <c r="H112" s="187"/>
      <c r="I112" s="187"/>
    </row>
    <row r="113" spans="1:9" ht="30" customHeight="1">
      <c r="A113" s="187" t="s">
        <v>17</v>
      </c>
      <c r="B113" s="187"/>
      <c r="C113" s="187"/>
      <c r="D113" s="187"/>
      <c r="E113" s="187"/>
      <c r="F113" s="187"/>
      <c r="G113" s="187"/>
      <c r="H113" s="187"/>
      <c r="I113" s="187"/>
    </row>
    <row r="114" spans="1:9" ht="30" customHeight="1">
      <c r="A114" s="187" t="s">
        <v>21</v>
      </c>
      <c r="B114" s="187"/>
      <c r="C114" s="187"/>
      <c r="D114" s="187"/>
      <c r="E114" s="187"/>
      <c r="F114" s="187"/>
      <c r="G114" s="187"/>
      <c r="H114" s="187"/>
      <c r="I114" s="187"/>
    </row>
    <row r="115" spans="1:9" ht="15" customHeight="1">
      <c r="A115" s="187" t="s">
        <v>20</v>
      </c>
      <c r="B115" s="187"/>
      <c r="C115" s="187"/>
      <c r="D115" s="187"/>
      <c r="E115" s="187"/>
      <c r="F115" s="187"/>
      <c r="G115" s="187"/>
      <c r="H115" s="187"/>
      <c r="I115" s="187"/>
    </row>
  </sheetData>
  <autoFilter ref="I12:I63"/>
  <mergeCells count="29">
    <mergeCell ref="A14:I14"/>
    <mergeCell ref="A26:I26"/>
    <mergeCell ref="A41:I41"/>
    <mergeCell ref="A52:I52"/>
    <mergeCell ref="A15:I15"/>
    <mergeCell ref="A3:I3"/>
    <mergeCell ref="A4:I4"/>
    <mergeCell ref="A5:I5"/>
    <mergeCell ref="A8:I8"/>
    <mergeCell ref="A10:I10"/>
    <mergeCell ref="R68:U68"/>
    <mergeCell ref="C109:E109"/>
    <mergeCell ref="A86:I86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2:I82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6"/>
  <sheetViews>
    <sheetView view="pageBreakPreview" topLeftCell="A85" zoomScale="60" workbookViewId="0">
      <selection activeCell="B89" sqref="B89:I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2" t="s">
        <v>171</v>
      </c>
      <c r="I1" s="21"/>
      <c r="J1" s="1"/>
      <c r="K1" s="1"/>
      <c r="L1" s="1"/>
      <c r="M1" s="1"/>
    </row>
    <row r="2" spans="1:13" ht="15.75" customHeight="1">
      <c r="A2" s="23" t="s">
        <v>59</v>
      </c>
      <c r="J2" s="2"/>
      <c r="K2" s="2"/>
      <c r="L2" s="2"/>
      <c r="M2" s="2"/>
    </row>
    <row r="3" spans="1:13" ht="15.75" customHeight="1">
      <c r="A3" s="204" t="s">
        <v>155</v>
      </c>
      <c r="B3" s="204"/>
      <c r="C3" s="204"/>
      <c r="D3" s="204"/>
      <c r="E3" s="204"/>
      <c r="F3" s="204"/>
      <c r="G3" s="204"/>
      <c r="H3" s="204"/>
      <c r="I3" s="204"/>
      <c r="J3" s="3"/>
      <c r="K3" s="3"/>
      <c r="L3" s="3"/>
    </row>
    <row r="4" spans="1:13" ht="31.5" customHeight="1">
      <c r="A4" s="205" t="s">
        <v>124</v>
      </c>
      <c r="B4" s="205"/>
      <c r="C4" s="205"/>
      <c r="D4" s="205"/>
      <c r="E4" s="205"/>
      <c r="F4" s="205"/>
      <c r="G4" s="205"/>
      <c r="H4" s="205"/>
      <c r="I4" s="205"/>
    </row>
    <row r="5" spans="1:13" ht="15.75">
      <c r="A5" s="204" t="s">
        <v>271</v>
      </c>
      <c r="B5" s="206"/>
      <c r="C5" s="206"/>
      <c r="D5" s="206"/>
      <c r="E5" s="206"/>
      <c r="F5" s="206"/>
      <c r="G5" s="206"/>
      <c r="H5" s="206"/>
      <c r="I5" s="206"/>
      <c r="J5" s="2"/>
      <c r="K5" s="2"/>
      <c r="L5" s="2"/>
      <c r="M5" s="2"/>
    </row>
    <row r="6" spans="1:13" ht="15.75">
      <c r="A6" s="2"/>
      <c r="B6" s="74"/>
      <c r="C6" s="74"/>
      <c r="D6" s="74"/>
      <c r="E6" s="74"/>
      <c r="F6" s="74"/>
      <c r="G6" s="74"/>
      <c r="H6" s="74"/>
      <c r="I6" s="25">
        <v>43799</v>
      </c>
      <c r="J6" s="2"/>
      <c r="K6" s="2"/>
      <c r="L6" s="2"/>
      <c r="M6" s="2"/>
    </row>
    <row r="7" spans="1:13" ht="15.75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7" t="s">
        <v>175</v>
      </c>
      <c r="B8" s="207"/>
      <c r="C8" s="207"/>
      <c r="D8" s="207"/>
      <c r="E8" s="207"/>
      <c r="F8" s="207"/>
      <c r="G8" s="207"/>
      <c r="H8" s="207"/>
      <c r="I8" s="207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08" t="s">
        <v>158</v>
      </c>
      <c r="B10" s="208"/>
      <c r="C10" s="208"/>
      <c r="D10" s="208"/>
      <c r="E10" s="208"/>
      <c r="F10" s="208"/>
      <c r="G10" s="208"/>
      <c r="H10" s="208"/>
      <c r="I10" s="208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9" t="s">
        <v>56</v>
      </c>
      <c r="B14" s="209"/>
      <c r="C14" s="209"/>
      <c r="D14" s="209"/>
      <c r="E14" s="209"/>
      <c r="F14" s="209"/>
      <c r="G14" s="209"/>
      <c r="H14" s="209"/>
      <c r="I14" s="209"/>
      <c r="J14" s="8"/>
      <c r="K14" s="8"/>
      <c r="L14" s="8"/>
      <c r="M14" s="8"/>
    </row>
    <row r="15" spans="1:13" ht="15.75" customHeight="1">
      <c r="A15" s="210" t="s">
        <v>4</v>
      </c>
      <c r="B15" s="210"/>
      <c r="C15" s="210"/>
      <c r="D15" s="210"/>
      <c r="E15" s="210"/>
      <c r="F15" s="210"/>
      <c r="G15" s="210"/>
      <c r="H15" s="210"/>
      <c r="I15" s="210"/>
      <c r="J15" s="8"/>
      <c r="K15" s="8"/>
      <c r="L15" s="8"/>
      <c r="M15" s="8"/>
    </row>
    <row r="16" spans="1:13" s="44" customFormat="1" ht="15.75" customHeight="1">
      <c r="A16" s="24">
        <v>1</v>
      </c>
      <c r="B16" s="85" t="s">
        <v>81</v>
      </c>
      <c r="C16" s="86" t="s">
        <v>90</v>
      </c>
      <c r="D16" s="85" t="s">
        <v>217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18" si="0">SUM(F16*G16/1000)</f>
        <v>34.100352000000008</v>
      </c>
      <c r="I16" s="12">
        <f>F16/12*G16</f>
        <v>2841.6960000000004</v>
      </c>
    </row>
    <row r="17" spans="1:10" s="44" customFormat="1" ht="15.75" customHeight="1">
      <c r="A17" s="24">
        <v>2</v>
      </c>
      <c r="B17" s="85" t="s">
        <v>88</v>
      </c>
      <c r="C17" s="86" t="s">
        <v>90</v>
      </c>
      <c r="D17" s="85" t="s">
        <v>218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  <c r="J17" s="45"/>
    </row>
    <row r="18" spans="1:10" s="44" customFormat="1" ht="15.75" customHeight="1">
      <c r="A18" s="24">
        <v>3</v>
      </c>
      <c r="B18" s="85" t="s">
        <v>89</v>
      </c>
      <c r="C18" s="86" t="s">
        <v>90</v>
      </c>
      <c r="D18" s="85" t="s">
        <v>219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  <c r="J18" s="45"/>
    </row>
    <row r="19" spans="1:10" s="44" customFormat="1" ht="15.75" hidden="1" customHeight="1">
      <c r="A19" s="24">
        <v>4</v>
      </c>
      <c r="B19" s="85" t="s">
        <v>91</v>
      </c>
      <c r="C19" s="86" t="s">
        <v>92</v>
      </c>
      <c r="D19" s="85" t="s">
        <v>93</v>
      </c>
      <c r="E19" s="87">
        <v>57.6</v>
      </c>
      <c r="F19" s="158">
        <f>SUM(E19/10)</f>
        <v>5.76</v>
      </c>
      <c r="G19" s="88">
        <v>223.17</v>
      </c>
      <c r="H19" s="89">
        <f t="shared" ref="H19:H24" si="2">SUM(F19*G19/1000)</f>
        <v>1.2854591999999998</v>
      </c>
      <c r="I19" s="12">
        <f>F19*G19</f>
        <v>1285.4591999999998</v>
      </c>
      <c r="J19" s="45"/>
    </row>
    <row r="20" spans="1:10" s="44" customFormat="1" ht="15.75" hidden="1" customHeight="1">
      <c r="A20" s="24">
        <v>5</v>
      </c>
      <c r="B20" s="85" t="s">
        <v>94</v>
      </c>
      <c r="C20" s="86" t="s">
        <v>90</v>
      </c>
      <c r="D20" s="85" t="s">
        <v>40</v>
      </c>
      <c r="E20" s="87">
        <v>43.2</v>
      </c>
      <c r="F20" s="158">
        <f>SUM(E20*2/100)</f>
        <v>0.8640000000000001</v>
      </c>
      <c r="G20" s="88">
        <v>285.76</v>
      </c>
      <c r="H20" s="89">
        <f t="shared" si="2"/>
        <v>0.24689664000000003</v>
      </c>
      <c r="I20" s="12">
        <f>F20/2*G20</f>
        <v>123.44832000000001</v>
      </c>
      <c r="J20" s="45"/>
    </row>
    <row r="21" spans="1:10" s="44" customFormat="1" ht="15.75" hidden="1" customHeight="1">
      <c r="A21" s="24">
        <v>6</v>
      </c>
      <c r="B21" s="85" t="s">
        <v>95</v>
      </c>
      <c r="C21" s="86" t="s">
        <v>90</v>
      </c>
      <c r="D21" s="85" t="s">
        <v>40</v>
      </c>
      <c r="E21" s="87">
        <v>10.08</v>
      </c>
      <c r="F21" s="158">
        <f>SUM(E21*2/100)</f>
        <v>0.2016</v>
      </c>
      <c r="G21" s="88">
        <v>283.44</v>
      </c>
      <c r="H21" s="89">
        <f t="shared" si="2"/>
        <v>5.7141503999999996E-2</v>
      </c>
      <c r="I21" s="12">
        <f>F21/2*G21</f>
        <v>28.570751999999999</v>
      </c>
      <c r="J21" s="45"/>
    </row>
    <row r="22" spans="1:10" s="44" customFormat="1" ht="15.75" hidden="1" customHeight="1">
      <c r="A22" s="24">
        <v>7</v>
      </c>
      <c r="B22" s="85" t="s">
        <v>96</v>
      </c>
      <c r="C22" s="86" t="s">
        <v>50</v>
      </c>
      <c r="D22" s="85" t="s">
        <v>93</v>
      </c>
      <c r="E22" s="87">
        <v>642.6</v>
      </c>
      <c r="F22" s="158">
        <f>SUM(E22/100)</f>
        <v>6.4260000000000002</v>
      </c>
      <c r="G22" s="88">
        <v>353.14</v>
      </c>
      <c r="H22" s="89">
        <f t="shared" si="2"/>
        <v>2.2692776399999999</v>
      </c>
      <c r="I22" s="12">
        <f>F22*G22</f>
        <v>2269.2776399999998</v>
      </c>
      <c r="J22" s="45"/>
    </row>
    <row r="23" spans="1:10" s="44" customFormat="1" ht="15.75" hidden="1" customHeight="1">
      <c r="A23" s="24">
        <v>8</v>
      </c>
      <c r="B23" s="85" t="s">
        <v>97</v>
      </c>
      <c r="C23" s="86" t="s">
        <v>50</v>
      </c>
      <c r="D23" s="85" t="s">
        <v>93</v>
      </c>
      <c r="E23" s="90">
        <v>35.28</v>
      </c>
      <c r="F23" s="158">
        <f>SUM(E23/100)</f>
        <v>0.3528</v>
      </c>
      <c r="G23" s="88">
        <v>58.08</v>
      </c>
      <c r="H23" s="89">
        <f t="shared" si="2"/>
        <v>2.0490623999999999E-2</v>
      </c>
      <c r="I23" s="12">
        <f>F23*G23</f>
        <v>20.490624</v>
      </c>
      <c r="J23" s="45"/>
    </row>
    <row r="24" spans="1:10" s="44" customFormat="1" ht="15.75" hidden="1" customHeight="1">
      <c r="A24" s="24">
        <v>9</v>
      </c>
      <c r="B24" s="85" t="s">
        <v>98</v>
      </c>
      <c r="C24" s="86" t="s">
        <v>50</v>
      </c>
      <c r="D24" s="85" t="s">
        <v>93</v>
      </c>
      <c r="E24" s="87">
        <v>28.8</v>
      </c>
      <c r="F24" s="158">
        <f>SUM(E24/100)</f>
        <v>0.28800000000000003</v>
      </c>
      <c r="G24" s="88">
        <v>683.05</v>
      </c>
      <c r="H24" s="89">
        <f t="shared" si="2"/>
        <v>0.19671840000000002</v>
      </c>
      <c r="I24" s="12">
        <f>F24*G24</f>
        <v>196.7184</v>
      </c>
      <c r="J24" s="45"/>
    </row>
    <row r="25" spans="1:10" s="44" customFormat="1" ht="15.75" customHeight="1">
      <c r="A25" s="24">
        <v>4</v>
      </c>
      <c r="B25" s="85" t="s">
        <v>216</v>
      </c>
      <c r="C25" s="86" t="s">
        <v>25</v>
      </c>
      <c r="D25" s="85" t="s">
        <v>220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  <c r="J25" s="45"/>
    </row>
    <row r="26" spans="1:10" s="44" customFormat="1" ht="15.75" hidden="1" customHeight="1">
      <c r="A26" s="24">
        <v>5</v>
      </c>
      <c r="B26" s="93" t="s">
        <v>23</v>
      </c>
      <c r="C26" s="86" t="s">
        <v>24</v>
      </c>
      <c r="D26" s="93" t="s">
        <v>129</v>
      </c>
      <c r="E26" s="87">
        <v>3931</v>
      </c>
      <c r="F26" s="88">
        <f>SUM(E26*12)</f>
        <v>47172</v>
      </c>
      <c r="G26" s="88">
        <v>3.64</v>
      </c>
      <c r="H26" s="89">
        <f>SUM(F26*G26/1000)</f>
        <v>171.70608000000001</v>
      </c>
      <c r="I26" s="12">
        <f>F26/12*G26</f>
        <v>14308.84</v>
      </c>
      <c r="J26" s="45"/>
    </row>
    <row r="27" spans="1:10" s="44" customFormat="1" ht="15.75" customHeight="1">
      <c r="A27" s="211" t="s">
        <v>153</v>
      </c>
      <c r="B27" s="212"/>
      <c r="C27" s="212"/>
      <c r="D27" s="212"/>
      <c r="E27" s="212"/>
      <c r="F27" s="212"/>
      <c r="G27" s="212"/>
      <c r="H27" s="212"/>
      <c r="I27" s="213"/>
      <c r="J27" s="45"/>
    </row>
    <row r="28" spans="1:10" s="44" customFormat="1" ht="15.75" hidden="1" customHeight="1">
      <c r="A28" s="24"/>
      <c r="B28" s="119" t="s">
        <v>28</v>
      </c>
      <c r="C28" s="86"/>
      <c r="D28" s="85"/>
      <c r="E28" s="87"/>
      <c r="F28" s="88"/>
      <c r="G28" s="88"/>
      <c r="H28" s="89"/>
      <c r="I28" s="12"/>
      <c r="J28" s="45"/>
    </row>
    <row r="29" spans="1:10" s="44" customFormat="1" ht="15.75" hidden="1" customHeight="1">
      <c r="A29" s="24">
        <v>6</v>
      </c>
      <c r="B29" s="85" t="s">
        <v>99</v>
      </c>
      <c r="C29" s="86" t="s">
        <v>100</v>
      </c>
      <c r="D29" s="85" t="s">
        <v>101</v>
      </c>
      <c r="E29" s="88">
        <v>271.95</v>
      </c>
      <c r="F29" s="88">
        <f>SUM(E29*52/1000)</f>
        <v>14.141399999999999</v>
      </c>
      <c r="G29" s="88">
        <v>204.44</v>
      </c>
      <c r="H29" s="89">
        <f t="shared" ref="H29:H35" si="3">SUM(F29*G29/1000)</f>
        <v>2.8910678159999996</v>
      </c>
      <c r="I29" s="12">
        <f>F29/6*G29</f>
        <v>481.84463599999998</v>
      </c>
      <c r="J29" s="45"/>
    </row>
    <row r="30" spans="1:10" s="44" customFormat="1" ht="15.75" hidden="1" customHeight="1">
      <c r="A30" s="24">
        <v>7</v>
      </c>
      <c r="B30" s="85" t="s">
        <v>134</v>
      </c>
      <c r="C30" s="86" t="s">
        <v>100</v>
      </c>
      <c r="D30" s="85" t="s">
        <v>144</v>
      </c>
      <c r="E30" s="88">
        <v>83.7</v>
      </c>
      <c r="F30" s="88">
        <f>SUM(E30*52/1000)</f>
        <v>4.3524000000000003</v>
      </c>
      <c r="G30" s="88">
        <v>339.21</v>
      </c>
      <c r="H30" s="89">
        <f t="shared" si="3"/>
        <v>1.4763776040000001</v>
      </c>
      <c r="I30" s="12">
        <f t="shared" ref="I30:I40" si="4">F30/6*G30</f>
        <v>246.06293400000001</v>
      </c>
      <c r="J30" s="45"/>
    </row>
    <row r="31" spans="1:10" s="44" customFormat="1" ht="15.75" hidden="1" customHeight="1">
      <c r="A31" s="24">
        <v>5</v>
      </c>
      <c r="B31" s="85" t="s">
        <v>27</v>
      </c>
      <c r="C31" s="86" t="s">
        <v>100</v>
      </c>
      <c r="D31" s="85" t="s">
        <v>51</v>
      </c>
      <c r="E31" s="88">
        <v>271.95</v>
      </c>
      <c r="F31" s="88">
        <f>SUM(E31/1000)</f>
        <v>0.27194999999999997</v>
      </c>
      <c r="G31" s="88">
        <v>3961.23</v>
      </c>
      <c r="H31" s="89">
        <f t="shared" si="3"/>
        <v>1.0772564984999999</v>
      </c>
      <c r="I31" s="12">
        <v>0</v>
      </c>
      <c r="J31" s="45"/>
    </row>
    <row r="32" spans="1:10" s="44" customFormat="1" ht="15.75" hidden="1" customHeight="1">
      <c r="A32" s="24">
        <v>8</v>
      </c>
      <c r="B32" s="85" t="s">
        <v>102</v>
      </c>
      <c r="C32" s="86" t="s">
        <v>38</v>
      </c>
      <c r="D32" s="85" t="s">
        <v>145</v>
      </c>
      <c r="E32" s="88">
        <v>6</v>
      </c>
      <c r="F32" s="88">
        <f>SUM(E32*48/100)</f>
        <v>2.88</v>
      </c>
      <c r="G32" s="88">
        <v>1707.63</v>
      </c>
      <c r="H32" s="89">
        <f>G32*F32/1000</f>
        <v>4.9179744000000003</v>
      </c>
      <c r="I32" s="12">
        <f t="shared" si="4"/>
        <v>819.66240000000005</v>
      </c>
      <c r="J32" s="45"/>
    </row>
    <row r="33" spans="1:14" s="44" customFormat="1" ht="15.75" hidden="1" customHeight="1">
      <c r="A33" s="24">
        <v>9</v>
      </c>
      <c r="B33" s="85" t="s">
        <v>103</v>
      </c>
      <c r="C33" s="86" t="s">
        <v>30</v>
      </c>
      <c r="D33" s="85" t="s">
        <v>60</v>
      </c>
      <c r="E33" s="91">
        <f>1/3</f>
        <v>0.33333333333333331</v>
      </c>
      <c r="F33" s="88">
        <f>155/3</f>
        <v>51.666666666666664</v>
      </c>
      <c r="G33" s="88">
        <v>74.349999999999994</v>
      </c>
      <c r="H33" s="89">
        <f>SUM(G33*155/3/1000)</f>
        <v>3.8414166666666665</v>
      </c>
      <c r="I33" s="12">
        <f t="shared" si="4"/>
        <v>640.23611111111109</v>
      </c>
      <c r="J33" s="45"/>
    </row>
    <row r="34" spans="1:14" s="44" customFormat="1" ht="15.75" hidden="1" customHeight="1">
      <c r="A34" s="24">
        <v>6</v>
      </c>
      <c r="B34" s="85" t="s">
        <v>61</v>
      </c>
      <c r="C34" s="86" t="s">
        <v>32</v>
      </c>
      <c r="D34" s="85" t="s">
        <v>63</v>
      </c>
      <c r="E34" s="87"/>
      <c r="F34" s="88">
        <v>2</v>
      </c>
      <c r="G34" s="88">
        <v>250.92</v>
      </c>
      <c r="H34" s="89">
        <f t="shared" si="3"/>
        <v>0.50183999999999995</v>
      </c>
      <c r="I34" s="12">
        <v>0</v>
      </c>
      <c r="J34" s="45"/>
    </row>
    <row r="35" spans="1:14" s="44" customFormat="1" ht="15.75" hidden="1" customHeight="1">
      <c r="A35" s="24">
        <v>7</v>
      </c>
      <c r="B35" s="85" t="s">
        <v>62</v>
      </c>
      <c r="C35" s="86" t="s">
        <v>31</v>
      </c>
      <c r="D35" s="85" t="s">
        <v>63</v>
      </c>
      <c r="E35" s="87"/>
      <c r="F35" s="88">
        <v>1</v>
      </c>
      <c r="G35" s="88">
        <v>1490.33</v>
      </c>
      <c r="H35" s="89">
        <f t="shared" si="3"/>
        <v>1.4903299999999999</v>
      </c>
      <c r="I35" s="12">
        <v>0</v>
      </c>
      <c r="J35" s="45"/>
    </row>
    <row r="36" spans="1:14" s="44" customFormat="1" ht="15.75" customHeight="1">
      <c r="A36" s="24"/>
      <c r="B36" s="118" t="s">
        <v>5</v>
      </c>
      <c r="C36" s="86"/>
      <c r="D36" s="85"/>
      <c r="E36" s="87"/>
      <c r="F36" s="88"/>
      <c r="G36" s="88"/>
      <c r="H36" s="89" t="s">
        <v>129</v>
      </c>
      <c r="I36" s="12"/>
      <c r="J36" s="45"/>
    </row>
    <row r="37" spans="1:14" s="44" customFormat="1" ht="15.75" customHeight="1">
      <c r="A37" s="24">
        <v>5</v>
      </c>
      <c r="B37" s="94" t="s">
        <v>26</v>
      </c>
      <c r="C37" s="86" t="s">
        <v>31</v>
      </c>
      <c r="D37" s="85"/>
      <c r="E37" s="87"/>
      <c r="F37" s="88">
        <v>5</v>
      </c>
      <c r="G37" s="88">
        <v>2003</v>
      </c>
      <c r="H37" s="89">
        <f t="shared" ref="H37:H42" si="5">SUM(F37*G37/1000)</f>
        <v>10.015000000000001</v>
      </c>
      <c r="I37" s="12">
        <f>G37*0.5</f>
        <v>1001.5</v>
      </c>
      <c r="J37" s="45"/>
    </row>
    <row r="38" spans="1:14" s="44" customFormat="1" ht="15.75" customHeight="1">
      <c r="A38" s="24">
        <v>6</v>
      </c>
      <c r="B38" s="94" t="s">
        <v>146</v>
      </c>
      <c r="C38" s="95" t="s">
        <v>29</v>
      </c>
      <c r="D38" s="85" t="s">
        <v>221</v>
      </c>
      <c r="E38" s="87">
        <v>83.7</v>
      </c>
      <c r="F38" s="96">
        <f>E38*30/1000</f>
        <v>2.5110000000000001</v>
      </c>
      <c r="G38" s="88">
        <v>2757.78</v>
      </c>
      <c r="H38" s="89">
        <f t="shared" si="5"/>
        <v>6.9247855800000009</v>
      </c>
      <c r="I38" s="12">
        <f t="shared" si="4"/>
        <v>1154.1309300000003</v>
      </c>
      <c r="J38" s="45"/>
    </row>
    <row r="39" spans="1:14" s="44" customFormat="1" ht="15.75" customHeight="1">
      <c r="A39" s="24">
        <v>7</v>
      </c>
      <c r="B39" s="85" t="s">
        <v>64</v>
      </c>
      <c r="C39" s="86" t="s">
        <v>29</v>
      </c>
      <c r="D39" s="85" t="s">
        <v>222</v>
      </c>
      <c r="E39" s="88">
        <v>83.7</v>
      </c>
      <c r="F39" s="96">
        <f>SUM(E39*155/1000)</f>
        <v>12.9735</v>
      </c>
      <c r="G39" s="88">
        <v>460.02</v>
      </c>
      <c r="H39" s="89">
        <f t="shared" si="5"/>
        <v>5.9680694699999997</v>
      </c>
      <c r="I39" s="12">
        <f t="shared" si="4"/>
        <v>994.67824499999983</v>
      </c>
      <c r="J39" s="45"/>
    </row>
    <row r="40" spans="1:14" s="44" customFormat="1" ht="47.25" customHeight="1">
      <c r="A40" s="24">
        <v>8</v>
      </c>
      <c r="B40" s="85" t="s">
        <v>79</v>
      </c>
      <c r="C40" s="86" t="s">
        <v>100</v>
      </c>
      <c r="D40" s="85" t="s">
        <v>221</v>
      </c>
      <c r="E40" s="88">
        <v>83.7</v>
      </c>
      <c r="F40" s="96">
        <f>SUM(E40*30/1000)</f>
        <v>2.5110000000000001</v>
      </c>
      <c r="G40" s="88">
        <v>7611.16</v>
      </c>
      <c r="H40" s="89">
        <f t="shared" si="5"/>
        <v>19.111622760000003</v>
      </c>
      <c r="I40" s="12">
        <f t="shared" si="4"/>
        <v>3185.2704600000002</v>
      </c>
      <c r="J40" s="45"/>
    </row>
    <row r="41" spans="1:14" s="44" customFormat="1" ht="15.75" customHeight="1">
      <c r="A41" s="24">
        <v>9</v>
      </c>
      <c r="B41" s="85" t="s">
        <v>107</v>
      </c>
      <c r="C41" s="86" t="s">
        <v>100</v>
      </c>
      <c r="D41" s="85" t="s">
        <v>223</v>
      </c>
      <c r="E41" s="88">
        <v>83.7</v>
      </c>
      <c r="F41" s="96">
        <f>SUM(E41*24/1000)</f>
        <v>2.0088000000000004</v>
      </c>
      <c r="G41" s="88">
        <v>562.25</v>
      </c>
      <c r="H41" s="89">
        <f t="shared" si="5"/>
        <v>1.1294478000000001</v>
      </c>
      <c r="I41" s="12">
        <f>F41/7.5*G41</f>
        <v>150.59304</v>
      </c>
      <c r="J41" s="45"/>
    </row>
    <row r="42" spans="1:14" s="44" customFormat="1" ht="15.75" customHeight="1">
      <c r="A42" s="24">
        <v>10</v>
      </c>
      <c r="B42" s="94" t="s">
        <v>65</v>
      </c>
      <c r="C42" s="95" t="s">
        <v>32</v>
      </c>
      <c r="D42" s="94"/>
      <c r="E42" s="92"/>
      <c r="F42" s="96">
        <v>0.9</v>
      </c>
      <c r="G42" s="96">
        <v>974.83</v>
      </c>
      <c r="H42" s="89">
        <f t="shared" si="5"/>
        <v>0.8773470000000001</v>
      </c>
      <c r="I42" s="12">
        <f>F42/7.5*G42</f>
        <v>116.97960000000002</v>
      </c>
      <c r="J42" s="45"/>
    </row>
    <row r="43" spans="1:14" s="44" customFormat="1" ht="15.75" hidden="1" customHeight="1">
      <c r="A43" s="211" t="s">
        <v>135</v>
      </c>
      <c r="B43" s="212"/>
      <c r="C43" s="212"/>
      <c r="D43" s="212"/>
      <c r="E43" s="212"/>
      <c r="F43" s="212"/>
      <c r="G43" s="212"/>
      <c r="H43" s="212"/>
      <c r="I43" s="213"/>
      <c r="J43" s="45"/>
    </row>
    <row r="44" spans="1:14" s="44" customFormat="1" ht="15.75" hidden="1" customHeight="1">
      <c r="A44" s="24">
        <v>8</v>
      </c>
      <c r="B44" s="85" t="s">
        <v>108</v>
      </c>
      <c r="C44" s="86" t="s">
        <v>100</v>
      </c>
      <c r="D44" s="85" t="s">
        <v>40</v>
      </c>
      <c r="E44" s="87">
        <v>1032.5</v>
      </c>
      <c r="F44" s="88">
        <f>SUM(E44*2/1000)</f>
        <v>2.0649999999999999</v>
      </c>
      <c r="G44" s="29">
        <v>1114.1300000000001</v>
      </c>
      <c r="H44" s="89">
        <f t="shared" ref="H44:H53" si="6">SUM(F44*G44/1000)</f>
        <v>2.3006784500000004</v>
      </c>
      <c r="I44" s="12">
        <f>F44/2*G44</f>
        <v>1150.3392250000002</v>
      </c>
      <c r="J44" s="45"/>
    </row>
    <row r="45" spans="1:14" s="44" customFormat="1" ht="15.75" hidden="1" customHeight="1">
      <c r="A45" s="24"/>
      <c r="B45" s="85" t="s">
        <v>33</v>
      </c>
      <c r="C45" s="86" t="s">
        <v>100</v>
      </c>
      <c r="D45" s="85" t="s">
        <v>40</v>
      </c>
      <c r="E45" s="87">
        <v>132</v>
      </c>
      <c r="F45" s="88">
        <f>E45*2/1000</f>
        <v>0.26400000000000001</v>
      </c>
      <c r="G45" s="29">
        <v>4419.05</v>
      </c>
      <c r="H45" s="89">
        <f t="shared" si="6"/>
        <v>1.1666292</v>
      </c>
      <c r="I45" s="12">
        <f t="shared" ref="I45:I51" si="7">F45/2*G45</f>
        <v>583.31460000000004</v>
      </c>
      <c r="J45" s="45"/>
      <c r="L45" s="17"/>
      <c r="M45" s="18"/>
      <c r="N45" s="26"/>
    </row>
    <row r="46" spans="1:14" s="44" customFormat="1" ht="15.75" hidden="1" customHeight="1">
      <c r="A46" s="24">
        <v>9</v>
      </c>
      <c r="B46" s="85" t="s">
        <v>34</v>
      </c>
      <c r="C46" s="86" t="s">
        <v>100</v>
      </c>
      <c r="D46" s="85" t="s">
        <v>40</v>
      </c>
      <c r="E46" s="87">
        <v>4248.22</v>
      </c>
      <c r="F46" s="88">
        <f>SUM(E46*2/1000)</f>
        <v>8.4964399999999998</v>
      </c>
      <c r="G46" s="29">
        <v>1803.69</v>
      </c>
      <c r="H46" s="89">
        <f t="shared" si="6"/>
        <v>15.3249438636</v>
      </c>
      <c r="I46" s="12">
        <f t="shared" si="7"/>
        <v>7662.4719317999998</v>
      </c>
      <c r="J46" s="45"/>
      <c r="L46" s="17"/>
      <c r="M46" s="18"/>
      <c r="N46" s="26"/>
    </row>
    <row r="47" spans="1:14" s="44" customFormat="1" ht="15.75" hidden="1" customHeight="1">
      <c r="A47" s="24">
        <v>10</v>
      </c>
      <c r="B47" s="85" t="s">
        <v>35</v>
      </c>
      <c r="C47" s="86" t="s">
        <v>100</v>
      </c>
      <c r="D47" s="85" t="s">
        <v>40</v>
      </c>
      <c r="E47" s="87">
        <v>2163.66</v>
      </c>
      <c r="F47" s="88">
        <f>SUM(E47*2/1000)</f>
        <v>4.3273199999999994</v>
      </c>
      <c r="G47" s="29">
        <v>1243.43</v>
      </c>
      <c r="H47" s="89">
        <f t="shared" si="6"/>
        <v>5.3807195075999994</v>
      </c>
      <c r="I47" s="12">
        <f t="shared" si="7"/>
        <v>2690.3597537999999</v>
      </c>
      <c r="J47" s="45"/>
      <c r="L47" s="17"/>
      <c r="M47" s="18"/>
      <c r="N47" s="26"/>
    </row>
    <row r="48" spans="1:14" s="44" customFormat="1" ht="15.75" hidden="1" customHeight="1">
      <c r="A48" s="24">
        <v>11</v>
      </c>
      <c r="B48" s="85" t="s">
        <v>53</v>
      </c>
      <c r="C48" s="86" t="s">
        <v>100</v>
      </c>
      <c r="D48" s="85" t="s">
        <v>142</v>
      </c>
      <c r="E48" s="87">
        <v>3931</v>
      </c>
      <c r="F48" s="88">
        <f>SUM(E48*5/1000)</f>
        <v>19.655000000000001</v>
      </c>
      <c r="G48" s="29">
        <v>1083.69</v>
      </c>
      <c r="H48" s="89">
        <f t="shared" si="6"/>
        <v>21.29992695</v>
      </c>
      <c r="I48" s="12">
        <f>F48/5*G48</f>
        <v>4259.9853899999998</v>
      </c>
      <c r="J48" s="45"/>
      <c r="L48" s="17"/>
      <c r="M48" s="18"/>
      <c r="N48" s="26"/>
    </row>
    <row r="49" spans="1:14" s="44" customFormat="1" ht="31.5" hidden="1" customHeight="1">
      <c r="A49" s="24">
        <v>12</v>
      </c>
      <c r="B49" s="85" t="s">
        <v>109</v>
      </c>
      <c r="C49" s="86" t="s">
        <v>100</v>
      </c>
      <c r="D49" s="85" t="s">
        <v>40</v>
      </c>
      <c r="E49" s="87">
        <v>3931</v>
      </c>
      <c r="F49" s="88">
        <f>SUM(E49*2/1000)</f>
        <v>7.8620000000000001</v>
      </c>
      <c r="G49" s="29">
        <v>1591.6</v>
      </c>
      <c r="H49" s="89">
        <f t="shared" si="6"/>
        <v>12.5131592</v>
      </c>
      <c r="I49" s="12">
        <f t="shared" si="7"/>
        <v>6256.5796</v>
      </c>
      <c r="J49" s="45"/>
      <c r="L49" s="17"/>
      <c r="M49" s="18"/>
      <c r="N49" s="26"/>
    </row>
    <row r="50" spans="1:14" s="44" customFormat="1" ht="31.5" hidden="1" customHeight="1">
      <c r="A50" s="24">
        <v>12</v>
      </c>
      <c r="B50" s="85" t="s">
        <v>110</v>
      </c>
      <c r="C50" s="86" t="s">
        <v>36</v>
      </c>
      <c r="D50" s="85" t="s">
        <v>40</v>
      </c>
      <c r="E50" s="87">
        <v>30</v>
      </c>
      <c r="F50" s="88">
        <f>SUM(E50*2/100)</f>
        <v>0.6</v>
      </c>
      <c r="G50" s="29">
        <v>4058.32</v>
      </c>
      <c r="H50" s="89">
        <f t="shared" si="6"/>
        <v>2.4349920000000003</v>
      </c>
      <c r="I50" s="12">
        <f t="shared" si="7"/>
        <v>1217.4960000000001</v>
      </c>
      <c r="J50" s="45"/>
      <c r="L50" s="17"/>
      <c r="M50" s="18"/>
      <c r="N50" s="26"/>
    </row>
    <row r="51" spans="1:14" s="44" customFormat="1" ht="15.75" hidden="1" customHeight="1">
      <c r="A51" s="24">
        <v>13</v>
      </c>
      <c r="B51" s="85" t="s">
        <v>37</v>
      </c>
      <c r="C51" s="86" t="s">
        <v>38</v>
      </c>
      <c r="D51" s="85" t="s">
        <v>40</v>
      </c>
      <c r="E51" s="87">
        <v>1</v>
      </c>
      <c r="F51" s="88">
        <v>0.02</v>
      </c>
      <c r="G51" s="29">
        <v>7412.92</v>
      </c>
      <c r="H51" s="89">
        <f t="shared" si="6"/>
        <v>0.14825839999999998</v>
      </c>
      <c r="I51" s="12">
        <f t="shared" si="7"/>
        <v>74.129199999999997</v>
      </c>
      <c r="J51" s="45"/>
      <c r="L51" s="17"/>
      <c r="M51" s="18"/>
      <c r="N51" s="26"/>
    </row>
    <row r="52" spans="1:14" s="44" customFormat="1" ht="15.75" hidden="1" customHeight="1">
      <c r="A52" s="24">
        <v>14</v>
      </c>
      <c r="B52" s="85" t="s">
        <v>111</v>
      </c>
      <c r="C52" s="86" t="s">
        <v>86</v>
      </c>
      <c r="D52" s="85" t="s">
        <v>66</v>
      </c>
      <c r="E52" s="87">
        <v>90</v>
      </c>
      <c r="F52" s="88">
        <f>E52*3</f>
        <v>270</v>
      </c>
      <c r="G52" s="29">
        <v>185.08</v>
      </c>
      <c r="H52" s="89">
        <f t="shared" si="6"/>
        <v>49.971600000000009</v>
      </c>
      <c r="I52" s="12">
        <f>F52/3*G52</f>
        <v>16657.2</v>
      </c>
      <c r="J52" s="45"/>
      <c r="L52" s="17"/>
      <c r="M52" s="18"/>
      <c r="N52" s="26"/>
    </row>
    <row r="53" spans="1:14" s="44" customFormat="1" ht="15.75" hidden="1" customHeight="1">
      <c r="A53" s="24">
        <v>15</v>
      </c>
      <c r="B53" s="85" t="s">
        <v>39</v>
      </c>
      <c r="C53" s="86" t="s">
        <v>86</v>
      </c>
      <c r="D53" s="85" t="s">
        <v>66</v>
      </c>
      <c r="E53" s="87">
        <v>180</v>
      </c>
      <c r="F53" s="88">
        <f>SUM(E53)*3</f>
        <v>540</v>
      </c>
      <c r="G53" s="97">
        <v>86.15</v>
      </c>
      <c r="H53" s="89">
        <f t="shared" si="6"/>
        <v>46.521000000000001</v>
      </c>
      <c r="I53" s="12">
        <f>F53/3*G53</f>
        <v>15507.000000000002</v>
      </c>
      <c r="J53" s="45"/>
      <c r="L53" s="17"/>
      <c r="M53" s="18"/>
      <c r="N53" s="26"/>
    </row>
    <row r="54" spans="1:14" s="44" customFormat="1" ht="15.75" customHeight="1">
      <c r="A54" s="211" t="s">
        <v>139</v>
      </c>
      <c r="B54" s="212"/>
      <c r="C54" s="212"/>
      <c r="D54" s="212"/>
      <c r="E54" s="212"/>
      <c r="F54" s="212"/>
      <c r="G54" s="212"/>
      <c r="H54" s="212"/>
      <c r="I54" s="213"/>
      <c r="J54" s="45"/>
      <c r="L54" s="17"/>
      <c r="M54" s="18"/>
      <c r="N54" s="26"/>
    </row>
    <row r="55" spans="1:14" s="44" customFormat="1" ht="15.75" customHeight="1">
      <c r="A55" s="24"/>
      <c r="B55" s="119" t="s">
        <v>41</v>
      </c>
      <c r="C55" s="86"/>
      <c r="D55" s="85"/>
      <c r="E55" s="87"/>
      <c r="F55" s="88"/>
      <c r="G55" s="88"/>
      <c r="H55" s="89"/>
      <c r="I55" s="12"/>
      <c r="J55" s="45"/>
      <c r="L55" s="17"/>
      <c r="M55" s="18"/>
      <c r="N55" s="26"/>
    </row>
    <row r="56" spans="1:14" s="44" customFormat="1" ht="31.5" hidden="1" customHeight="1">
      <c r="A56" s="24">
        <v>12</v>
      </c>
      <c r="B56" s="85" t="s">
        <v>125</v>
      </c>
      <c r="C56" s="86" t="s">
        <v>90</v>
      </c>
      <c r="D56" s="85" t="s">
        <v>112</v>
      </c>
      <c r="E56" s="87">
        <v>30.6</v>
      </c>
      <c r="F56" s="88">
        <f>SUM(E56*6/100)</f>
        <v>1.8360000000000003</v>
      </c>
      <c r="G56" s="29">
        <v>2029.3</v>
      </c>
      <c r="H56" s="89">
        <f>SUM(F56*G56/1000)</f>
        <v>3.7257948000000005</v>
      </c>
      <c r="I56" s="12">
        <f>F56/6*G56</f>
        <v>620.96580000000006</v>
      </c>
      <c r="J56" s="45"/>
      <c r="L56" s="17"/>
      <c r="M56" s="18"/>
      <c r="N56" s="26"/>
    </row>
    <row r="57" spans="1:14" s="44" customFormat="1" ht="31.5" hidden="1" customHeight="1">
      <c r="A57" s="24">
        <v>11</v>
      </c>
      <c r="B57" s="85" t="s">
        <v>84</v>
      </c>
      <c r="C57" s="86" t="s">
        <v>90</v>
      </c>
      <c r="D57" s="85" t="s">
        <v>85</v>
      </c>
      <c r="E57" s="87">
        <v>39.69</v>
      </c>
      <c r="F57" s="88">
        <f>SUM(E57*12/100)</f>
        <v>4.7627999999999995</v>
      </c>
      <c r="G57" s="29">
        <v>2029.3</v>
      </c>
      <c r="H57" s="89">
        <f>SUM(F57*G57/1000)</f>
        <v>9.6651500399999986</v>
      </c>
      <c r="I57" s="12">
        <f t="shared" ref="I57:I59" si="8">F57/6*G57</f>
        <v>1610.8583399999998</v>
      </c>
      <c r="J57" s="45"/>
      <c r="L57" s="17"/>
      <c r="M57" s="18"/>
      <c r="N57" s="26"/>
    </row>
    <row r="58" spans="1:14" s="44" customFormat="1" ht="15.75" hidden="1" customHeight="1">
      <c r="A58" s="24">
        <v>20</v>
      </c>
      <c r="B58" s="98" t="s">
        <v>113</v>
      </c>
      <c r="C58" s="99" t="s">
        <v>114</v>
      </c>
      <c r="D58" s="98" t="s">
        <v>40</v>
      </c>
      <c r="E58" s="100">
        <v>8</v>
      </c>
      <c r="F58" s="101">
        <v>16</v>
      </c>
      <c r="G58" s="29">
        <v>237.1</v>
      </c>
      <c r="H58" s="89">
        <f>SUM(F58*G58/1000)</f>
        <v>3.7936000000000001</v>
      </c>
      <c r="I58" s="12">
        <v>0</v>
      </c>
      <c r="J58" s="45"/>
      <c r="L58" s="17"/>
      <c r="M58" s="18"/>
      <c r="N58" s="26"/>
    </row>
    <row r="59" spans="1:14" s="44" customFormat="1" ht="15.75" customHeight="1">
      <c r="A59" s="24">
        <v>11</v>
      </c>
      <c r="B59" s="85" t="s">
        <v>115</v>
      </c>
      <c r="C59" s="86" t="s">
        <v>90</v>
      </c>
      <c r="D59" s="85" t="s">
        <v>224</v>
      </c>
      <c r="E59" s="87">
        <v>41.73</v>
      </c>
      <c r="F59" s="88">
        <f>SUM(E59*6/100)</f>
        <v>2.5038</v>
      </c>
      <c r="G59" s="29">
        <v>2029.3</v>
      </c>
      <c r="H59" s="89">
        <f>SUM(F59*G59/1000)</f>
        <v>5.08096134</v>
      </c>
      <c r="I59" s="12">
        <f t="shared" si="8"/>
        <v>846.82688999999993</v>
      </c>
      <c r="J59" s="45"/>
      <c r="L59" s="17"/>
      <c r="M59" s="18"/>
      <c r="N59" s="26"/>
    </row>
    <row r="60" spans="1:14" s="44" customFormat="1" ht="15.75" hidden="1" customHeight="1">
      <c r="A60" s="24"/>
      <c r="B60" s="98" t="s">
        <v>133</v>
      </c>
      <c r="C60" s="99" t="s">
        <v>31</v>
      </c>
      <c r="D60" s="98" t="s">
        <v>63</v>
      </c>
      <c r="E60" s="100"/>
      <c r="F60" s="101">
        <v>4</v>
      </c>
      <c r="G60" s="29">
        <v>1582.05</v>
      </c>
      <c r="H60" s="89">
        <f>SUM(F60*G60/1000)</f>
        <v>6.3281999999999998</v>
      </c>
      <c r="I60" s="12">
        <v>0</v>
      </c>
      <c r="J60" s="45"/>
      <c r="L60" s="17"/>
      <c r="M60" s="18"/>
      <c r="N60" s="26"/>
    </row>
    <row r="61" spans="1:14" s="44" customFormat="1" ht="15.75" customHeight="1">
      <c r="A61" s="24"/>
      <c r="B61" s="120" t="s">
        <v>42</v>
      </c>
      <c r="C61" s="99"/>
      <c r="D61" s="98"/>
      <c r="E61" s="100"/>
      <c r="F61" s="101"/>
      <c r="G61" s="29"/>
      <c r="H61" s="102"/>
      <c r="I61" s="12"/>
      <c r="J61" s="45"/>
      <c r="L61" s="17"/>
      <c r="M61" s="18"/>
      <c r="N61" s="26"/>
    </row>
    <row r="62" spans="1:14" s="44" customFormat="1" ht="15.75" hidden="1" customHeight="1">
      <c r="A62" s="24">
        <v>14</v>
      </c>
      <c r="B62" s="98" t="s">
        <v>130</v>
      </c>
      <c r="C62" s="99" t="s">
        <v>50</v>
      </c>
      <c r="D62" s="98" t="s">
        <v>51</v>
      </c>
      <c r="E62" s="100">
        <v>508.73</v>
      </c>
      <c r="F62" s="103">
        <f>SUM(E62/100)</f>
        <v>5.0872999999999999</v>
      </c>
      <c r="G62" s="29">
        <v>1040.8399999999999</v>
      </c>
      <c r="H62" s="102">
        <f>F62*G62/1000</f>
        <v>5.2950653319999992</v>
      </c>
      <c r="I62" s="12">
        <v>0</v>
      </c>
      <c r="J62" s="45"/>
      <c r="L62" s="17"/>
      <c r="M62" s="18"/>
      <c r="N62" s="26"/>
    </row>
    <row r="63" spans="1:14" s="44" customFormat="1" ht="15.75" customHeight="1">
      <c r="A63" s="24">
        <v>12</v>
      </c>
      <c r="B63" s="98" t="s">
        <v>87</v>
      </c>
      <c r="C63" s="99" t="s">
        <v>25</v>
      </c>
      <c r="D63" s="98" t="s">
        <v>225</v>
      </c>
      <c r="E63" s="181">
        <v>203.5</v>
      </c>
      <c r="F63" s="29">
        <v>2400</v>
      </c>
      <c r="G63" s="104">
        <v>1.4</v>
      </c>
      <c r="H63" s="101">
        <f>F63*G63/1000</f>
        <v>3.36</v>
      </c>
      <c r="I63" s="12">
        <f>F63/12*G63</f>
        <v>280</v>
      </c>
      <c r="J63" s="45"/>
      <c r="L63" s="17"/>
    </row>
    <row r="64" spans="1:14" s="44" customFormat="1" ht="15.75" hidden="1" customHeight="1">
      <c r="A64" s="24"/>
      <c r="B64" s="121" t="s">
        <v>43</v>
      </c>
      <c r="C64" s="99"/>
      <c r="D64" s="98"/>
      <c r="E64" s="100"/>
      <c r="F64" s="182"/>
      <c r="G64" s="103"/>
      <c r="H64" s="101" t="s">
        <v>129</v>
      </c>
      <c r="I64" s="12"/>
      <c r="J64" s="45"/>
      <c r="L64" s="17"/>
    </row>
    <row r="65" spans="1:22" s="44" customFormat="1" ht="15.75" hidden="1" customHeight="1">
      <c r="A65" s="24"/>
      <c r="B65" s="105" t="s">
        <v>44</v>
      </c>
      <c r="C65" s="106" t="s">
        <v>86</v>
      </c>
      <c r="D65" s="30" t="s">
        <v>154</v>
      </c>
      <c r="E65" s="15">
        <v>10</v>
      </c>
      <c r="F65" s="88">
        <f>E65</f>
        <v>10</v>
      </c>
      <c r="G65" s="29">
        <v>291.68</v>
      </c>
      <c r="H65" s="75">
        <f t="shared" ref="H65:H81" si="9">SUM(F65*G65/1000)</f>
        <v>2.9168000000000003</v>
      </c>
      <c r="I65" s="12">
        <v>0</v>
      </c>
    </row>
    <row r="66" spans="1:22" s="44" customFormat="1" ht="15.75" hidden="1" customHeight="1">
      <c r="A66" s="61"/>
      <c r="B66" s="105" t="s">
        <v>45</v>
      </c>
      <c r="C66" s="106" t="s">
        <v>86</v>
      </c>
      <c r="D66" s="30" t="s">
        <v>154</v>
      </c>
      <c r="E66" s="15">
        <v>10</v>
      </c>
      <c r="F66" s="88">
        <f>E66</f>
        <v>10</v>
      </c>
      <c r="G66" s="29">
        <v>100.01</v>
      </c>
      <c r="H66" s="75">
        <f t="shared" si="9"/>
        <v>1.0001</v>
      </c>
      <c r="I66" s="12">
        <v>0</v>
      </c>
    </row>
    <row r="67" spans="1:22" s="44" customFormat="1" ht="15.75" hidden="1" customHeight="1">
      <c r="A67" s="24">
        <v>22</v>
      </c>
      <c r="B67" s="105" t="s">
        <v>46</v>
      </c>
      <c r="C67" s="107" t="s">
        <v>116</v>
      </c>
      <c r="D67" s="30" t="s">
        <v>51</v>
      </c>
      <c r="E67" s="87">
        <v>14347</v>
      </c>
      <c r="F67" s="97">
        <f>SUM(E67/100)</f>
        <v>143.47</v>
      </c>
      <c r="G67" s="29">
        <v>278.24</v>
      </c>
      <c r="H67" s="75">
        <f t="shared" si="9"/>
        <v>39.919092800000001</v>
      </c>
      <c r="I67" s="12">
        <v>0</v>
      </c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2"/>
    </row>
    <row r="68" spans="1:22" s="44" customFormat="1" ht="15.75" hidden="1" customHeight="1">
      <c r="A68" s="62"/>
      <c r="B68" s="105" t="s">
        <v>47</v>
      </c>
      <c r="C68" s="106" t="s">
        <v>117</v>
      </c>
      <c r="D68" s="30"/>
      <c r="E68" s="87">
        <v>14347</v>
      </c>
      <c r="F68" s="29">
        <f>SUM(E68/1000)</f>
        <v>14.347</v>
      </c>
      <c r="G68" s="29">
        <v>216.68</v>
      </c>
      <c r="H68" s="75">
        <f t="shared" si="9"/>
        <v>3.1087079600000003</v>
      </c>
      <c r="I68" s="12">
        <v>0</v>
      </c>
      <c r="J68" s="53"/>
      <c r="K68" s="53"/>
      <c r="L68" s="51"/>
      <c r="M68" s="51"/>
      <c r="N68" s="51"/>
      <c r="O68" s="51"/>
      <c r="P68" s="51"/>
      <c r="Q68" s="51"/>
      <c r="R68" s="51"/>
      <c r="S68" s="51"/>
      <c r="T68" s="51"/>
      <c r="U68" s="51"/>
    </row>
    <row r="69" spans="1:22" s="44" customFormat="1" ht="15.75" hidden="1" customHeight="1">
      <c r="A69" s="24">
        <v>23</v>
      </c>
      <c r="B69" s="105" t="s">
        <v>48</v>
      </c>
      <c r="C69" s="106" t="s">
        <v>72</v>
      </c>
      <c r="D69" s="30" t="s">
        <v>51</v>
      </c>
      <c r="E69" s="87">
        <v>2244</v>
      </c>
      <c r="F69" s="29">
        <f>SUM(E69/100)</f>
        <v>22.44</v>
      </c>
      <c r="G69" s="29">
        <v>2720.94</v>
      </c>
      <c r="H69" s="75">
        <f t="shared" si="9"/>
        <v>61.0578936</v>
      </c>
      <c r="I69" s="12">
        <v>0</v>
      </c>
      <c r="J69" s="51"/>
      <c r="K69" s="51"/>
      <c r="L69" s="51"/>
      <c r="M69" s="51"/>
      <c r="N69" s="51"/>
      <c r="O69" s="51"/>
      <c r="P69" s="51"/>
      <c r="Q69" s="51"/>
      <c r="S69" s="51"/>
      <c r="T69" s="51"/>
      <c r="U69" s="51"/>
    </row>
    <row r="70" spans="1:22" s="44" customFormat="1" ht="15.75" hidden="1" customHeight="1">
      <c r="A70" s="24"/>
      <c r="B70" s="108" t="s">
        <v>118</v>
      </c>
      <c r="C70" s="106" t="s">
        <v>32</v>
      </c>
      <c r="D70" s="30"/>
      <c r="E70" s="87">
        <v>12.8</v>
      </c>
      <c r="F70" s="29">
        <f>SUM(E70)</f>
        <v>12.8</v>
      </c>
      <c r="G70" s="29">
        <v>42.61</v>
      </c>
      <c r="H70" s="75">
        <f t="shared" si="9"/>
        <v>0.545408</v>
      </c>
      <c r="I70" s="12">
        <v>0</v>
      </c>
      <c r="J70" s="55"/>
      <c r="K70" s="55"/>
      <c r="L70" s="55"/>
      <c r="M70" s="55"/>
      <c r="N70" s="55"/>
      <c r="O70" s="55"/>
      <c r="P70" s="55"/>
      <c r="Q70" s="55"/>
      <c r="R70" s="188"/>
      <c r="S70" s="188"/>
      <c r="T70" s="188"/>
      <c r="U70" s="188"/>
    </row>
    <row r="71" spans="1:22" s="44" customFormat="1" ht="15.75" hidden="1" customHeight="1">
      <c r="A71" s="24">
        <v>19</v>
      </c>
      <c r="B71" s="108" t="s">
        <v>119</v>
      </c>
      <c r="C71" s="106" t="s">
        <v>32</v>
      </c>
      <c r="D71" s="30"/>
      <c r="E71" s="87">
        <v>12.8</v>
      </c>
      <c r="F71" s="29">
        <f>SUM(E71)</f>
        <v>12.8</v>
      </c>
      <c r="G71" s="29">
        <v>46.04</v>
      </c>
      <c r="H71" s="75">
        <f t="shared" si="9"/>
        <v>0.58931200000000006</v>
      </c>
      <c r="I71" s="12">
        <v>0</v>
      </c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</row>
    <row r="72" spans="1:22" s="44" customFormat="1" ht="15.75" hidden="1" customHeight="1">
      <c r="A72" s="24">
        <v>20</v>
      </c>
      <c r="B72" s="30" t="s">
        <v>54</v>
      </c>
      <c r="C72" s="106" t="s">
        <v>55</v>
      </c>
      <c r="D72" s="30" t="s">
        <v>51</v>
      </c>
      <c r="E72" s="15">
        <v>6</v>
      </c>
      <c r="F72" s="29">
        <f>SUM(E72)</f>
        <v>6</v>
      </c>
      <c r="G72" s="29">
        <v>65.42</v>
      </c>
      <c r="H72" s="75">
        <f t="shared" si="9"/>
        <v>0.39251999999999998</v>
      </c>
      <c r="I72" s="12">
        <v>0</v>
      </c>
    </row>
    <row r="73" spans="1:22" s="44" customFormat="1" ht="15.75" customHeight="1">
      <c r="A73" s="24"/>
      <c r="B73" s="122" t="s">
        <v>147</v>
      </c>
      <c r="C73" s="106"/>
      <c r="D73" s="30"/>
      <c r="E73" s="15"/>
      <c r="F73" s="104"/>
      <c r="G73" s="29"/>
      <c r="H73" s="75"/>
      <c r="I73" s="12"/>
    </row>
    <row r="74" spans="1:22" s="44" customFormat="1" ht="15.75" customHeight="1">
      <c r="A74" s="24">
        <v>13</v>
      </c>
      <c r="B74" s="30" t="s">
        <v>148</v>
      </c>
      <c r="C74" s="109" t="s">
        <v>149</v>
      </c>
      <c r="D74" s="30"/>
      <c r="E74" s="15">
        <v>3181</v>
      </c>
      <c r="F74" s="88">
        <f>SUM(E74)*12</f>
        <v>38172</v>
      </c>
      <c r="G74" s="29">
        <v>2.2799999999999998</v>
      </c>
      <c r="H74" s="75">
        <f t="shared" ref="H74" si="10">SUM(F74*G74/1000)</f>
        <v>87.03215999999999</v>
      </c>
      <c r="I74" s="12">
        <f>F74/12*G74</f>
        <v>7252.6799999999994</v>
      </c>
    </row>
    <row r="75" spans="1:22" s="44" customFormat="1" ht="15.75" hidden="1" customHeight="1">
      <c r="A75" s="24"/>
      <c r="B75" s="122" t="s">
        <v>67</v>
      </c>
      <c r="C75" s="106"/>
      <c r="D75" s="30"/>
      <c r="E75" s="15"/>
      <c r="F75" s="29"/>
      <c r="G75" s="29"/>
      <c r="H75" s="75" t="s">
        <v>129</v>
      </c>
      <c r="I75" s="12"/>
    </row>
    <row r="76" spans="1:22" s="44" customFormat="1" ht="15.75" hidden="1" customHeight="1">
      <c r="A76" s="24">
        <v>24</v>
      </c>
      <c r="B76" s="30" t="s">
        <v>150</v>
      </c>
      <c r="C76" s="106" t="s">
        <v>30</v>
      </c>
      <c r="D76" s="30" t="s">
        <v>63</v>
      </c>
      <c r="E76" s="15">
        <v>1</v>
      </c>
      <c r="F76" s="88">
        <f t="shared" ref="F76" si="11">E76</f>
        <v>1</v>
      </c>
      <c r="G76" s="29">
        <v>1029.1199999999999</v>
      </c>
      <c r="H76" s="75">
        <f>G76*F76/1000</f>
        <v>1.0291199999999998</v>
      </c>
      <c r="I76" s="12">
        <v>0</v>
      </c>
    </row>
    <row r="77" spans="1:22" s="44" customFormat="1" ht="15.75" hidden="1" customHeight="1">
      <c r="A77" s="24"/>
      <c r="B77" s="30" t="s">
        <v>151</v>
      </c>
      <c r="C77" s="106" t="s">
        <v>152</v>
      </c>
      <c r="D77" s="30" t="s">
        <v>63</v>
      </c>
      <c r="E77" s="15">
        <v>1</v>
      </c>
      <c r="F77" s="29">
        <v>1</v>
      </c>
      <c r="G77" s="29">
        <v>735</v>
      </c>
      <c r="H77" s="75">
        <f t="shared" ref="H77:H79" si="12">SUM(F77*G77/1000)</f>
        <v>0.73499999999999999</v>
      </c>
      <c r="I77" s="12">
        <v>0</v>
      </c>
    </row>
    <row r="78" spans="1:22" s="44" customFormat="1" ht="15.75" hidden="1" customHeight="1">
      <c r="A78" s="24"/>
      <c r="B78" s="30" t="s">
        <v>68</v>
      </c>
      <c r="C78" s="106" t="s">
        <v>70</v>
      </c>
      <c r="D78" s="30" t="s">
        <v>63</v>
      </c>
      <c r="E78" s="15">
        <v>8</v>
      </c>
      <c r="F78" s="29">
        <f>E78/10</f>
        <v>0.8</v>
      </c>
      <c r="G78" s="29">
        <v>657.87</v>
      </c>
      <c r="H78" s="75">
        <f t="shared" si="12"/>
        <v>0.5262960000000001</v>
      </c>
      <c r="I78" s="12">
        <v>0</v>
      </c>
    </row>
    <row r="79" spans="1:22" s="44" customFormat="1" ht="15.75" hidden="1" customHeight="1">
      <c r="A79" s="24">
        <v>21</v>
      </c>
      <c r="B79" s="30" t="s">
        <v>69</v>
      </c>
      <c r="C79" s="106" t="s">
        <v>30</v>
      </c>
      <c r="D79" s="30" t="s">
        <v>63</v>
      </c>
      <c r="E79" s="15">
        <v>1</v>
      </c>
      <c r="F79" s="104">
        <v>1</v>
      </c>
      <c r="G79" s="29">
        <v>1118.72</v>
      </c>
      <c r="H79" s="75">
        <f t="shared" si="12"/>
        <v>1.1187199999999999</v>
      </c>
      <c r="I79" s="12">
        <v>0</v>
      </c>
    </row>
    <row r="80" spans="1:22" s="44" customFormat="1" ht="15.75" hidden="1" customHeight="1">
      <c r="A80" s="24"/>
      <c r="B80" s="123" t="s">
        <v>71</v>
      </c>
      <c r="C80" s="106"/>
      <c r="D80" s="30"/>
      <c r="E80" s="15"/>
      <c r="F80" s="29"/>
      <c r="G80" s="29" t="s">
        <v>129</v>
      </c>
      <c r="H80" s="75" t="s">
        <v>129</v>
      </c>
      <c r="I80" s="12" t="str">
        <f>G80</f>
        <v xml:space="preserve"> </v>
      </c>
    </row>
    <row r="81" spans="1:9" s="44" customFormat="1" ht="15.75" hidden="1" customHeight="1">
      <c r="A81" s="24"/>
      <c r="B81" s="110" t="s">
        <v>122</v>
      </c>
      <c r="C81" s="107" t="s">
        <v>72</v>
      </c>
      <c r="D81" s="105"/>
      <c r="E81" s="111"/>
      <c r="F81" s="97">
        <v>0.6</v>
      </c>
      <c r="G81" s="97">
        <v>3619.09</v>
      </c>
      <c r="H81" s="75">
        <f t="shared" si="9"/>
        <v>2.1714540000000002</v>
      </c>
      <c r="I81" s="12">
        <v>0</v>
      </c>
    </row>
    <row r="82" spans="1:9" s="44" customFormat="1" ht="15.75" hidden="1" customHeight="1">
      <c r="A82" s="24"/>
      <c r="B82" s="73" t="s">
        <v>120</v>
      </c>
      <c r="C82" s="12"/>
      <c r="D82" s="12"/>
      <c r="E82" s="12"/>
      <c r="F82" s="12"/>
      <c r="G82" s="12"/>
      <c r="H82" s="12"/>
      <c r="I82" s="12"/>
    </row>
    <row r="83" spans="1:9" s="44" customFormat="1" ht="15.75" hidden="1" customHeight="1">
      <c r="A83" s="24"/>
      <c r="B83" s="85" t="s">
        <v>121</v>
      </c>
      <c r="C83" s="112"/>
      <c r="D83" s="113"/>
      <c r="E83" s="114"/>
      <c r="F83" s="115">
        <v>1</v>
      </c>
      <c r="G83" s="115">
        <v>30235</v>
      </c>
      <c r="H83" s="75">
        <f>G83*F83/1000</f>
        <v>30.234999999999999</v>
      </c>
      <c r="I83" s="12">
        <f>G83</f>
        <v>30235</v>
      </c>
    </row>
    <row r="84" spans="1:9" s="44" customFormat="1" ht="15.75" customHeight="1">
      <c r="A84" s="201" t="s">
        <v>140</v>
      </c>
      <c r="B84" s="202"/>
      <c r="C84" s="202"/>
      <c r="D84" s="202"/>
      <c r="E84" s="202"/>
      <c r="F84" s="202"/>
      <c r="G84" s="202"/>
      <c r="H84" s="202"/>
      <c r="I84" s="203"/>
    </row>
    <row r="85" spans="1:9" s="44" customFormat="1" ht="15.75" customHeight="1">
      <c r="A85" s="61">
        <v>14</v>
      </c>
      <c r="B85" s="85" t="s">
        <v>123</v>
      </c>
      <c r="C85" s="106" t="s">
        <v>52</v>
      </c>
      <c r="D85" s="116"/>
      <c r="E85" s="29">
        <v>3931</v>
      </c>
      <c r="F85" s="29">
        <f>SUM(E85*12)</f>
        <v>47172</v>
      </c>
      <c r="G85" s="29">
        <v>3.1</v>
      </c>
      <c r="H85" s="75">
        <f>SUM(F85*G85/1000)</f>
        <v>146.23320000000001</v>
      </c>
      <c r="I85" s="12">
        <f>F85/12*G85</f>
        <v>12186.1</v>
      </c>
    </row>
    <row r="86" spans="1:9" s="44" customFormat="1" ht="31.5" customHeight="1">
      <c r="A86" s="24">
        <v>15</v>
      </c>
      <c r="B86" s="30" t="s">
        <v>73</v>
      </c>
      <c r="C86" s="106"/>
      <c r="D86" s="116"/>
      <c r="E86" s="87">
        <f>E85</f>
        <v>3931</v>
      </c>
      <c r="F86" s="29">
        <f>E86*12</f>
        <v>47172</v>
      </c>
      <c r="G86" s="29">
        <v>3.5</v>
      </c>
      <c r="H86" s="75">
        <f>F86*G86/1000</f>
        <v>165.102</v>
      </c>
      <c r="I86" s="12">
        <f>F86/12*G86</f>
        <v>13758.5</v>
      </c>
    </row>
    <row r="87" spans="1:9" s="44" customFormat="1" ht="15.75" customHeight="1">
      <c r="A87" s="24"/>
      <c r="B87" s="31" t="s">
        <v>76</v>
      </c>
      <c r="C87" s="57"/>
      <c r="D87" s="56"/>
      <c r="E87" s="46"/>
      <c r="F87" s="46"/>
      <c r="G87" s="46"/>
      <c r="H87" s="58">
        <f>H86</f>
        <v>165.102</v>
      </c>
      <c r="I87" s="46">
        <f>I86+I85+I74+I63+I59+I42+I41+I40+I39+I38+I37+I25+I18+I17+I16</f>
        <v>58906.383495000002</v>
      </c>
    </row>
    <row r="88" spans="1:9" s="44" customFormat="1" ht="15.75" customHeight="1">
      <c r="A88" s="190" t="s">
        <v>57</v>
      </c>
      <c r="B88" s="191"/>
      <c r="C88" s="191"/>
      <c r="D88" s="191"/>
      <c r="E88" s="191"/>
      <c r="F88" s="191"/>
      <c r="G88" s="191"/>
      <c r="H88" s="191"/>
      <c r="I88" s="192"/>
    </row>
    <row r="89" spans="1:9" s="44" customFormat="1" ht="32.25" customHeight="1">
      <c r="A89" s="24">
        <v>16</v>
      </c>
      <c r="B89" s="77" t="s">
        <v>182</v>
      </c>
      <c r="C89" s="78" t="s">
        <v>29</v>
      </c>
      <c r="D89" s="30"/>
      <c r="E89" s="15"/>
      <c r="F89" s="29">
        <v>7</v>
      </c>
      <c r="G89" s="29">
        <v>19757.060000000001</v>
      </c>
      <c r="H89" s="75">
        <f>G89*F89/1000</f>
        <v>138.29942000000003</v>
      </c>
      <c r="I89" s="59">
        <f>G89*0.599*10/1000</f>
        <v>118.34478940000001</v>
      </c>
    </row>
    <row r="90" spans="1:9" s="44" customFormat="1" ht="31.5" customHeight="1">
      <c r="A90" s="24">
        <v>17</v>
      </c>
      <c r="B90" s="184" t="s">
        <v>272</v>
      </c>
      <c r="C90" s="109" t="s">
        <v>273</v>
      </c>
      <c r="D90" s="109" t="s">
        <v>276</v>
      </c>
      <c r="E90" s="15"/>
      <c r="F90" s="29">
        <v>1</v>
      </c>
      <c r="G90" s="29">
        <v>2114.96</v>
      </c>
      <c r="H90" s="75">
        <f>G90*F90/1000</f>
        <v>2.11496</v>
      </c>
      <c r="I90" s="59">
        <f>G90*1</f>
        <v>2114.96</v>
      </c>
    </row>
    <row r="91" spans="1:9" s="44" customFormat="1" ht="15" customHeight="1">
      <c r="A91" s="24">
        <v>18</v>
      </c>
      <c r="B91" s="77" t="s">
        <v>181</v>
      </c>
      <c r="C91" s="162" t="s">
        <v>132</v>
      </c>
      <c r="D91" s="106" t="s">
        <v>277</v>
      </c>
      <c r="E91" s="29"/>
      <c r="F91" s="29">
        <v>1</v>
      </c>
      <c r="G91" s="29">
        <v>328.51</v>
      </c>
      <c r="H91" s="75">
        <f t="shared" ref="H91" si="13">G91*F91/1000</f>
        <v>0.32850999999999997</v>
      </c>
      <c r="I91" s="59">
        <f>G91*1</f>
        <v>328.51</v>
      </c>
    </row>
    <row r="92" spans="1:9" s="44" customFormat="1" ht="15.75" customHeight="1">
      <c r="A92" s="24">
        <v>19</v>
      </c>
      <c r="B92" s="77" t="s">
        <v>274</v>
      </c>
      <c r="C92" s="78" t="s">
        <v>52</v>
      </c>
      <c r="D92" s="24" t="s">
        <v>275</v>
      </c>
      <c r="E92" s="16"/>
      <c r="F92" s="12">
        <f>(15)/3</f>
        <v>5</v>
      </c>
      <c r="G92" s="29">
        <v>494.86</v>
      </c>
      <c r="H92" s="54">
        <f>G92*F92/1000</f>
        <v>2.4743000000000004</v>
      </c>
      <c r="I92" s="76">
        <f>G92*0.2</f>
        <v>98.972000000000008</v>
      </c>
    </row>
    <row r="93" spans="1:9" ht="15.75" customHeight="1">
      <c r="A93" s="24"/>
      <c r="B93" s="60" t="s">
        <v>49</v>
      </c>
      <c r="C93" s="32"/>
      <c r="D93" s="38"/>
      <c r="E93" s="32">
        <v>1</v>
      </c>
      <c r="F93" s="32"/>
      <c r="G93" s="32"/>
      <c r="H93" s="32"/>
      <c r="I93" s="27">
        <f>SUM(I89:I92)</f>
        <v>2660.7867894000005</v>
      </c>
    </row>
    <row r="94" spans="1:9" ht="15.75" customHeight="1">
      <c r="A94" s="24"/>
      <c r="B94" s="37" t="s">
        <v>74</v>
      </c>
      <c r="C94" s="14"/>
      <c r="D94" s="14"/>
      <c r="E94" s="33"/>
      <c r="F94" s="33"/>
      <c r="G94" s="34"/>
      <c r="H94" s="34"/>
      <c r="I94" s="15">
        <v>0</v>
      </c>
    </row>
    <row r="95" spans="1:9">
      <c r="A95" s="39"/>
      <c r="B95" s="36" t="s">
        <v>143</v>
      </c>
      <c r="C95" s="28"/>
      <c r="D95" s="28"/>
      <c r="E95" s="28"/>
      <c r="F95" s="28"/>
      <c r="G95" s="28"/>
      <c r="H95" s="28"/>
      <c r="I95" s="35">
        <f>I87+I93</f>
        <v>61567.170284400003</v>
      </c>
    </row>
    <row r="96" spans="1:9" ht="15.75">
      <c r="A96" s="193" t="s">
        <v>278</v>
      </c>
      <c r="B96" s="193"/>
      <c r="C96" s="193"/>
      <c r="D96" s="193"/>
      <c r="E96" s="193"/>
      <c r="F96" s="193"/>
      <c r="G96" s="193"/>
      <c r="H96" s="193"/>
      <c r="I96" s="193"/>
    </row>
    <row r="97" spans="1:9" ht="15.75">
      <c r="A97" s="68"/>
      <c r="B97" s="194" t="s">
        <v>279</v>
      </c>
      <c r="C97" s="194"/>
      <c r="D97" s="194"/>
      <c r="E97" s="194"/>
      <c r="F97" s="194"/>
      <c r="G97" s="194"/>
      <c r="H97" s="43"/>
      <c r="I97" s="3"/>
    </row>
    <row r="98" spans="1:9" ht="15.75" customHeight="1">
      <c r="A98" s="71"/>
      <c r="B98" s="195" t="s">
        <v>6</v>
      </c>
      <c r="C98" s="195"/>
      <c r="D98" s="195"/>
      <c r="E98" s="195"/>
      <c r="F98" s="195"/>
      <c r="G98" s="195"/>
      <c r="H98" s="19"/>
      <c r="I98" s="5"/>
    </row>
    <row r="99" spans="1:9">
      <c r="A99" s="9"/>
      <c r="B99" s="9"/>
      <c r="C99" s="9"/>
      <c r="D99" s="9"/>
      <c r="E99" s="9"/>
      <c r="F99" s="9"/>
      <c r="G99" s="9"/>
      <c r="H99" s="9"/>
      <c r="I99" s="9"/>
    </row>
    <row r="100" spans="1:9" ht="15.75">
      <c r="A100" s="196" t="s">
        <v>7</v>
      </c>
      <c r="B100" s="196"/>
      <c r="C100" s="196"/>
      <c r="D100" s="196"/>
      <c r="E100" s="196"/>
      <c r="F100" s="196"/>
      <c r="G100" s="196"/>
      <c r="H100" s="196"/>
      <c r="I100" s="196"/>
    </row>
    <row r="101" spans="1:9" ht="15.75">
      <c r="A101" s="196" t="s">
        <v>8</v>
      </c>
      <c r="B101" s="196"/>
      <c r="C101" s="196"/>
      <c r="D101" s="196"/>
      <c r="E101" s="196"/>
      <c r="F101" s="196"/>
      <c r="G101" s="196"/>
      <c r="H101" s="196"/>
      <c r="I101" s="196"/>
    </row>
    <row r="102" spans="1:9" ht="15.75" customHeight="1">
      <c r="A102" s="197" t="s">
        <v>58</v>
      </c>
      <c r="B102" s="197"/>
      <c r="C102" s="197"/>
      <c r="D102" s="197"/>
      <c r="E102" s="197"/>
      <c r="F102" s="197"/>
      <c r="G102" s="197"/>
      <c r="H102" s="197"/>
      <c r="I102" s="197"/>
    </row>
    <row r="103" spans="1:9" ht="15.75">
      <c r="A103" s="10"/>
    </row>
    <row r="104" spans="1:9" ht="15.75">
      <c r="A104" s="198" t="s">
        <v>9</v>
      </c>
      <c r="B104" s="198"/>
      <c r="C104" s="198"/>
      <c r="D104" s="198"/>
      <c r="E104" s="198"/>
      <c r="F104" s="198"/>
      <c r="G104" s="198"/>
      <c r="H104" s="198"/>
      <c r="I104" s="198"/>
    </row>
    <row r="105" spans="1:9" ht="15.75">
      <c r="A105" s="4"/>
    </row>
    <row r="106" spans="1:9" ht="15.75">
      <c r="B106" s="72" t="s">
        <v>10</v>
      </c>
      <c r="C106" s="199" t="s">
        <v>83</v>
      </c>
      <c r="D106" s="199"/>
      <c r="E106" s="199"/>
      <c r="F106" s="41"/>
      <c r="I106" s="70"/>
    </row>
    <row r="107" spans="1:9">
      <c r="A107" s="71"/>
      <c r="C107" s="195" t="s">
        <v>11</v>
      </c>
      <c r="D107" s="195"/>
      <c r="E107" s="195"/>
      <c r="F107" s="19"/>
      <c r="I107" s="69" t="s">
        <v>12</v>
      </c>
    </row>
    <row r="108" spans="1:9" ht="15.75">
      <c r="A108" s="20"/>
      <c r="C108" s="11"/>
      <c r="D108" s="11"/>
      <c r="G108" s="11"/>
      <c r="H108" s="11"/>
    </row>
    <row r="109" spans="1:9" ht="15.75">
      <c r="B109" s="72" t="s">
        <v>13</v>
      </c>
      <c r="C109" s="200"/>
      <c r="D109" s="200"/>
      <c r="E109" s="200"/>
      <c r="F109" s="42"/>
      <c r="I109" s="70"/>
    </row>
    <row r="110" spans="1:9">
      <c r="A110" s="71"/>
      <c r="C110" s="189" t="s">
        <v>11</v>
      </c>
      <c r="D110" s="189"/>
      <c r="E110" s="189"/>
      <c r="F110" s="71"/>
      <c r="I110" s="69" t="s">
        <v>12</v>
      </c>
    </row>
    <row r="111" spans="1:9" ht="15.75">
      <c r="A111" s="4" t="s">
        <v>14</v>
      </c>
    </row>
    <row r="112" spans="1:9" ht="15" customHeight="1">
      <c r="A112" s="186" t="s">
        <v>15</v>
      </c>
      <c r="B112" s="186"/>
      <c r="C112" s="186"/>
      <c r="D112" s="186"/>
      <c r="E112" s="186"/>
      <c r="F112" s="186"/>
      <c r="G112" s="186"/>
      <c r="H112" s="186"/>
      <c r="I112" s="186"/>
    </row>
    <row r="113" spans="1:9" ht="45" customHeight="1">
      <c r="A113" s="187" t="s">
        <v>16</v>
      </c>
      <c r="B113" s="187"/>
      <c r="C113" s="187"/>
      <c r="D113" s="187"/>
      <c r="E113" s="187"/>
      <c r="F113" s="187"/>
      <c r="G113" s="187"/>
      <c r="H113" s="187"/>
      <c r="I113" s="187"/>
    </row>
    <row r="114" spans="1:9" ht="30" customHeight="1">
      <c r="A114" s="187" t="s">
        <v>17</v>
      </c>
      <c r="B114" s="187"/>
      <c r="C114" s="187"/>
      <c r="D114" s="187"/>
      <c r="E114" s="187"/>
      <c r="F114" s="187"/>
      <c r="G114" s="187"/>
      <c r="H114" s="187"/>
      <c r="I114" s="187"/>
    </row>
    <row r="115" spans="1:9" ht="30" customHeight="1">
      <c r="A115" s="187" t="s">
        <v>21</v>
      </c>
      <c r="B115" s="187"/>
      <c r="C115" s="187"/>
      <c r="D115" s="187"/>
      <c r="E115" s="187"/>
      <c r="F115" s="187"/>
      <c r="G115" s="187"/>
      <c r="H115" s="187"/>
      <c r="I115" s="187"/>
    </row>
    <row r="116" spans="1:9" ht="15" customHeight="1">
      <c r="A116" s="187" t="s">
        <v>20</v>
      </c>
      <c r="B116" s="187"/>
      <c r="C116" s="187"/>
      <c r="D116" s="187"/>
      <c r="E116" s="187"/>
      <c r="F116" s="187"/>
      <c r="G116" s="187"/>
      <c r="H116" s="187"/>
      <c r="I116" s="187"/>
    </row>
  </sheetData>
  <autoFilter ref="I12:I65"/>
  <mergeCells count="29">
    <mergeCell ref="A112:I112"/>
    <mergeCell ref="A113:I113"/>
    <mergeCell ref="A114:I114"/>
    <mergeCell ref="A115:I115"/>
    <mergeCell ref="A116:I116"/>
    <mergeCell ref="R70:U70"/>
    <mergeCell ref="C110:E110"/>
    <mergeCell ref="A88:I88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4:I84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4:I54"/>
  </mergeCells>
  <pageMargins left="0.70866141732283472" right="0.23622047244094491" top="0.27559055118110237" bottom="0.27559055118110237" header="0.31496062992125984" footer="0.31496062992125984"/>
  <pageSetup paperSize="9" scale="62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2"/>
  <sheetViews>
    <sheetView tabSelected="1" workbookViewId="0">
      <selection activeCell="A108" sqref="A108:J10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2" t="s">
        <v>171</v>
      </c>
      <c r="I1" s="21"/>
      <c r="J1" s="1"/>
      <c r="K1" s="1"/>
      <c r="L1" s="1"/>
      <c r="M1" s="1"/>
    </row>
    <row r="2" spans="1:13" ht="15.75" customHeight="1">
      <c r="A2" s="23" t="s">
        <v>59</v>
      </c>
      <c r="J2" s="2"/>
      <c r="K2" s="2"/>
      <c r="L2" s="2"/>
      <c r="M2" s="2"/>
    </row>
    <row r="3" spans="1:13" ht="15.75" customHeight="1">
      <c r="A3" s="204" t="s">
        <v>157</v>
      </c>
      <c r="B3" s="204"/>
      <c r="C3" s="204"/>
      <c r="D3" s="204"/>
      <c r="E3" s="204"/>
      <c r="F3" s="204"/>
      <c r="G3" s="204"/>
      <c r="H3" s="204"/>
      <c r="I3" s="204"/>
      <c r="J3" s="3"/>
      <c r="K3" s="3"/>
      <c r="L3" s="3"/>
    </row>
    <row r="4" spans="1:13" ht="31.5" customHeight="1">
      <c r="A4" s="205" t="s">
        <v>124</v>
      </c>
      <c r="B4" s="205"/>
      <c r="C4" s="205"/>
      <c r="D4" s="205"/>
      <c r="E4" s="205"/>
      <c r="F4" s="205"/>
      <c r="G4" s="205"/>
      <c r="H4" s="205"/>
      <c r="I4" s="205"/>
    </row>
    <row r="5" spans="1:13" ht="15.75">
      <c r="A5" s="204" t="s">
        <v>280</v>
      </c>
      <c r="B5" s="206"/>
      <c r="C5" s="206"/>
      <c r="D5" s="206"/>
      <c r="E5" s="206"/>
      <c r="F5" s="206"/>
      <c r="G5" s="206"/>
      <c r="H5" s="206"/>
      <c r="I5" s="206"/>
      <c r="J5" s="2"/>
      <c r="K5" s="2"/>
      <c r="L5" s="2"/>
      <c r="M5" s="2"/>
    </row>
    <row r="6" spans="1:13" ht="15.75">
      <c r="A6" s="2"/>
      <c r="B6" s="74"/>
      <c r="C6" s="74"/>
      <c r="D6" s="74"/>
      <c r="E6" s="74"/>
      <c r="F6" s="74"/>
      <c r="G6" s="74"/>
      <c r="H6" s="74"/>
      <c r="I6" s="25">
        <v>43830</v>
      </c>
      <c r="J6" s="2"/>
      <c r="K6" s="2"/>
      <c r="L6" s="2"/>
      <c r="M6" s="2"/>
    </row>
    <row r="7" spans="1:13" ht="15.75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7" t="s">
        <v>175</v>
      </c>
      <c r="B8" s="207"/>
      <c r="C8" s="207"/>
      <c r="D8" s="207"/>
      <c r="E8" s="207"/>
      <c r="F8" s="207"/>
      <c r="G8" s="207"/>
      <c r="H8" s="207"/>
      <c r="I8" s="207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08" t="s">
        <v>158</v>
      </c>
      <c r="B10" s="208"/>
      <c r="C10" s="208"/>
      <c r="D10" s="208"/>
      <c r="E10" s="208"/>
      <c r="F10" s="208"/>
      <c r="G10" s="208"/>
      <c r="H10" s="208"/>
      <c r="I10" s="208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9" t="s">
        <v>56</v>
      </c>
      <c r="B14" s="209"/>
      <c r="C14" s="209"/>
      <c r="D14" s="209"/>
      <c r="E14" s="209"/>
      <c r="F14" s="209"/>
      <c r="G14" s="209"/>
      <c r="H14" s="209"/>
      <c r="I14" s="209"/>
      <c r="J14" s="8"/>
      <c r="K14" s="8"/>
      <c r="L14" s="8"/>
      <c r="M14" s="8"/>
    </row>
    <row r="15" spans="1:13" ht="15.75" customHeight="1">
      <c r="A15" s="210" t="s">
        <v>4</v>
      </c>
      <c r="B15" s="210"/>
      <c r="C15" s="210"/>
      <c r="D15" s="210"/>
      <c r="E15" s="210"/>
      <c r="F15" s="210"/>
      <c r="G15" s="210"/>
      <c r="H15" s="210"/>
      <c r="I15" s="210"/>
      <c r="J15" s="8"/>
      <c r="K15" s="8"/>
      <c r="L15" s="8"/>
      <c r="M15" s="8"/>
    </row>
    <row r="16" spans="1:13" s="44" customFormat="1" ht="15.75" customHeight="1">
      <c r="A16" s="24">
        <v>1</v>
      </c>
      <c r="B16" s="85" t="s">
        <v>81</v>
      </c>
      <c r="C16" s="86" t="s">
        <v>90</v>
      </c>
      <c r="D16" s="85" t="s">
        <v>217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18" si="0">SUM(F16*G16/1000)</f>
        <v>34.100352000000008</v>
      </c>
      <c r="I16" s="12">
        <f>F16/12*G16</f>
        <v>2841.6960000000004</v>
      </c>
    </row>
    <row r="17" spans="1:10" s="44" customFormat="1" ht="15.75" customHeight="1">
      <c r="A17" s="24">
        <v>2</v>
      </c>
      <c r="B17" s="85" t="s">
        <v>88</v>
      </c>
      <c r="C17" s="86" t="s">
        <v>90</v>
      </c>
      <c r="D17" s="85" t="s">
        <v>218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  <c r="J17" s="45"/>
    </row>
    <row r="18" spans="1:10" s="44" customFormat="1" ht="15.75" customHeight="1">
      <c r="A18" s="24">
        <v>3</v>
      </c>
      <c r="B18" s="85" t="s">
        <v>89</v>
      </c>
      <c r="C18" s="86" t="s">
        <v>90</v>
      </c>
      <c r="D18" s="85" t="s">
        <v>219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  <c r="J18" s="45"/>
    </row>
    <row r="19" spans="1:10" s="44" customFormat="1" ht="15.75" hidden="1" customHeight="1">
      <c r="A19" s="24">
        <v>4</v>
      </c>
      <c r="B19" s="85" t="s">
        <v>91</v>
      </c>
      <c r="C19" s="86" t="s">
        <v>92</v>
      </c>
      <c r="D19" s="85" t="s">
        <v>93</v>
      </c>
      <c r="E19" s="87">
        <v>57.6</v>
      </c>
      <c r="F19" s="158">
        <f>SUM(E19/10)</f>
        <v>5.76</v>
      </c>
      <c r="G19" s="88">
        <v>223.17</v>
      </c>
      <c r="H19" s="89">
        <f t="shared" ref="H19:H24" si="2">SUM(F19*G19/1000)</f>
        <v>1.2854591999999998</v>
      </c>
      <c r="I19" s="12">
        <f>F19*G19</f>
        <v>1285.4591999999998</v>
      </c>
      <c r="J19" s="45"/>
    </row>
    <row r="20" spans="1:10" s="44" customFormat="1" ht="15.75" hidden="1" customHeight="1">
      <c r="A20" s="24">
        <v>5</v>
      </c>
      <c r="B20" s="85" t="s">
        <v>94</v>
      </c>
      <c r="C20" s="86" t="s">
        <v>90</v>
      </c>
      <c r="D20" s="85" t="s">
        <v>40</v>
      </c>
      <c r="E20" s="87">
        <v>43.2</v>
      </c>
      <c r="F20" s="158">
        <f>SUM(E20*2/100)</f>
        <v>0.8640000000000001</v>
      </c>
      <c r="G20" s="88">
        <v>285.76</v>
      </c>
      <c r="H20" s="89">
        <f t="shared" si="2"/>
        <v>0.24689664000000003</v>
      </c>
      <c r="I20" s="12">
        <f>F20/2*G20</f>
        <v>123.44832000000001</v>
      </c>
      <c r="J20" s="45"/>
    </row>
    <row r="21" spans="1:10" s="44" customFormat="1" ht="15.75" hidden="1" customHeight="1">
      <c r="A21" s="24">
        <v>6</v>
      </c>
      <c r="B21" s="85" t="s">
        <v>95</v>
      </c>
      <c r="C21" s="86" t="s">
        <v>90</v>
      </c>
      <c r="D21" s="85" t="s">
        <v>40</v>
      </c>
      <c r="E21" s="87">
        <v>10.08</v>
      </c>
      <c r="F21" s="158">
        <f>SUM(E21*2/100)</f>
        <v>0.2016</v>
      </c>
      <c r="G21" s="88">
        <v>283.44</v>
      </c>
      <c r="H21" s="89">
        <f t="shared" si="2"/>
        <v>5.7141503999999996E-2</v>
      </c>
      <c r="I21" s="12">
        <f>F21/2*G21</f>
        <v>28.570751999999999</v>
      </c>
      <c r="J21" s="45"/>
    </row>
    <row r="22" spans="1:10" s="44" customFormat="1" ht="15.75" hidden="1" customHeight="1">
      <c r="A22" s="24">
        <v>7</v>
      </c>
      <c r="B22" s="85" t="s">
        <v>96</v>
      </c>
      <c r="C22" s="86" t="s">
        <v>50</v>
      </c>
      <c r="D22" s="85" t="s">
        <v>93</v>
      </c>
      <c r="E22" s="87">
        <v>642.6</v>
      </c>
      <c r="F22" s="158">
        <f>SUM(E22/100)</f>
        <v>6.4260000000000002</v>
      </c>
      <c r="G22" s="88">
        <v>353.14</v>
      </c>
      <c r="H22" s="89">
        <f t="shared" si="2"/>
        <v>2.2692776399999999</v>
      </c>
      <c r="I22" s="12">
        <f>F22*G22</f>
        <v>2269.2776399999998</v>
      </c>
      <c r="J22" s="45"/>
    </row>
    <row r="23" spans="1:10" s="44" customFormat="1" ht="15.75" hidden="1" customHeight="1">
      <c r="A23" s="24">
        <v>8</v>
      </c>
      <c r="B23" s="85" t="s">
        <v>97</v>
      </c>
      <c r="C23" s="86" t="s">
        <v>50</v>
      </c>
      <c r="D23" s="85" t="s">
        <v>93</v>
      </c>
      <c r="E23" s="90">
        <v>35.28</v>
      </c>
      <c r="F23" s="158">
        <f>SUM(E23/100)</f>
        <v>0.3528</v>
      </c>
      <c r="G23" s="88">
        <v>58.08</v>
      </c>
      <c r="H23" s="89">
        <f t="shared" si="2"/>
        <v>2.0490623999999999E-2</v>
      </c>
      <c r="I23" s="12">
        <f>F23*G23</f>
        <v>20.490624</v>
      </c>
      <c r="J23" s="45"/>
    </row>
    <row r="24" spans="1:10" s="44" customFormat="1" ht="15.75" hidden="1" customHeight="1">
      <c r="A24" s="24">
        <v>9</v>
      </c>
      <c r="B24" s="85" t="s">
        <v>98</v>
      </c>
      <c r="C24" s="86" t="s">
        <v>50</v>
      </c>
      <c r="D24" s="85" t="s">
        <v>93</v>
      </c>
      <c r="E24" s="87">
        <v>28.8</v>
      </c>
      <c r="F24" s="158">
        <f>SUM(E24/100)</f>
        <v>0.28800000000000003</v>
      </c>
      <c r="G24" s="88">
        <v>683.05</v>
      </c>
      <c r="H24" s="89">
        <f t="shared" si="2"/>
        <v>0.19671840000000002</v>
      </c>
      <c r="I24" s="12">
        <f>F24*G24</f>
        <v>196.7184</v>
      </c>
      <c r="J24" s="45"/>
    </row>
    <row r="25" spans="1:10" s="44" customFormat="1" ht="15.75" customHeight="1">
      <c r="A25" s="24">
        <v>4</v>
      </c>
      <c r="B25" s="85" t="s">
        <v>216</v>
      </c>
      <c r="C25" s="86" t="s">
        <v>25</v>
      </c>
      <c r="D25" s="85" t="s">
        <v>220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  <c r="J25" s="45"/>
    </row>
    <row r="26" spans="1:10" s="44" customFormat="1" ht="15.75" hidden="1" customHeight="1">
      <c r="A26" s="24">
        <v>5</v>
      </c>
      <c r="B26" s="93" t="s">
        <v>23</v>
      </c>
      <c r="C26" s="86" t="s">
        <v>24</v>
      </c>
      <c r="D26" s="93" t="s">
        <v>129</v>
      </c>
      <c r="E26" s="87">
        <v>3931</v>
      </c>
      <c r="F26" s="88">
        <f>SUM(E26*12)</f>
        <v>47172</v>
      </c>
      <c r="G26" s="88">
        <v>3.64</v>
      </c>
      <c r="H26" s="89">
        <f>SUM(F26*G26/1000)</f>
        <v>171.70608000000001</v>
      </c>
      <c r="I26" s="12">
        <f>F26/12*G26</f>
        <v>14308.84</v>
      </c>
      <c r="J26" s="45"/>
    </row>
    <row r="27" spans="1:10" s="44" customFormat="1" ht="15.75" customHeight="1">
      <c r="A27" s="211" t="s">
        <v>153</v>
      </c>
      <c r="B27" s="212"/>
      <c r="C27" s="212"/>
      <c r="D27" s="212"/>
      <c r="E27" s="212"/>
      <c r="F27" s="212"/>
      <c r="G27" s="212"/>
      <c r="H27" s="212"/>
      <c r="I27" s="213"/>
      <c r="J27" s="45"/>
    </row>
    <row r="28" spans="1:10" s="44" customFormat="1" ht="15.75" hidden="1" customHeight="1">
      <c r="A28" s="24"/>
      <c r="B28" s="119" t="s">
        <v>28</v>
      </c>
      <c r="C28" s="86"/>
      <c r="D28" s="85"/>
      <c r="E28" s="87"/>
      <c r="F28" s="88"/>
      <c r="G28" s="88"/>
      <c r="H28" s="89"/>
      <c r="I28" s="12"/>
      <c r="J28" s="45"/>
    </row>
    <row r="29" spans="1:10" s="44" customFormat="1" ht="15.75" hidden="1" customHeight="1">
      <c r="A29" s="24">
        <v>6</v>
      </c>
      <c r="B29" s="85" t="s">
        <v>99</v>
      </c>
      <c r="C29" s="86" t="s">
        <v>100</v>
      </c>
      <c r="D29" s="85" t="s">
        <v>101</v>
      </c>
      <c r="E29" s="88">
        <v>271.95</v>
      </c>
      <c r="F29" s="88">
        <f>SUM(E29*52/1000)</f>
        <v>14.141399999999999</v>
      </c>
      <c r="G29" s="88">
        <v>204.44</v>
      </c>
      <c r="H29" s="89">
        <f t="shared" ref="H29:H35" si="3">SUM(F29*G29/1000)</f>
        <v>2.8910678159999996</v>
      </c>
      <c r="I29" s="12">
        <f>F29/6*G29</f>
        <v>481.84463599999998</v>
      </c>
      <c r="J29" s="45"/>
    </row>
    <row r="30" spans="1:10" s="44" customFormat="1" ht="15.75" hidden="1" customHeight="1">
      <c r="A30" s="24">
        <v>7</v>
      </c>
      <c r="B30" s="85" t="s">
        <v>134</v>
      </c>
      <c r="C30" s="86" t="s">
        <v>100</v>
      </c>
      <c r="D30" s="85" t="s">
        <v>144</v>
      </c>
      <c r="E30" s="88">
        <v>83.7</v>
      </c>
      <c r="F30" s="88">
        <f>SUM(E30*52/1000)</f>
        <v>4.3524000000000003</v>
      </c>
      <c r="G30" s="88">
        <v>339.21</v>
      </c>
      <c r="H30" s="89">
        <f t="shared" si="3"/>
        <v>1.4763776040000001</v>
      </c>
      <c r="I30" s="12">
        <f t="shared" ref="I30:I33" si="4">F30/6*G30</f>
        <v>246.06293400000001</v>
      </c>
      <c r="J30" s="45"/>
    </row>
    <row r="31" spans="1:10" s="44" customFormat="1" ht="15.75" hidden="1" customHeight="1">
      <c r="A31" s="24">
        <v>5</v>
      </c>
      <c r="B31" s="85" t="s">
        <v>27</v>
      </c>
      <c r="C31" s="86" t="s">
        <v>100</v>
      </c>
      <c r="D31" s="85" t="s">
        <v>51</v>
      </c>
      <c r="E31" s="88">
        <v>271.95</v>
      </c>
      <c r="F31" s="88">
        <f>SUM(E31/1000)</f>
        <v>0.27194999999999997</v>
      </c>
      <c r="G31" s="88">
        <v>3961.23</v>
      </c>
      <c r="H31" s="89">
        <f t="shared" si="3"/>
        <v>1.0772564984999999</v>
      </c>
      <c r="I31" s="12">
        <v>0</v>
      </c>
      <c r="J31" s="45"/>
    </row>
    <row r="32" spans="1:10" s="44" customFormat="1" ht="15.75" hidden="1" customHeight="1">
      <c r="A32" s="24">
        <v>8</v>
      </c>
      <c r="B32" s="85" t="s">
        <v>102</v>
      </c>
      <c r="C32" s="86" t="s">
        <v>38</v>
      </c>
      <c r="D32" s="85" t="s">
        <v>145</v>
      </c>
      <c r="E32" s="88">
        <v>6</v>
      </c>
      <c r="F32" s="88">
        <f>SUM(E32*48/100)</f>
        <v>2.88</v>
      </c>
      <c r="G32" s="88">
        <v>1707.63</v>
      </c>
      <c r="H32" s="89">
        <f>G32*F32/1000</f>
        <v>4.9179744000000003</v>
      </c>
      <c r="I32" s="12">
        <f t="shared" si="4"/>
        <v>819.66240000000005</v>
      </c>
      <c r="J32" s="45"/>
    </row>
    <row r="33" spans="1:14" s="44" customFormat="1" ht="15.75" hidden="1" customHeight="1">
      <c r="A33" s="24">
        <v>9</v>
      </c>
      <c r="B33" s="85" t="s">
        <v>103</v>
      </c>
      <c r="C33" s="86" t="s">
        <v>30</v>
      </c>
      <c r="D33" s="85" t="s">
        <v>60</v>
      </c>
      <c r="E33" s="91">
        <f>1/3</f>
        <v>0.33333333333333331</v>
      </c>
      <c r="F33" s="88">
        <f>155/3</f>
        <v>51.666666666666664</v>
      </c>
      <c r="G33" s="88">
        <v>74.349999999999994</v>
      </c>
      <c r="H33" s="89">
        <f>SUM(G33*155/3/1000)</f>
        <v>3.8414166666666665</v>
      </c>
      <c r="I33" s="12">
        <f t="shared" si="4"/>
        <v>640.23611111111109</v>
      </c>
      <c r="J33" s="45"/>
    </row>
    <row r="34" spans="1:14" s="44" customFormat="1" ht="15.75" hidden="1" customHeight="1">
      <c r="A34" s="24">
        <v>6</v>
      </c>
      <c r="B34" s="85" t="s">
        <v>61</v>
      </c>
      <c r="C34" s="86" t="s">
        <v>32</v>
      </c>
      <c r="D34" s="85" t="s">
        <v>63</v>
      </c>
      <c r="E34" s="87"/>
      <c r="F34" s="88">
        <v>2</v>
      </c>
      <c r="G34" s="88">
        <v>250.92</v>
      </c>
      <c r="H34" s="89">
        <f t="shared" si="3"/>
        <v>0.50183999999999995</v>
      </c>
      <c r="I34" s="12">
        <v>0</v>
      </c>
      <c r="J34" s="45"/>
    </row>
    <row r="35" spans="1:14" s="44" customFormat="1" ht="15.75" hidden="1" customHeight="1">
      <c r="A35" s="24">
        <v>7</v>
      </c>
      <c r="B35" s="85" t="s">
        <v>62</v>
      </c>
      <c r="C35" s="86" t="s">
        <v>31</v>
      </c>
      <c r="D35" s="85" t="s">
        <v>63</v>
      </c>
      <c r="E35" s="87"/>
      <c r="F35" s="88">
        <v>1</v>
      </c>
      <c r="G35" s="88">
        <v>1490.33</v>
      </c>
      <c r="H35" s="89">
        <f t="shared" si="3"/>
        <v>1.4903299999999999</v>
      </c>
      <c r="I35" s="12">
        <v>0</v>
      </c>
      <c r="J35" s="45"/>
    </row>
    <row r="36" spans="1:14" s="44" customFormat="1" ht="15.75" customHeight="1">
      <c r="A36" s="24"/>
      <c r="B36" s="118" t="s">
        <v>5</v>
      </c>
      <c r="C36" s="86"/>
      <c r="D36" s="85"/>
      <c r="E36" s="87"/>
      <c r="F36" s="88"/>
      <c r="G36" s="88"/>
      <c r="H36" s="89" t="s">
        <v>129</v>
      </c>
      <c r="I36" s="12"/>
      <c r="J36" s="45"/>
    </row>
    <row r="37" spans="1:14" s="44" customFormat="1" ht="15.75" customHeight="1">
      <c r="A37" s="24">
        <v>5</v>
      </c>
      <c r="B37" s="94" t="s">
        <v>26</v>
      </c>
      <c r="C37" s="86" t="s">
        <v>31</v>
      </c>
      <c r="D37" s="85"/>
      <c r="E37" s="87"/>
      <c r="F37" s="88">
        <v>5</v>
      </c>
      <c r="G37" s="88">
        <v>2003</v>
      </c>
      <c r="H37" s="89">
        <f t="shared" ref="H37:H42" si="5">SUM(F37*G37/1000)</f>
        <v>10.015000000000001</v>
      </c>
      <c r="I37" s="12">
        <f>G37*0.6</f>
        <v>1201.8</v>
      </c>
      <c r="J37" s="45"/>
    </row>
    <row r="38" spans="1:14" s="44" customFormat="1" ht="15.75" customHeight="1">
      <c r="A38" s="24">
        <v>6</v>
      </c>
      <c r="B38" s="94" t="s">
        <v>146</v>
      </c>
      <c r="C38" s="95" t="s">
        <v>29</v>
      </c>
      <c r="D38" s="85" t="s">
        <v>221</v>
      </c>
      <c r="E38" s="87">
        <v>83.7</v>
      </c>
      <c r="F38" s="96">
        <f>E38*30/1000</f>
        <v>2.5110000000000001</v>
      </c>
      <c r="G38" s="88">
        <v>2757.78</v>
      </c>
      <c r="H38" s="89">
        <f t="shared" si="5"/>
        <v>6.9247855800000009</v>
      </c>
      <c r="I38" s="12">
        <f t="shared" ref="I38:I40" si="6">F38/6*G38</f>
        <v>1154.1309300000003</v>
      </c>
      <c r="J38" s="45"/>
    </row>
    <row r="39" spans="1:14" s="44" customFormat="1" ht="15.75" customHeight="1">
      <c r="A39" s="24">
        <v>7</v>
      </c>
      <c r="B39" s="85" t="s">
        <v>64</v>
      </c>
      <c r="C39" s="86" t="s">
        <v>29</v>
      </c>
      <c r="D39" s="85" t="s">
        <v>222</v>
      </c>
      <c r="E39" s="88">
        <v>83.7</v>
      </c>
      <c r="F39" s="96">
        <f>SUM(E39*155/1000)</f>
        <v>12.9735</v>
      </c>
      <c r="G39" s="88">
        <v>460.02</v>
      </c>
      <c r="H39" s="89">
        <f t="shared" si="5"/>
        <v>5.9680694699999997</v>
      </c>
      <c r="I39" s="12">
        <f t="shared" si="6"/>
        <v>994.67824499999983</v>
      </c>
      <c r="J39" s="45"/>
    </row>
    <row r="40" spans="1:14" s="44" customFormat="1" ht="47.25" customHeight="1">
      <c r="A40" s="24">
        <v>8</v>
      </c>
      <c r="B40" s="85" t="s">
        <v>79</v>
      </c>
      <c r="C40" s="86" t="s">
        <v>100</v>
      </c>
      <c r="D40" s="85" t="s">
        <v>221</v>
      </c>
      <c r="E40" s="88">
        <v>83.7</v>
      </c>
      <c r="F40" s="96">
        <f>SUM(E40*30/1000)</f>
        <v>2.5110000000000001</v>
      </c>
      <c r="G40" s="88">
        <v>7611.16</v>
      </c>
      <c r="H40" s="89">
        <f t="shared" si="5"/>
        <v>19.111622760000003</v>
      </c>
      <c r="I40" s="12">
        <f t="shared" si="6"/>
        <v>3185.2704600000002</v>
      </c>
      <c r="J40" s="45"/>
    </row>
    <row r="41" spans="1:14" s="44" customFormat="1" ht="15.75" customHeight="1">
      <c r="A41" s="24">
        <v>9</v>
      </c>
      <c r="B41" s="85" t="s">
        <v>107</v>
      </c>
      <c r="C41" s="86" t="s">
        <v>100</v>
      </c>
      <c r="D41" s="85" t="s">
        <v>223</v>
      </c>
      <c r="E41" s="88">
        <v>83.7</v>
      </c>
      <c r="F41" s="96">
        <f>SUM(E41*24/1000)</f>
        <v>2.0088000000000004</v>
      </c>
      <c r="G41" s="88">
        <v>562.25</v>
      </c>
      <c r="H41" s="89">
        <f t="shared" si="5"/>
        <v>1.1294478000000001</v>
      </c>
      <c r="I41" s="12">
        <f>F41/7.5*G41</f>
        <v>150.59304</v>
      </c>
      <c r="J41" s="45"/>
    </row>
    <row r="42" spans="1:14" s="44" customFormat="1" ht="15.75" customHeight="1">
      <c r="A42" s="24">
        <v>10</v>
      </c>
      <c r="B42" s="94" t="s">
        <v>65</v>
      </c>
      <c r="C42" s="95" t="s">
        <v>32</v>
      </c>
      <c r="D42" s="94"/>
      <c r="E42" s="92"/>
      <c r="F42" s="96">
        <v>0.9</v>
      </c>
      <c r="G42" s="96">
        <v>974.83</v>
      </c>
      <c r="H42" s="89">
        <f t="shared" si="5"/>
        <v>0.8773470000000001</v>
      </c>
      <c r="I42" s="12">
        <f>F42/7.5*G42</f>
        <v>116.97960000000002</v>
      </c>
      <c r="J42" s="45"/>
    </row>
    <row r="43" spans="1:14" s="44" customFormat="1" ht="15.75" customHeight="1">
      <c r="A43" s="211" t="s">
        <v>135</v>
      </c>
      <c r="B43" s="212"/>
      <c r="C43" s="212"/>
      <c r="D43" s="212"/>
      <c r="E43" s="212"/>
      <c r="F43" s="212"/>
      <c r="G43" s="212"/>
      <c r="H43" s="212"/>
      <c r="I43" s="213"/>
      <c r="J43" s="45"/>
    </row>
    <row r="44" spans="1:14" s="44" customFormat="1" ht="15.75" hidden="1" customHeight="1">
      <c r="A44" s="24">
        <v>8</v>
      </c>
      <c r="B44" s="85" t="s">
        <v>108</v>
      </c>
      <c r="C44" s="86" t="s">
        <v>100</v>
      </c>
      <c r="D44" s="85" t="s">
        <v>40</v>
      </c>
      <c r="E44" s="87">
        <v>1032.5</v>
      </c>
      <c r="F44" s="88">
        <f>SUM(E44*2/1000)</f>
        <v>2.0649999999999999</v>
      </c>
      <c r="G44" s="29">
        <v>1114.1300000000001</v>
      </c>
      <c r="H44" s="89">
        <f t="shared" ref="H44:H53" si="7">SUM(F44*G44/1000)</f>
        <v>2.3006784500000004</v>
      </c>
      <c r="I44" s="12">
        <f>F44/2*G44</f>
        <v>1150.3392250000002</v>
      </c>
      <c r="J44" s="45"/>
    </row>
    <row r="45" spans="1:14" s="44" customFormat="1" ht="15.75" hidden="1" customHeight="1">
      <c r="A45" s="24"/>
      <c r="B45" s="85" t="s">
        <v>33</v>
      </c>
      <c r="C45" s="86" t="s">
        <v>100</v>
      </c>
      <c r="D45" s="85" t="s">
        <v>40</v>
      </c>
      <c r="E45" s="87">
        <v>132</v>
      </c>
      <c r="F45" s="88">
        <f>E45*2/1000</f>
        <v>0.26400000000000001</v>
      </c>
      <c r="G45" s="29">
        <v>4419.05</v>
      </c>
      <c r="H45" s="89">
        <f t="shared" si="7"/>
        <v>1.1666292</v>
      </c>
      <c r="I45" s="12">
        <f t="shared" ref="I45:I51" si="8">F45/2*G45</f>
        <v>583.31460000000004</v>
      </c>
      <c r="J45" s="45"/>
      <c r="L45" s="17"/>
      <c r="M45" s="18"/>
      <c r="N45" s="26"/>
    </row>
    <row r="46" spans="1:14" s="44" customFormat="1" ht="15.75" hidden="1" customHeight="1">
      <c r="A46" s="24">
        <v>9</v>
      </c>
      <c r="B46" s="85" t="s">
        <v>34</v>
      </c>
      <c r="C46" s="86" t="s">
        <v>100</v>
      </c>
      <c r="D46" s="85" t="s">
        <v>40</v>
      </c>
      <c r="E46" s="87">
        <v>4248.22</v>
      </c>
      <c r="F46" s="88">
        <f>SUM(E46*2/1000)</f>
        <v>8.4964399999999998</v>
      </c>
      <c r="G46" s="29">
        <v>1803.69</v>
      </c>
      <c r="H46" s="89">
        <f t="shared" si="7"/>
        <v>15.3249438636</v>
      </c>
      <c r="I46" s="12">
        <f t="shared" si="8"/>
        <v>7662.4719317999998</v>
      </c>
      <c r="J46" s="45"/>
      <c r="L46" s="17"/>
      <c r="M46" s="18"/>
      <c r="N46" s="26"/>
    </row>
    <row r="47" spans="1:14" s="44" customFormat="1" ht="15.75" hidden="1" customHeight="1">
      <c r="A47" s="24">
        <v>10</v>
      </c>
      <c r="B47" s="85" t="s">
        <v>35</v>
      </c>
      <c r="C47" s="86" t="s">
        <v>100</v>
      </c>
      <c r="D47" s="85" t="s">
        <v>40</v>
      </c>
      <c r="E47" s="87">
        <v>2163.66</v>
      </c>
      <c r="F47" s="88">
        <f>SUM(E47*2/1000)</f>
        <v>4.3273199999999994</v>
      </c>
      <c r="G47" s="29">
        <v>1243.43</v>
      </c>
      <c r="H47" s="89">
        <f t="shared" si="7"/>
        <v>5.3807195075999994</v>
      </c>
      <c r="I47" s="12">
        <f t="shared" si="8"/>
        <v>2690.3597537999999</v>
      </c>
      <c r="J47" s="45"/>
      <c r="L47" s="17"/>
      <c r="M47" s="18"/>
      <c r="N47" s="26"/>
    </row>
    <row r="48" spans="1:14" s="44" customFormat="1" ht="15.75" customHeight="1">
      <c r="A48" s="24">
        <v>11</v>
      </c>
      <c r="B48" s="85" t="s">
        <v>53</v>
      </c>
      <c r="C48" s="86" t="s">
        <v>100</v>
      </c>
      <c r="D48" s="85" t="s">
        <v>224</v>
      </c>
      <c r="E48" s="87">
        <v>3931</v>
      </c>
      <c r="F48" s="88">
        <f>SUM(E48*5/1000)</f>
        <v>19.655000000000001</v>
      </c>
      <c r="G48" s="29">
        <v>1083.69</v>
      </c>
      <c r="H48" s="89">
        <f t="shared" si="7"/>
        <v>21.29992695</v>
      </c>
      <c r="I48" s="12">
        <f>F48/5*G48</f>
        <v>4259.9853899999998</v>
      </c>
      <c r="J48" s="45"/>
      <c r="L48" s="17"/>
      <c r="M48" s="18"/>
      <c r="N48" s="26"/>
    </row>
    <row r="49" spans="1:14" s="44" customFormat="1" ht="31.5" hidden="1" customHeight="1">
      <c r="A49" s="24">
        <v>12</v>
      </c>
      <c r="B49" s="85" t="s">
        <v>109</v>
      </c>
      <c r="C49" s="86" t="s">
        <v>100</v>
      </c>
      <c r="D49" s="85" t="s">
        <v>40</v>
      </c>
      <c r="E49" s="87">
        <v>3931</v>
      </c>
      <c r="F49" s="88">
        <f>SUM(E49*2/1000)</f>
        <v>7.8620000000000001</v>
      </c>
      <c r="G49" s="29">
        <v>1591.6</v>
      </c>
      <c r="H49" s="89">
        <f t="shared" si="7"/>
        <v>12.5131592</v>
      </c>
      <c r="I49" s="12">
        <f t="shared" si="8"/>
        <v>6256.5796</v>
      </c>
      <c r="J49" s="45"/>
      <c r="L49" s="17"/>
      <c r="M49" s="18"/>
      <c r="N49" s="26"/>
    </row>
    <row r="50" spans="1:14" s="44" customFormat="1" ht="31.5" hidden="1" customHeight="1">
      <c r="A50" s="24">
        <v>12</v>
      </c>
      <c r="B50" s="85" t="s">
        <v>110</v>
      </c>
      <c r="C50" s="86" t="s">
        <v>36</v>
      </c>
      <c r="D50" s="85" t="s">
        <v>40</v>
      </c>
      <c r="E50" s="87">
        <v>30</v>
      </c>
      <c r="F50" s="88">
        <f>SUM(E50*2/100)</f>
        <v>0.6</v>
      </c>
      <c r="G50" s="29">
        <v>4058.32</v>
      </c>
      <c r="H50" s="89">
        <f t="shared" si="7"/>
        <v>2.4349920000000003</v>
      </c>
      <c r="I50" s="12">
        <f t="shared" si="8"/>
        <v>1217.4960000000001</v>
      </c>
      <c r="J50" s="45"/>
      <c r="L50" s="17"/>
      <c r="M50" s="18"/>
      <c r="N50" s="26"/>
    </row>
    <row r="51" spans="1:14" s="44" customFormat="1" ht="15.75" hidden="1" customHeight="1">
      <c r="A51" s="24">
        <v>13</v>
      </c>
      <c r="B51" s="85" t="s">
        <v>37</v>
      </c>
      <c r="C51" s="86" t="s">
        <v>38</v>
      </c>
      <c r="D51" s="85" t="s">
        <v>40</v>
      </c>
      <c r="E51" s="87">
        <v>1</v>
      </c>
      <c r="F51" s="88">
        <v>0.02</v>
      </c>
      <c r="G51" s="29">
        <v>7412.92</v>
      </c>
      <c r="H51" s="89">
        <f t="shared" si="7"/>
        <v>0.14825839999999998</v>
      </c>
      <c r="I51" s="12">
        <f t="shared" si="8"/>
        <v>74.129199999999997</v>
      </c>
      <c r="J51" s="45"/>
      <c r="L51" s="17"/>
      <c r="M51" s="18"/>
      <c r="N51" s="26"/>
    </row>
    <row r="52" spans="1:14" s="44" customFormat="1" ht="15.75" hidden="1" customHeight="1">
      <c r="A52" s="24">
        <v>14</v>
      </c>
      <c r="B52" s="85" t="s">
        <v>111</v>
      </c>
      <c r="C52" s="86" t="s">
        <v>86</v>
      </c>
      <c r="D52" s="85" t="s">
        <v>66</v>
      </c>
      <c r="E52" s="87">
        <v>90</v>
      </c>
      <c r="F52" s="88">
        <f>E52*3</f>
        <v>270</v>
      </c>
      <c r="G52" s="29">
        <v>185.08</v>
      </c>
      <c r="H52" s="89">
        <f t="shared" si="7"/>
        <v>49.971600000000009</v>
      </c>
      <c r="I52" s="12">
        <f>F52/3*G52</f>
        <v>16657.2</v>
      </c>
      <c r="J52" s="45"/>
      <c r="L52" s="17"/>
      <c r="M52" s="18"/>
      <c r="N52" s="26"/>
    </row>
    <row r="53" spans="1:14" s="44" customFormat="1" ht="15.75" hidden="1" customHeight="1">
      <c r="A53" s="24">
        <v>15</v>
      </c>
      <c r="B53" s="85" t="s">
        <v>39</v>
      </c>
      <c r="C53" s="86" t="s">
        <v>86</v>
      </c>
      <c r="D53" s="85" t="s">
        <v>66</v>
      </c>
      <c r="E53" s="87">
        <v>180</v>
      </c>
      <c r="F53" s="88">
        <f>SUM(E53)*3</f>
        <v>540</v>
      </c>
      <c r="G53" s="97">
        <v>86.15</v>
      </c>
      <c r="H53" s="89">
        <f t="shared" si="7"/>
        <v>46.521000000000001</v>
      </c>
      <c r="I53" s="12">
        <f>F53/3*G53</f>
        <v>15507.000000000002</v>
      </c>
      <c r="J53" s="45"/>
      <c r="L53" s="17"/>
      <c r="M53" s="18"/>
      <c r="N53" s="26"/>
    </row>
    <row r="54" spans="1:14" s="44" customFormat="1" ht="15.75" customHeight="1">
      <c r="A54" s="211" t="s">
        <v>136</v>
      </c>
      <c r="B54" s="212"/>
      <c r="C54" s="212"/>
      <c r="D54" s="212"/>
      <c r="E54" s="212"/>
      <c r="F54" s="212"/>
      <c r="G54" s="212"/>
      <c r="H54" s="212"/>
      <c r="I54" s="213"/>
      <c r="J54" s="45"/>
      <c r="L54" s="17"/>
      <c r="M54" s="18"/>
      <c r="N54" s="26"/>
    </row>
    <row r="55" spans="1:14" s="44" customFormat="1" ht="15.75" customHeight="1">
      <c r="A55" s="24"/>
      <c r="B55" s="119" t="s">
        <v>41</v>
      </c>
      <c r="C55" s="86"/>
      <c r="D55" s="85"/>
      <c r="E55" s="87"/>
      <c r="F55" s="88"/>
      <c r="G55" s="88"/>
      <c r="H55" s="89"/>
      <c r="I55" s="12"/>
      <c r="J55" s="45"/>
      <c r="L55" s="17"/>
      <c r="M55" s="18"/>
      <c r="N55" s="26"/>
    </row>
    <row r="56" spans="1:14" s="44" customFormat="1" ht="31.5" customHeight="1">
      <c r="A56" s="24">
        <v>12</v>
      </c>
      <c r="B56" s="85" t="s">
        <v>125</v>
      </c>
      <c r="C56" s="86" t="s">
        <v>90</v>
      </c>
      <c r="D56" s="85"/>
      <c r="E56" s="87">
        <v>30.6</v>
      </c>
      <c r="F56" s="88">
        <f>SUM(E56*6/100)</f>
        <v>1.8360000000000003</v>
      </c>
      <c r="G56" s="29">
        <v>2029.3</v>
      </c>
      <c r="H56" s="89">
        <f>SUM(F56*G56/1000)</f>
        <v>3.7257948000000005</v>
      </c>
      <c r="I56" s="12">
        <f>G56*0.05</f>
        <v>101.465</v>
      </c>
      <c r="J56" s="45"/>
      <c r="L56" s="17"/>
      <c r="M56" s="18"/>
      <c r="N56" s="26"/>
    </row>
    <row r="57" spans="1:14" s="44" customFormat="1" ht="31.5" hidden="1" customHeight="1">
      <c r="A57" s="24">
        <v>13</v>
      </c>
      <c r="B57" s="85" t="s">
        <v>84</v>
      </c>
      <c r="C57" s="86" t="s">
        <v>90</v>
      </c>
      <c r="D57" s="85" t="s">
        <v>85</v>
      </c>
      <c r="E57" s="87">
        <v>39.69</v>
      </c>
      <c r="F57" s="88">
        <f>SUM(E57*12/100)</f>
        <v>4.7627999999999995</v>
      </c>
      <c r="G57" s="29">
        <v>2029.3</v>
      </c>
      <c r="H57" s="89">
        <f>SUM(F57*G57/1000)</f>
        <v>9.6651500399999986</v>
      </c>
      <c r="I57" s="12">
        <f t="shared" ref="I57:I59" si="9">F57/6*G57</f>
        <v>1610.8583399999998</v>
      </c>
      <c r="J57" s="45"/>
      <c r="L57" s="17"/>
      <c r="M57" s="18"/>
      <c r="N57" s="26"/>
    </row>
    <row r="58" spans="1:14" s="44" customFormat="1" ht="15.75" hidden="1" customHeight="1">
      <c r="A58" s="24">
        <v>20</v>
      </c>
      <c r="B58" s="98" t="s">
        <v>113</v>
      </c>
      <c r="C58" s="99" t="s">
        <v>114</v>
      </c>
      <c r="D58" s="98" t="s">
        <v>40</v>
      </c>
      <c r="E58" s="100">
        <v>8</v>
      </c>
      <c r="F58" s="101">
        <v>16</v>
      </c>
      <c r="G58" s="29">
        <v>237.1</v>
      </c>
      <c r="H58" s="89">
        <f>SUM(F58*G58/1000)</f>
        <v>3.7936000000000001</v>
      </c>
      <c r="I58" s="12">
        <v>0</v>
      </c>
      <c r="J58" s="45"/>
      <c r="L58" s="17"/>
      <c r="M58" s="18"/>
      <c r="N58" s="26"/>
    </row>
    <row r="59" spans="1:14" s="44" customFormat="1" ht="15.75" customHeight="1">
      <c r="A59" s="24">
        <v>13</v>
      </c>
      <c r="B59" s="85" t="s">
        <v>115</v>
      </c>
      <c r="C59" s="86" t="s">
        <v>90</v>
      </c>
      <c r="D59" s="85" t="s">
        <v>224</v>
      </c>
      <c r="E59" s="87">
        <v>41.73</v>
      </c>
      <c r="F59" s="88">
        <f>SUM(E59*6/100)</f>
        <v>2.5038</v>
      </c>
      <c r="G59" s="29">
        <v>2029.3</v>
      </c>
      <c r="H59" s="89">
        <f>SUM(F59*G59/1000)</f>
        <v>5.08096134</v>
      </c>
      <c r="I59" s="12">
        <f t="shared" si="9"/>
        <v>846.82688999999993</v>
      </c>
      <c r="J59" s="45"/>
      <c r="L59" s="17"/>
      <c r="M59" s="18"/>
      <c r="N59" s="26"/>
    </row>
    <row r="60" spans="1:14" s="44" customFormat="1" ht="15.75" hidden="1" customHeight="1">
      <c r="A60" s="24"/>
      <c r="B60" s="98" t="s">
        <v>133</v>
      </c>
      <c r="C60" s="99" t="s">
        <v>31</v>
      </c>
      <c r="D60" s="98" t="s">
        <v>63</v>
      </c>
      <c r="E60" s="100"/>
      <c r="F60" s="101">
        <v>4</v>
      </c>
      <c r="G60" s="29">
        <v>1582.05</v>
      </c>
      <c r="H60" s="89">
        <f>SUM(F60*G60/1000)</f>
        <v>6.3281999999999998</v>
      </c>
      <c r="I60" s="12">
        <v>0</v>
      </c>
      <c r="J60" s="45"/>
      <c r="L60" s="17"/>
      <c r="M60" s="18"/>
      <c r="N60" s="26"/>
    </row>
    <row r="61" spans="1:14" s="44" customFormat="1" ht="15.75" customHeight="1">
      <c r="A61" s="24"/>
      <c r="B61" s="120" t="s">
        <v>42</v>
      </c>
      <c r="C61" s="99"/>
      <c r="D61" s="98"/>
      <c r="E61" s="100"/>
      <c r="F61" s="101"/>
      <c r="G61" s="29"/>
      <c r="H61" s="102"/>
      <c r="I61" s="12"/>
      <c r="J61" s="45"/>
      <c r="L61" s="17"/>
      <c r="M61" s="18"/>
      <c r="N61" s="26"/>
    </row>
    <row r="62" spans="1:14" s="44" customFormat="1" ht="15.75" hidden="1" customHeight="1">
      <c r="A62" s="24">
        <v>14</v>
      </c>
      <c r="B62" s="98" t="s">
        <v>130</v>
      </c>
      <c r="C62" s="99" t="s">
        <v>50</v>
      </c>
      <c r="D62" s="98" t="s">
        <v>51</v>
      </c>
      <c r="E62" s="100">
        <v>508.73</v>
      </c>
      <c r="F62" s="88">
        <f>SUM(E62/100)</f>
        <v>5.0872999999999999</v>
      </c>
      <c r="G62" s="29">
        <v>1040.8399999999999</v>
      </c>
      <c r="H62" s="102">
        <f>F62*G62/1000</f>
        <v>5.2950653319999992</v>
      </c>
      <c r="I62" s="12">
        <v>0</v>
      </c>
      <c r="J62" s="45"/>
      <c r="L62" s="17"/>
      <c r="M62" s="18"/>
      <c r="N62" s="26"/>
    </row>
    <row r="63" spans="1:14" s="44" customFormat="1" ht="15.75" customHeight="1">
      <c r="A63" s="24">
        <v>14</v>
      </c>
      <c r="B63" s="98" t="s">
        <v>87</v>
      </c>
      <c r="C63" s="99" t="s">
        <v>25</v>
      </c>
      <c r="D63" s="98" t="s">
        <v>225</v>
      </c>
      <c r="E63" s="100">
        <v>203.5</v>
      </c>
      <c r="F63" s="103">
        <v>2400</v>
      </c>
      <c r="G63" s="104">
        <v>1.4</v>
      </c>
      <c r="H63" s="101">
        <f>F63*G63/1000</f>
        <v>3.36</v>
      </c>
      <c r="I63" s="12">
        <f>F63/12*G63</f>
        <v>280</v>
      </c>
      <c r="J63" s="45"/>
      <c r="L63" s="17"/>
    </row>
    <row r="64" spans="1:14" s="44" customFormat="1" ht="15.75" hidden="1" customHeight="1">
      <c r="A64" s="24"/>
      <c r="B64" s="121" t="s">
        <v>43</v>
      </c>
      <c r="C64" s="99"/>
      <c r="D64" s="98"/>
      <c r="E64" s="100"/>
      <c r="F64" s="103"/>
      <c r="G64" s="103"/>
      <c r="H64" s="101" t="s">
        <v>129</v>
      </c>
      <c r="I64" s="12"/>
      <c r="J64" s="45"/>
      <c r="L64" s="17"/>
    </row>
    <row r="65" spans="1:22" s="44" customFormat="1" ht="15.75" hidden="1" customHeight="1">
      <c r="A65" s="24"/>
      <c r="B65" s="105" t="s">
        <v>44</v>
      </c>
      <c r="C65" s="106" t="s">
        <v>86</v>
      </c>
      <c r="D65" s="30" t="s">
        <v>154</v>
      </c>
      <c r="E65" s="15">
        <v>10</v>
      </c>
      <c r="F65" s="88">
        <f>E65</f>
        <v>10</v>
      </c>
      <c r="G65" s="29">
        <v>291.68</v>
      </c>
      <c r="H65" s="75">
        <f t="shared" ref="H65:H81" si="10">SUM(F65*G65/1000)</f>
        <v>2.9168000000000003</v>
      </c>
      <c r="I65" s="12">
        <v>0</v>
      </c>
    </row>
    <row r="66" spans="1:22" s="44" customFormat="1" ht="15.75" hidden="1" customHeight="1">
      <c r="A66" s="61"/>
      <c r="B66" s="105" t="s">
        <v>45</v>
      </c>
      <c r="C66" s="106" t="s">
        <v>86</v>
      </c>
      <c r="D66" s="30" t="s">
        <v>154</v>
      </c>
      <c r="E66" s="15">
        <v>10</v>
      </c>
      <c r="F66" s="88">
        <f>E66</f>
        <v>10</v>
      </c>
      <c r="G66" s="29">
        <v>100.01</v>
      </c>
      <c r="H66" s="75">
        <f t="shared" si="10"/>
        <v>1.0001</v>
      </c>
      <c r="I66" s="12">
        <v>0</v>
      </c>
    </row>
    <row r="67" spans="1:22" s="44" customFormat="1" ht="15.75" hidden="1" customHeight="1">
      <c r="A67" s="24">
        <v>22</v>
      </c>
      <c r="B67" s="105" t="s">
        <v>46</v>
      </c>
      <c r="C67" s="107" t="s">
        <v>116</v>
      </c>
      <c r="D67" s="30" t="s">
        <v>51</v>
      </c>
      <c r="E67" s="87">
        <v>14347</v>
      </c>
      <c r="F67" s="97">
        <f>SUM(E67/100)</f>
        <v>143.47</v>
      </c>
      <c r="G67" s="29">
        <v>278.24</v>
      </c>
      <c r="H67" s="75">
        <f t="shared" si="10"/>
        <v>39.919092800000001</v>
      </c>
      <c r="I67" s="12">
        <v>0</v>
      </c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2"/>
    </row>
    <row r="68" spans="1:22" s="44" customFormat="1" ht="15.75" hidden="1" customHeight="1">
      <c r="A68" s="62"/>
      <c r="B68" s="105" t="s">
        <v>47</v>
      </c>
      <c r="C68" s="106" t="s">
        <v>117</v>
      </c>
      <c r="D68" s="30"/>
      <c r="E68" s="87">
        <v>14347</v>
      </c>
      <c r="F68" s="29">
        <f>SUM(E68/1000)</f>
        <v>14.347</v>
      </c>
      <c r="G68" s="29">
        <v>216.68</v>
      </c>
      <c r="H68" s="75">
        <f t="shared" si="10"/>
        <v>3.1087079600000003</v>
      </c>
      <c r="I68" s="12">
        <v>0</v>
      </c>
      <c r="J68" s="53"/>
      <c r="K68" s="53"/>
      <c r="L68" s="51"/>
      <c r="M68" s="51"/>
      <c r="N68" s="51"/>
      <c r="O68" s="51"/>
      <c r="P68" s="51"/>
      <c r="Q68" s="51"/>
      <c r="R68" s="51"/>
      <c r="S68" s="51"/>
      <c r="T68" s="51"/>
      <c r="U68" s="51"/>
    </row>
    <row r="69" spans="1:22" s="44" customFormat="1" ht="15.75" hidden="1" customHeight="1">
      <c r="A69" s="24">
        <v>23</v>
      </c>
      <c r="B69" s="105" t="s">
        <v>48</v>
      </c>
      <c r="C69" s="106" t="s">
        <v>72</v>
      </c>
      <c r="D69" s="30" t="s">
        <v>51</v>
      </c>
      <c r="E69" s="87">
        <v>2244</v>
      </c>
      <c r="F69" s="29">
        <f>SUM(E69/100)</f>
        <v>22.44</v>
      </c>
      <c r="G69" s="29">
        <v>2720.94</v>
      </c>
      <c r="H69" s="75">
        <f t="shared" si="10"/>
        <v>61.0578936</v>
      </c>
      <c r="I69" s="12">
        <v>0</v>
      </c>
      <c r="J69" s="51"/>
      <c r="K69" s="51"/>
      <c r="L69" s="51"/>
      <c r="M69" s="51"/>
      <c r="N69" s="51"/>
      <c r="O69" s="51"/>
      <c r="P69" s="51"/>
      <c r="Q69" s="51"/>
      <c r="S69" s="51"/>
      <c r="T69" s="51"/>
      <c r="U69" s="51"/>
    </row>
    <row r="70" spans="1:22" s="44" customFormat="1" ht="15.75" hidden="1" customHeight="1">
      <c r="A70" s="24"/>
      <c r="B70" s="108" t="s">
        <v>118</v>
      </c>
      <c r="C70" s="106" t="s">
        <v>32</v>
      </c>
      <c r="D70" s="30"/>
      <c r="E70" s="87">
        <v>12.8</v>
      </c>
      <c r="F70" s="29">
        <f>SUM(E70)</f>
        <v>12.8</v>
      </c>
      <c r="G70" s="29">
        <v>42.61</v>
      </c>
      <c r="H70" s="75">
        <f t="shared" si="10"/>
        <v>0.545408</v>
      </c>
      <c r="I70" s="12">
        <v>0</v>
      </c>
      <c r="J70" s="55"/>
      <c r="K70" s="55"/>
      <c r="L70" s="55"/>
      <c r="M70" s="55"/>
      <c r="N70" s="55"/>
      <c r="O70" s="55"/>
      <c r="P70" s="55"/>
      <c r="Q70" s="55"/>
      <c r="R70" s="188"/>
      <c r="S70" s="188"/>
      <c r="T70" s="188"/>
      <c r="U70" s="188"/>
    </row>
    <row r="71" spans="1:22" s="44" customFormat="1" ht="15.75" hidden="1" customHeight="1">
      <c r="A71" s="24">
        <v>19</v>
      </c>
      <c r="B71" s="108" t="s">
        <v>119</v>
      </c>
      <c r="C71" s="106" t="s">
        <v>32</v>
      </c>
      <c r="D71" s="30"/>
      <c r="E71" s="87">
        <v>12.8</v>
      </c>
      <c r="F71" s="29">
        <f>SUM(E71)</f>
        <v>12.8</v>
      </c>
      <c r="G71" s="29">
        <v>46.04</v>
      </c>
      <c r="H71" s="75">
        <f t="shared" si="10"/>
        <v>0.58931200000000006</v>
      </c>
      <c r="I71" s="12">
        <v>0</v>
      </c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</row>
    <row r="72" spans="1:22" s="44" customFormat="1" ht="15.75" hidden="1" customHeight="1">
      <c r="A72" s="24">
        <v>20</v>
      </c>
      <c r="B72" s="30" t="s">
        <v>54</v>
      </c>
      <c r="C72" s="106" t="s">
        <v>55</v>
      </c>
      <c r="D72" s="30" t="s">
        <v>51</v>
      </c>
      <c r="E72" s="15">
        <v>6</v>
      </c>
      <c r="F72" s="29">
        <f>SUM(E72)</f>
        <v>6</v>
      </c>
      <c r="G72" s="29">
        <v>65.42</v>
      </c>
      <c r="H72" s="75">
        <f t="shared" si="10"/>
        <v>0.39251999999999998</v>
      </c>
      <c r="I72" s="12">
        <v>0</v>
      </c>
    </row>
    <row r="73" spans="1:22" s="44" customFormat="1" ht="15.75" customHeight="1">
      <c r="A73" s="24"/>
      <c r="B73" s="122" t="s">
        <v>147</v>
      </c>
      <c r="C73" s="106"/>
      <c r="D73" s="30"/>
      <c r="E73" s="15"/>
      <c r="F73" s="104"/>
      <c r="G73" s="29"/>
      <c r="H73" s="75"/>
      <c r="I73" s="12"/>
    </row>
    <row r="74" spans="1:22" s="44" customFormat="1" ht="15.75" customHeight="1">
      <c r="A74" s="24">
        <v>15</v>
      </c>
      <c r="B74" s="30" t="s">
        <v>148</v>
      </c>
      <c r="C74" s="109" t="s">
        <v>149</v>
      </c>
      <c r="D74" s="30"/>
      <c r="E74" s="15">
        <v>3181</v>
      </c>
      <c r="F74" s="88">
        <f>SUM(E74)*12</f>
        <v>38172</v>
      </c>
      <c r="G74" s="29">
        <v>2.2799999999999998</v>
      </c>
      <c r="H74" s="75">
        <f t="shared" ref="H74" si="11">SUM(F74*G74/1000)</f>
        <v>87.03215999999999</v>
      </c>
      <c r="I74" s="12">
        <f>F74/12*G74</f>
        <v>7252.6799999999994</v>
      </c>
    </row>
    <row r="75" spans="1:22" s="44" customFormat="1" ht="15.75" hidden="1" customHeight="1">
      <c r="A75" s="24"/>
      <c r="B75" s="122" t="s">
        <v>67</v>
      </c>
      <c r="C75" s="106"/>
      <c r="D75" s="30"/>
      <c r="E75" s="15"/>
      <c r="F75" s="29"/>
      <c r="G75" s="29"/>
      <c r="H75" s="75" t="s">
        <v>129</v>
      </c>
      <c r="I75" s="12"/>
    </row>
    <row r="76" spans="1:22" s="44" customFormat="1" ht="15.75" hidden="1" customHeight="1">
      <c r="A76" s="24">
        <v>24</v>
      </c>
      <c r="B76" s="30" t="s">
        <v>150</v>
      </c>
      <c r="C76" s="106" t="s">
        <v>30</v>
      </c>
      <c r="D76" s="30" t="s">
        <v>63</v>
      </c>
      <c r="E76" s="15">
        <v>1</v>
      </c>
      <c r="F76" s="88">
        <f t="shared" ref="F76" si="12">E76</f>
        <v>1</v>
      </c>
      <c r="G76" s="29">
        <v>1029.1199999999999</v>
      </c>
      <c r="H76" s="75">
        <f>G76*F76/1000</f>
        <v>1.0291199999999998</v>
      </c>
      <c r="I76" s="12">
        <v>0</v>
      </c>
    </row>
    <row r="77" spans="1:22" s="44" customFormat="1" ht="15.75" hidden="1" customHeight="1">
      <c r="A77" s="24"/>
      <c r="B77" s="30" t="s">
        <v>151</v>
      </c>
      <c r="C77" s="106" t="s">
        <v>152</v>
      </c>
      <c r="D77" s="30" t="s">
        <v>63</v>
      </c>
      <c r="E77" s="15">
        <v>1</v>
      </c>
      <c r="F77" s="29">
        <v>1</v>
      </c>
      <c r="G77" s="29">
        <v>735</v>
      </c>
      <c r="H77" s="75">
        <f t="shared" ref="H77:H79" si="13">SUM(F77*G77/1000)</f>
        <v>0.73499999999999999</v>
      </c>
      <c r="I77" s="12">
        <v>0</v>
      </c>
    </row>
    <row r="78" spans="1:22" s="44" customFormat="1" ht="15.75" hidden="1" customHeight="1">
      <c r="A78" s="24"/>
      <c r="B78" s="30" t="s">
        <v>68</v>
      </c>
      <c r="C78" s="106" t="s">
        <v>70</v>
      </c>
      <c r="D78" s="30" t="s">
        <v>63</v>
      </c>
      <c r="E78" s="15">
        <v>8</v>
      </c>
      <c r="F78" s="29">
        <f>E78/10</f>
        <v>0.8</v>
      </c>
      <c r="G78" s="29">
        <v>657.87</v>
      </c>
      <c r="H78" s="75">
        <f t="shared" si="13"/>
        <v>0.5262960000000001</v>
      </c>
      <c r="I78" s="12">
        <v>0</v>
      </c>
    </row>
    <row r="79" spans="1:22" s="44" customFormat="1" ht="15.75" hidden="1" customHeight="1">
      <c r="A79" s="24">
        <v>21</v>
      </c>
      <c r="B79" s="30" t="s">
        <v>69</v>
      </c>
      <c r="C79" s="106" t="s">
        <v>30</v>
      </c>
      <c r="D79" s="30" t="s">
        <v>63</v>
      </c>
      <c r="E79" s="15">
        <v>1</v>
      </c>
      <c r="F79" s="104">
        <v>1</v>
      </c>
      <c r="G79" s="29">
        <v>1118.72</v>
      </c>
      <c r="H79" s="75">
        <f t="shared" si="13"/>
        <v>1.1187199999999999</v>
      </c>
      <c r="I79" s="12">
        <v>0</v>
      </c>
    </row>
    <row r="80" spans="1:22" s="44" customFormat="1" ht="15.75" hidden="1" customHeight="1">
      <c r="A80" s="24"/>
      <c r="B80" s="123" t="s">
        <v>71</v>
      </c>
      <c r="C80" s="106"/>
      <c r="D80" s="30"/>
      <c r="E80" s="15"/>
      <c r="F80" s="29"/>
      <c r="G80" s="29" t="s">
        <v>129</v>
      </c>
      <c r="H80" s="75" t="s">
        <v>129</v>
      </c>
      <c r="I80" s="12" t="str">
        <f>G80</f>
        <v xml:space="preserve"> </v>
      </c>
    </row>
    <row r="81" spans="1:9" s="44" customFormat="1" ht="15.75" hidden="1" customHeight="1">
      <c r="A81" s="24"/>
      <c r="B81" s="110" t="s">
        <v>122</v>
      </c>
      <c r="C81" s="107" t="s">
        <v>72</v>
      </c>
      <c r="D81" s="105"/>
      <c r="E81" s="111"/>
      <c r="F81" s="97">
        <v>0.6</v>
      </c>
      <c r="G81" s="97">
        <v>3619.09</v>
      </c>
      <c r="H81" s="75">
        <f t="shared" si="10"/>
        <v>2.1714540000000002</v>
      </c>
      <c r="I81" s="12">
        <v>0</v>
      </c>
    </row>
    <row r="82" spans="1:9" s="44" customFormat="1" ht="21" hidden="1" customHeight="1">
      <c r="A82" s="24"/>
      <c r="B82" s="73" t="s">
        <v>120</v>
      </c>
      <c r="C82" s="12"/>
      <c r="D82" s="12"/>
      <c r="E82" s="12"/>
      <c r="F82" s="12"/>
      <c r="G82" s="12"/>
      <c r="H82" s="12"/>
      <c r="I82" s="12"/>
    </row>
    <row r="83" spans="1:9" s="44" customFormat="1" ht="21.75" hidden="1" customHeight="1">
      <c r="A83" s="24">
        <v>17</v>
      </c>
      <c r="B83" s="85" t="s">
        <v>121</v>
      </c>
      <c r="C83" s="112"/>
      <c r="D83" s="113"/>
      <c r="E83" s="114"/>
      <c r="F83" s="115">
        <v>1</v>
      </c>
      <c r="G83" s="115">
        <v>8184</v>
      </c>
      <c r="H83" s="75">
        <f>G83*F83/1000</f>
        <v>8.1839999999999993</v>
      </c>
      <c r="I83" s="12">
        <f>G83</f>
        <v>8184</v>
      </c>
    </row>
    <row r="84" spans="1:9" s="44" customFormat="1" ht="15.75" customHeight="1">
      <c r="A84" s="201" t="s">
        <v>137</v>
      </c>
      <c r="B84" s="202"/>
      <c r="C84" s="202"/>
      <c r="D84" s="202"/>
      <c r="E84" s="202"/>
      <c r="F84" s="202"/>
      <c r="G84" s="202"/>
      <c r="H84" s="202"/>
      <c r="I84" s="203"/>
    </row>
    <row r="85" spans="1:9" s="44" customFormat="1" ht="15.75" customHeight="1">
      <c r="A85" s="61">
        <v>16</v>
      </c>
      <c r="B85" s="85" t="s">
        <v>123</v>
      </c>
      <c r="C85" s="106" t="s">
        <v>52</v>
      </c>
      <c r="D85" s="116"/>
      <c r="E85" s="29">
        <v>3931</v>
      </c>
      <c r="F85" s="29">
        <f>SUM(E85*12)</f>
        <v>47172</v>
      </c>
      <c r="G85" s="29">
        <v>3.1</v>
      </c>
      <c r="H85" s="75">
        <f>SUM(F85*G85/1000)</f>
        <v>146.23320000000001</v>
      </c>
      <c r="I85" s="12">
        <f>F85/12*G85</f>
        <v>12186.1</v>
      </c>
    </row>
    <row r="86" spans="1:9" s="44" customFormat="1" ht="31.5" customHeight="1">
      <c r="A86" s="24">
        <v>17</v>
      </c>
      <c r="B86" s="30" t="s">
        <v>73</v>
      </c>
      <c r="C86" s="106"/>
      <c r="D86" s="116"/>
      <c r="E86" s="87">
        <f>E85</f>
        <v>3931</v>
      </c>
      <c r="F86" s="29">
        <f>E86*12</f>
        <v>47172</v>
      </c>
      <c r="G86" s="29">
        <v>3.5</v>
      </c>
      <c r="H86" s="75">
        <f>F86*G86/1000</f>
        <v>165.102</v>
      </c>
      <c r="I86" s="12">
        <f>F86/12*G86</f>
        <v>13758.5</v>
      </c>
    </row>
    <row r="87" spans="1:9" s="44" customFormat="1" ht="15.75" customHeight="1">
      <c r="A87" s="24"/>
      <c r="B87" s="31" t="s">
        <v>76</v>
      </c>
      <c r="C87" s="57"/>
      <c r="D87" s="56"/>
      <c r="E87" s="46"/>
      <c r="F87" s="46"/>
      <c r="G87" s="46"/>
      <c r="H87" s="58">
        <f>H86</f>
        <v>165.102</v>
      </c>
      <c r="I87" s="46">
        <f>I86+I85+I74+I63+I59+I48+I42+I41+I40+I39+I38+I37+I25+I18+I17+I16+I56</f>
        <v>63468.133885000003</v>
      </c>
    </row>
    <row r="88" spans="1:9" s="44" customFormat="1" ht="15.75" customHeight="1">
      <c r="A88" s="190" t="s">
        <v>57</v>
      </c>
      <c r="B88" s="191"/>
      <c r="C88" s="191"/>
      <c r="D88" s="191"/>
      <c r="E88" s="191"/>
      <c r="F88" s="191"/>
      <c r="G88" s="191"/>
      <c r="H88" s="191"/>
      <c r="I88" s="192"/>
    </row>
    <row r="89" spans="1:9" s="44" customFormat="1" ht="32.25" customHeight="1">
      <c r="A89" s="24">
        <v>18</v>
      </c>
      <c r="B89" s="77" t="s">
        <v>182</v>
      </c>
      <c r="C89" s="78" t="s">
        <v>29</v>
      </c>
      <c r="D89" s="30"/>
      <c r="E89" s="15"/>
      <c r="F89" s="29">
        <v>7</v>
      </c>
      <c r="G89" s="29">
        <v>19757.060000000001</v>
      </c>
      <c r="H89" s="75">
        <f>G89*F89/1000</f>
        <v>138.29942000000003</v>
      </c>
      <c r="I89" s="59">
        <f>G89*0.599*10/1000</f>
        <v>118.34478940000001</v>
      </c>
    </row>
    <row r="90" spans="1:9" s="44" customFormat="1" ht="14.25" customHeight="1">
      <c r="A90" s="24">
        <v>19</v>
      </c>
      <c r="B90" s="77" t="s">
        <v>78</v>
      </c>
      <c r="C90" s="78" t="s">
        <v>86</v>
      </c>
      <c r="D90" s="30"/>
      <c r="E90" s="15"/>
      <c r="F90" s="29">
        <v>4</v>
      </c>
      <c r="G90" s="29">
        <v>207.55</v>
      </c>
      <c r="H90" s="75">
        <f>G90*F90/1000</f>
        <v>0.83020000000000005</v>
      </c>
      <c r="I90" s="59">
        <f>G90*2</f>
        <v>415.1</v>
      </c>
    </row>
    <row r="91" spans="1:9" s="44" customFormat="1" ht="31.5" customHeight="1">
      <c r="A91" s="24">
        <v>20</v>
      </c>
      <c r="B91" s="77" t="s">
        <v>185</v>
      </c>
      <c r="C91" s="78" t="s">
        <v>36</v>
      </c>
      <c r="D91" s="30"/>
      <c r="E91" s="15"/>
      <c r="F91" s="29">
        <v>7</v>
      </c>
      <c r="G91" s="29">
        <v>3914.31</v>
      </c>
      <c r="H91" s="75">
        <f>G91*F91/1000</f>
        <v>27.400169999999999</v>
      </c>
      <c r="I91" s="76">
        <f>G91*0.01</f>
        <v>39.143099999999997</v>
      </c>
    </row>
    <row r="92" spans="1:9" s="44" customFormat="1" ht="17.25" customHeight="1">
      <c r="A92" s="24">
        <v>21</v>
      </c>
      <c r="B92" s="77" t="s">
        <v>159</v>
      </c>
      <c r="C92" s="78" t="s">
        <v>186</v>
      </c>
      <c r="D92" s="30"/>
      <c r="E92" s="15"/>
      <c r="F92" s="29"/>
      <c r="G92" s="29">
        <v>273</v>
      </c>
      <c r="H92" s="75"/>
      <c r="I92" s="76">
        <f>G92*6</f>
        <v>1638</v>
      </c>
    </row>
    <row r="93" spans="1:9" s="44" customFormat="1" ht="14.25" customHeight="1">
      <c r="A93" s="24">
        <v>22</v>
      </c>
      <c r="B93" s="77" t="s">
        <v>173</v>
      </c>
      <c r="C93" s="78" t="s">
        <v>174</v>
      </c>
      <c r="D93" s="30"/>
      <c r="E93" s="15"/>
      <c r="F93" s="29"/>
      <c r="G93" s="29">
        <v>218</v>
      </c>
      <c r="H93" s="75"/>
      <c r="I93" s="76">
        <f>G93*1</f>
        <v>218</v>
      </c>
    </row>
    <row r="94" spans="1:9" s="44" customFormat="1" ht="30" customHeight="1">
      <c r="A94" s="24">
        <v>23</v>
      </c>
      <c r="B94" s="77" t="s">
        <v>281</v>
      </c>
      <c r="C94" s="78" t="s">
        <v>86</v>
      </c>
      <c r="D94" s="109" t="s">
        <v>277</v>
      </c>
      <c r="E94" s="15"/>
      <c r="F94" s="29"/>
      <c r="G94" s="29">
        <v>909</v>
      </c>
      <c r="H94" s="75"/>
      <c r="I94" s="76">
        <f>G94*2</f>
        <v>1818</v>
      </c>
    </row>
    <row r="95" spans="1:9" s="44" customFormat="1" ht="15.75" customHeight="1">
      <c r="A95" s="24">
        <v>24</v>
      </c>
      <c r="B95" s="77" t="s">
        <v>194</v>
      </c>
      <c r="C95" s="78" t="s">
        <v>86</v>
      </c>
      <c r="D95" s="30"/>
      <c r="E95" s="15"/>
      <c r="F95" s="29"/>
      <c r="G95" s="29">
        <v>86.15</v>
      </c>
      <c r="H95" s="75"/>
      <c r="I95" s="76">
        <f>G95*2</f>
        <v>172.3</v>
      </c>
    </row>
    <row r="96" spans="1:9" s="44" customFormat="1" ht="15.75" customHeight="1">
      <c r="A96" s="24">
        <v>25</v>
      </c>
      <c r="B96" s="77" t="s">
        <v>195</v>
      </c>
      <c r="C96" s="78" t="s">
        <v>86</v>
      </c>
      <c r="D96" s="30"/>
      <c r="E96" s="15"/>
      <c r="F96" s="29"/>
      <c r="G96" s="29">
        <v>109.73</v>
      </c>
      <c r="H96" s="75"/>
      <c r="I96" s="76">
        <f>G96*1</f>
        <v>109.73</v>
      </c>
    </row>
    <row r="97" spans="1:9" s="44" customFormat="1" ht="15.75" customHeight="1">
      <c r="A97" s="24">
        <v>26</v>
      </c>
      <c r="B97" s="77" t="s">
        <v>198</v>
      </c>
      <c r="C97" s="78" t="s">
        <v>86</v>
      </c>
      <c r="D97" s="30"/>
      <c r="E97" s="15"/>
      <c r="F97" s="29"/>
      <c r="G97" s="29">
        <v>78.89</v>
      </c>
      <c r="H97" s="75"/>
      <c r="I97" s="76">
        <f>G97*1</f>
        <v>78.89</v>
      </c>
    </row>
    <row r="98" spans="1:9" s="44" customFormat="1" ht="15.75" customHeight="1">
      <c r="A98" s="24">
        <v>27</v>
      </c>
      <c r="B98" s="77" t="s">
        <v>205</v>
      </c>
      <c r="C98" s="78" t="s">
        <v>86</v>
      </c>
      <c r="D98" s="30"/>
      <c r="E98" s="15"/>
      <c r="F98" s="29"/>
      <c r="G98" s="29">
        <v>49</v>
      </c>
      <c r="H98" s="75"/>
      <c r="I98" s="76">
        <f>G98*1</f>
        <v>49</v>
      </c>
    </row>
    <row r="99" spans="1:9" ht="15.75" customHeight="1">
      <c r="A99" s="24"/>
      <c r="B99" s="60" t="s">
        <v>49</v>
      </c>
      <c r="C99" s="32"/>
      <c r="D99" s="38"/>
      <c r="E99" s="32">
        <v>1</v>
      </c>
      <c r="F99" s="32"/>
      <c r="G99" s="32"/>
      <c r="H99" s="32"/>
      <c r="I99" s="27">
        <f>SUM(I89:I98)</f>
        <v>4656.5078893999998</v>
      </c>
    </row>
    <row r="100" spans="1:9" ht="15.75" customHeight="1">
      <c r="A100" s="24"/>
      <c r="B100" s="37" t="s">
        <v>74</v>
      </c>
      <c r="C100" s="14"/>
      <c r="D100" s="14"/>
      <c r="E100" s="33"/>
      <c r="F100" s="33"/>
      <c r="G100" s="34"/>
      <c r="H100" s="34"/>
      <c r="I100" s="15">
        <v>0</v>
      </c>
    </row>
    <row r="101" spans="1:9">
      <c r="A101" s="39"/>
      <c r="B101" s="36" t="s">
        <v>143</v>
      </c>
      <c r="C101" s="28"/>
      <c r="D101" s="28"/>
      <c r="E101" s="28"/>
      <c r="F101" s="28"/>
      <c r="G101" s="28"/>
      <c r="H101" s="28"/>
      <c r="I101" s="35">
        <f>I87+I99</f>
        <v>68124.641774400006</v>
      </c>
    </row>
    <row r="102" spans="1:9" ht="15.75">
      <c r="A102" s="193" t="s">
        <v>282</v>
      </c>
      <c r="B102" s="193"/>
      <c r="C102" s="193"/>
      <c r="D102" s="193"/>
      <c r="E102" s="193"/>
      <c r="F102" s="193"/>
      <c r="G102" s="193"/>
      <c r="H102" s="193"/>
      <c r="I102" s="193"/>
    </row>
    <row r="103" spans="1:9" ht="15.75">
      <c r="A103" s="68"/>
      <c r="B103" s="194" t="s">
        <v>283</v>
      </c>
      <c r="C103" s="194"/>
      <c r="D103" s="194"/>
      <c r="E103" s="194"/>
      <c r="F103" s="194"/>
      <c r="G103" s="194"/>
      <c r="H103" s="43"/>
      <c r="I103" s="3"/>
    </row>
    <row r="104" spans="1:9" ht="15.75" customHeight="1">
      <c r="A104" s="71"/>
      <c r="B104" s="195" t="s">
        <v>6</v>
      </c>
      <c r="C104" s="195"/>
      <c r="D104" s="195"/>
      <c r="E104" s="195"/>
      <c r="F104" s="195"/>
      <c r="G104" s="195"/>
      <c r="H104" s="19"/>
      <c r="I104" s="5"/>
    </row>
    <row r="105" spans="1:9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5.75">
      <c r="A106" s="196" t="s">
        <v>7</v>
      </c>
      <c r="B106" s="196"/>
      <c r="C106" s="196"/>
      <c r="D106" s="196"/>
      <c r="E106" s="196"/>
      <c r="F106" s="196"/>
      <c r="G106" s="196"/>
      <c r="H106" s="196"/>
      <c r="I106" s="196"/>
    </row>
    <row r="107" spans="1:9" ht="15.75">
      <c r="A107" s="196" t="s">
        <v>8</v>
      </c>
      <c r="B107" s="196"/>
      <c r="C107" s="196"/>
      <c r="D107" s="196"/>
      <c r="E107" s="196"/>
      <c r="F107" s="196"/>
      <c r="G107" s="196"/>
      <c r="H107" s="196"/>
      <c r="I107" s="196"/>
    </row>
    <row r="108" spans="1:9" ht="15.75" customHeight="1">
      <c r="A108" s="197" t="s">
        <v>58</v>
      </c>
      <c r="B108" s="197"/>
      <c r="C108" s="197"/>
      <c r="D108" s="197"/>
      <c r="E108" s="197"/>
      <c r="F108" s="197"/>
      <c r="G108" s="197"/>
      <c r="H108" s="197"/>
      <c r="I108" s="197"/>
    </row>
    <row r="109" spans="1:9" ht="15.75">
      <c r="A109" s="10"/>
    </row>
    <row r="110" spans="1:9" ht="15.75">
      <c r="A110" s="198" t="s">
        <v>9</v>
      </c>
      <c r="B110" s="198"/>
      <c r="C110" s="198"/>
      <c r="D110" s="198"/>
      <c r="E110" s="198"/>
      <c r="F110" s="198"/>
      <c r="G110" s="198"/>
      <c r="H110" s="198"/>
      <c r="I110" s="198"/>
    </row>
    <row r="111" spans="1:9" ht="15.75">
      <c r="A111" s="4"/>
    </row>
    <row r="112" spans="1:9" ht="15.75">
      <c r="B112" s="72" t="s">
        <v>10</v>
      </c>
      <c r="C112" s="199" t="s">
        <v>83</v>
      </c>
      <c r="D112" s="199"/>
      <c r="E112" s="199"/>
      <c r="F112" s="41"/>
      <c r="I112" s="70"/>
    </row>
    <row r="113" spans="1:9">
      <c r="A113" s="71"/>
      <c r="C113" s="195" t="s">
        <v>11</v>
      </c>
      <c r="D113" s="195"/>
      <c r="E113" s="195"/>
      <c r="F113" s="19"/>
      <c r="I113" s="69" t="s">
        <v>12</v>
      </c>
    </row>
    <row r="114" spans="1:9" ht="15.75">
      <c r="A114" s="20"/>
      <c r="C114" s="11"/>
      <c r="D114" s="11"/>
      <c r="G114" s="11"/>
      <c r="H114" s="11"/>
    </row>
    <row r="115" spans="1:9" ht="15.75">
      <c r="B115" s="72" t="s">
        <v>13</v>
      </c>
      <c r="C115" s="200"/>
      <c r="D115" s="200"/>
      <c r="E115" s="200"/>
      <c r="F115" s="42"/>
      <c r="I115" s="70"/>
    </row>
    <row r="116" spans="1:9">
      <c r="A116" s="71"/>
      <c r="C116" s="189" t="s">
        <v>11</v>
      </c>
      <c r="D116" s="189"/>
      <c r="E116" s="189"/>
      <c r="F116" s="71"/>
      <c r="I116" s="69" t="s">
        <v>12</v>
      </c>
    </row>
    <row r="117" spans="1:9" ht="15.75">
      <c r="A117" s="4" t="s">
        <v>14</v>
      </c>
    </row>
    <row r="118" spans="1:9" ht="15" customHeight="1">
      <c r="A118" s="186" t="s">
        <v>15</v>
      </c>
      <c r="B118" s="186"/>
      <c r="C118" s="186"/>
      <c r="D118" s="186"/>
      <c r="E118" s="186"/>
      <c r="F118" s="186"/>
      <c r="G118" s="186"/>
      <c r="H118" s="186"/>
      <c r="I118" s="186"/>
    </row>
    <row r="119" spans="1:9" ht="45" customHeight="1">
      <c r="A119" s="187" t="s">
        <v>16</v>
      </c>
      <c r="B119" s="187"/>
      <c r="C119" s="187"/>
      <c r="D119" s="187"/>
      <c r="E119" s="187"/>
      <c r="F119" s="187"/>
      <c r="G119" s="187"/>
      <c r="H119" s="187"/>
      <c r="I119" s="187"/>
    </row>
    <row r="120" spans="1:9" ht="30" customHeight="1">
      <c r="A120" s="187" t="s">
        <v>17</v>
      </c>
      <c r="B120" s="187"/>
      <c r="C120" s="187"/>
      <c r="D120" s="187"/>
      <c r="E120" s="187"/>
      <c r="F120" s="187"/>
      <c r="G120" s="187"/>
      <c r="H120" s="187"/>
      <c r="I120" s="187"/>
    </row>
    <row r="121" spans="1:9" ht="30" customHeight="1">
      <c r="A121" s="187" t="s">
        <v>21</v>
      </c>
      <c r="B121" s="187"/>
      <c r="C121" s="187"/>
      <c r="D121" s="187"/>
      <c r="E121" s="187"/>
      <c r="F121" s="187"/>
      <c r="G121" s="187"/>
      <c r="H121" s="187"/>
      <c r="I121" s="187"/>
    </row>
    <row r="122" spans="1:9" ht="15" customHeight="1">
      <c r="A122" s="187" t="s">
        <v>20</v>
      </c>
      <c r="B122" s="187"/>
      <c r="C122" s="187"/>
      <c r="D122" s="187"/>
      <c r="E122" s="187"/>
      <c r="F122" s="187"/>
      <c r="G122" s="187"/>
      <c r="H122" s="187"/>
      <c r="I122" s="187"/>
    </row>
  </sheetData>
  <autoFilter ref="I12:I65"/>
  <mergeCells count="29">
    <mergeCell ref="A118:I118"/>
    <mergeCell ref="A119:I119"/>
    <mergeCell ref="A120:I120"/>
    <mergeCell ref="A121:I121"/>
    <mergeCell ref="A122:I122"/>
    <mergeCell ref="R70:U70"/>
    <mergeCell ref="C116:E116"/>
    <mergeCell ref="A88:I88"/>
    <mergeCell ref="A102:I102"/>
    <mergeCell ref="B103:G103"/>
    <mergeCell ref="B104:G104"/>
    <mergeCell ref="A106:I106"/>
    <mergeCell ref="A107:I107"/>
    <mergeCell ref="A108:I108"/>
    <mergeCell ref="A110:I110"/>
    <mergeCell ref="C112:E112"/>
    <mergeCell ref="C113:E113"/>
    <mergeCell ref="C115:E115"/>
    <mergeCell ref="A84:I84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9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28"/>
  <sheetViews>
    <sheetView view="pageBreakPreview" topLeftCell="A99" zoomScale="60" workbookViewId="0">
      <selection activeCell="B38" sqref="B38:I4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2" t="s">
        <v>171</v>
      </c>
      <c r="I1" s="21"/>
      <c r="J1" s="1"/>
      <c r="K1" s="1"/>
      <c r="L1" s="1"/>
      <c r="M1" s="1"/>
    </row>
    <row r="2" spans="1:13" ht="15.75" customHeight="1">
      <c r="A2" s="23" t="s">
        <v>59</v>
      </c>
      <c r="J2" s="2"/>
      <c r="K2" s="2"/>
      <c r="L2" s="2"/>
      <c r="M2" s="2"/>
    </row>
    <row r="3" spans="1:13" ht="15.75" customHeight="1">
      <c r="A3" s="204" t="s">
        <v>138</v>
      </c>
      <c r="B3" s="204"/>
      <c r="C3" s="204"/>
      <c r="D3" s="204"/>
      <c r="E3" s="204"/>
      <c r="F3" s="204"/>
      <c r="G3" s="204"/>
      <c r="H3" s="204"/>
      <c r="I3" s="204"/>
      <c r="J3" s="3"/>
      <c r="K3" s="3"/>
      <c r="L3" s="3"/>
    </row>
    <row r="4" spans="1:13" ht="31.5" customHeight="1">
      <c r="A4" s="205" t="s">
        <v>124</v>
      </c>
      <c r="B4" s="205"/>
      <c r="C4" s="205"/>
      <c r="D4" s="205"/>
      <c r="E4" s="205"/>
      <c r="F4" s="205"/>
      <c r="G4" s="205"/>
      <c r="H4" s="205"/>
      <c r="I4" s="205"/>
    </row>
    <row r="5" spans="1:13" ht="15.75">
      <c r="A5" s="204" t="s">
        <v>189</v>
      </c>
      <c r="B5" s="206"/>
      <c r="C5" s="206"/>
      <c r="D5" s="206"/>
      <c r="E5" s="206"/>
      <c r="F5" s="206"/>
      <c r="G5" s="206"/>
      <c r="H5" s="206"/>
      <c r="I5" s="206"/>
      <c r="J5" s="2"/>
      <c r="K5" s="2"/>
      <c r="L5" s="2"/>
      <c r="M5" s="2"/>
    </row>
    <row r="6" spans="1:13" ht="15.75">
      <c r="A6" s="2"/>
      <c r="B6" s="80"/>
      <c r="C6" s="80"/>
      <c r="D6" s="80"/>
      <c r="E6" s="80"/>
      <c r="F6" s="80"/>
      <c r="G6" s="80"/>
      <c r="H6" s="80"/>
      <c r="I6" s="25">
        <v>43524</v>
      </c>
      <c r="J6" s="2"/>
      <c r="K6" s="2"/>
      <c r="L6" s="2"/>
      <c r="M6" s="2"/>
    </row>
    <row r="7" spans="1:13" ht="15.75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7" t="s">
        <v>175</v>
      </c>
      <c r="B8" s="207"/>
      <c r="C8" s="207"/>
      <c r="D8" s="207"/>
      <c r="E8" s="207"/>
      <c r="F8" s="207"/>
      <c r="G8" s="207"/>
      <c r="H8" s="207"/>
      <c r="I8" s="207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08" t="s">
        <v>158</v>
      </c>
      <c r="B10" s="208"/>
      <c r="C10" s="208"/>
      <c r="D10" s="208"/>
      <c r="E10" s="208"/>
      <c r="F10" s="208"/>
      <c r="G10" s="208"/>
      <c r="H10" s="208"/>
      <c r="I10" s="208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9" t="s">
        <v>56</v>
      </c>
      <c r="B14" s="209"/>
      <c r="C14" s="209"/>
      <c r="D14" s="209"/>
      <c r="E14" s="209"/>
      <c r="F14" s="209"/>
      <c r="G14" s="209"/>
      <c r="H14" s="209"/>
      <c r="I14" s="209"/>
      <c r="J14" s="8"/>
      <c r="K14" s="8"/>
      <c r="L14" s="8"/>
      <c r="M14" s="8"/>
    </row>
    <row r="15" spans="1:13" ht="15.75" customHeight="1">
      <c r="A15" s="210" t="s">
        <v>4</v>
      </c>
      <c r="B15" s="210"/>
      <c r="C15" s="210"/>
      <c r="D15" s="210"/>
      <c r="E15" s="210"/>
      <c r="F15" s="210"/>
      <c r="G15" s="210"/>
      <c r="H15" s="210"/>
      <c r="I15" s="210"/>
      <c r="J15" s="8"/>
      <c r="K15" s="8"/>
      <c r="L15" s="8"/>
      <c r="M15" s="8"/>
    </row>
    <row r="16" spans="1:13" s="44" customFormat="1" ht="15.75" customHeight="1">
      <c r="A16" s="24">
        <v>1</v>
      </c>
      <c r="B16" s="85" t="s">
        <v>81</v>
      </c>
      <c r="C16" s="86" t="s">
        <v>90</v>
      </c>
      <c r="D16" s="85" t="s">
        <v>217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24" si="0">SUM(F16*G16/1000)</f>
        <v>34.100352000000008</v>
      </c>
      <c r="I16" s="12">
        <f>F16/12*G16</f>
        <v>2841.6960000000004</v>
      </c>
    </row>
    <row r="17" spans="1:10" s="44" customFormat="1" ht="15.75" customHeight="1">
      <c r="A17" s="24">
        <v>2</v>
      </c>
      <c r="B17" s="85" t="s">
        <v>88</v>
      </c>
      <c r="C17" s="86" t="s">
        <v>90</v>
      </c>
      <c r="D17" s="85" t="s">
        <v>218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  <c r="J17" s="45"/>
    </row>
    <row r="18" spans="1:10" s="44" customFormat="1" ht="15.75" customHeight="1">
      <c r="A18" s="24">
        <v>3</v>
      </c>
      <c r="B18" s="85" t="s">
        <v>89</v>
      </c>
      <c r="C18" s="86" t="s">
        <v>90</v>
      </c>
      <c r="D18" s="85" t="s">
        <v>219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  <c r="J18" s="45"/>
    </row>
    <row r="19" spans="1:10" s="44" customFormat="1" ht="15.75" hidden="1" customHeight="1">
      <c r="A19" s="24">
        <v>4</v>
      </c>
      <c r="B19" s="85" t="s">
        <v>91</v>
      </c>
      <c r="C19" s="86" t="s">
        <v>92</v>
      </c>
      <c r="D19" s="85" t="s">
        <v>93</v>
      </c>
      <c r="E19" s="87">
        <v>57.6</v>
      </c>
      <c r="F19" s="88">
        <f>SUM(E19/10)</f>
        <v>5.76</v>
      </c>
      <c r="G19" s="88">
        <v>223.17</v>
      </c>
      <c r="H19" s="89">
        <f t="shared" si="0"/>
        <v>1.2854591999999998</v>
      </c>
      <c r="I19" s="12">
        <v>0</v>
      </c>
      <c r="J19" s="45"/>
    </row>
    <row r="20" spans="1:10" s="44" customFormat="1" ht="15.75" hidden="1" customHeight="1">
      <c r="A20" s="24">
        <v>5</v>
      </c>
      <c r="B20" s="85" t="s">
        <v>94</v>
      </c>
      <c r="C20" s="86" t="s">
        <v>90</v>
      </c>
      <c r="D20" s="85" t="s">
        <v>40</v>
      </c>
      <c r="E20" s="87">
        <v>43.2</v>
      </c>
      <c r="F20" s="88">
        <f>SUM(E20*2/100)</f>
        <v>0.8640000000000001</v>
      </c>
      <c r="G20" s="88">
        <v>285.76</v>
      </c>
      <c r="H20" s="89">
        <f t="shared" si="0"/>
        <v>0.24689664000000003</v>
      </c>
      <c r="I20" s="12">
        <v>0</v>
      </c>
      <c r="J20" s="45"/>
    </row>
    <row r="21" spans="1:10" s="44" customFormat="1" ht="15.75" hidden="1" customHeight="1">
      <c r="A21" s="24">
        <v>6</v>
      </c>
      <c r="B21" s="85" t="s">
        <v>95</v>
      </c>
      <c r="C21" s="86" t="s">
        <v>90</v>
      </c>
      <c r="D21" s="85" t="s">
        <v>40</v>
      </c>
      <c r="E21" s="87">
        <v>10.08</v>
      </c>
      <c r="F21" s="88">
        <f>SUM(E21*2/100)</f>
        <v>0.2016</v>
      </c>
      <c r="G21" s="88">
        <v>283.44</v>
      </c>
      <c r="H21" s="89">
        <f t="shared" si="0"/>
        <v>5.7141503999999996E-2</v>
      </c>
      <c r="I21" s="12">
        <v>0</v>
      </c>
      <c r="J21" s="45"/>
    </row>
    <row r="22" spans="1:10" s="44" customFormat="1" ht="15.75" hidden="1" customHeight="1">
      <c r="A22" s="24">
        <v>7</v>
      </c>
      <c r="B22" s="85" t="s">
        <v>96</v>
      </c>
      <c r="C22" s="86" t="s">
        <v>50</v>
      </c>
      <c r="D22" s="85" t="s">
        <v>93</v>
      </c>
      <c r="E22" s="87">
        <v>642.6</v>
      </c>
      <c r="F22" s="88">
        <f>SUM(E22/100)</f>
        <v>6.4260000000000002</v>
      </c>
      <c r="G22" s="88">
        <v>353.14</v>
      </c>
      <c r="H22" s="89">
        <f t="shared" si="0"/>
        <v>2.2692776399999999</v>
      </c>
      <c r="I22" s="12">
        <v>0</v>
      </c>
      <c r="J22" s="45"/>
    </row>
    <row r="23" spans="1:10" s="44" customFormat="1" ht="15.75" hidden="1" customHeight="1">
      <c r="A23" s="24">
        <v>8</v>
      </c>
      <c r="B23" s="85" t="s">
        <v>97</v>
      </c>
      <c r="C23" s="86" t="s">
        <v>50</v>
      </c>
      <c r="D23" s="85" t="s">
        <v>93</v>
      </c>
      <c r="E23" s="90">
        <v>35.28</v>
      </c>
      <c r="F23" s="88">
        <f>SUM(E23/100)</f>
        <v>0.3528</v>
      </c>
      <c r="G23" s="88">
        <v>58.08</v>
      </c>
      <c r="H23" s="89">
        <f t="shared" si="0"/>
        <v>2.0490623999999999E-2</v>
      </c>
      <c r="I23" s="12">
        <v>0</v>
      </c>
      <c r="J23" s="45"/>
    </row>
    <row r="24" spans="1:10" s="44" customFormat="1" ht="15.75" hidden="1" customHeight="1">
      <c r="A24" s="24">
        <v>9</v>
      </c>
      <c r="B24" s="85" t="s">
        <v>98</v>
      </c>
      <c r="C24" s="86" t="s">
        <v>50</v>
      </c>
      <c r="D24" s="85" t="s">
        <v>93</v>
      </c>
      <c r="E24" s="87">
        <v>28.8</v>
      </c>
      <c r="F24" s="88">
        <f>SUM(E24/100)</f>
        <v>0.28800000000000003</v>
      </c>
      <c r="G24" s="88">
        <v>683.05</v>
      </c>
      <c r="H24" s="89">
        <f t="shared" si="0"/>
        <v>0.19671840000000002</v>
      </c>
      <c r="I24" s="12">
        <v>0</v>
      </c>
      <c r="J24" s="45"/>
    </row>
    <row r="25" spans="1:10" s="44" customFormat="1" ht="15.75" customHeight="1">
      <c r="A25" s="24">
        <v>4</v>
      </c>
      <c r="B25" s="85" t="s">
        <v>216</v>
      </c>
      <c r="C25" s="86" t="s">
        <v>25</v>
      </c>
      <c r="D25" s="85" t="s">
        <v>220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  <c r="J25" s="45"/>
    </row>
    <row r="26" spans="1:10" s="44" customFormat="1" ht="15.75" hidden="1" customHeight="1">
      <c r="A26" s="24">
        <v>5</v>
      </c>
      <c r="B26" s="93" t="s">
        <v>23</v>
      </c>
      <c r="C26" s="86" t="s">
        <v>24</v>
      </c>
      <c r="D26" s="93" t="s">
        <v>129</v>
      </c>
      <c r="E26" s="87">
        <v>3931</v>
      </c>
      <c r="F26" s="88">
        <f>SUM(E26*12)</f>
        <v>47172</v>
      </c>
      <c r="G26" s="88">
        <v>3.64</v>
      </c>
      <c r="H26" s="89">
        <f>SUM(F26*G26/1000)</f>
        <v>171.70608000000001</v>
      </c>
      <c r="I26" s="12">
        <f>F26/12*G26</f>
        <v>14308.84</v>
      </c>
      <c r="J26" s="45"/>
    </row>
    <row r="27" spans="1:10" s="44" customFormat="1" ht="15.75" customHeight="1">
      <c r="A27" s="211" t="s">
        <v>153</v>
      </c>
      <c r="B27" s="212"/>
      <c r="C27" s="212"/>
      <c r="D27" s="212"/>
      <c r="E27" s="212"/>
      <c r="F27" s="212"/>
      <c r="G27" s="212"/>
      <c r="H27" s="212"/>
      <c r="I27" s="213"/>
      <c r="J27" s="45"/>
    </row>
    <row r="28" spans="1:10" s="44" customFormat="1" ht="15.75" hidden="1" customHeight="1">
      <c r="A28" s="24"/>
      <c r="B28" s="119" t="s">
        <v>28</v>
      </c>
      <c r="C28" s="86"/>
      <c r="D28" s="85"/>
      <c r="E28" s="87"/>
      <c r="F28" s="88"/>
      <c r="G28" s="88"/>
      <c r="H28" s="89"/>
      <c r="I28" s="12"/>
      <c r="J28" s="45"/>
    </row>
    <row r="29" spans="1:10" s="44" customFormat="1" ht="15.75" hidden="1" customHeight="1">
      <c r="A29" s="24">
        <v>6</v>
      </c>
      <c r="B29" s="85" t="s">
        <v>99</v>
      </c>
      <c r="C29" s="86" t="s">
        <v>100</v>
      </c>
      <c r="D29" s="85" t="s">
        <v>101</v>
      </c>
      <c r="E29" s="88">
        <v>271.95</v>
      </c>
      <c r="F29" s="88">
        <f>SUM(E29*52/1000)</f>
        <v>14.141399999999999</v>
      </c>
      <c r="G29" s="88">
        <v>204.44</v>
      </c>
      <c r="H29" s="89">
        <f t="shared" ref="H29:H35" si="2">SUM(F29*G29/1000)</f>
        <v>2.8910678159999996</v>
      </c>
      <c r="I29" s="12">
        <f>F29/6*G29</f>
        <v>481.84463599999998</v>
      </c>
      <c r="J29" s="45"/>
    </row>
    <row r="30" spans="1:10" s="44" customFormat="1" ht="15.75" hidden="1" customHeight="1">
      <c r="A30" s="24">
        <v>7</v>
      </c>
      <c r="B30" s="85" t="s">
        <v>134</v>
      </c>
      <c r="C30" s="86" t="s">
        <v>100</v>
      </c>
      <c r="D30" s="85" t="s">
        <v>144</v>
      </c>
      <c r="E30" s="88">
        <v>83.7</v>
      </c>
      <c r="F30" s="88">
        <f>SUM(E30*52/1000)</f>
        <v>4.3524000000000003</v>
      </c>
      <c r="G30" s="88">
        <v>339.21</v>
      </c>
      <c r="H30" s="89">
        <f t="shared" si="2"/>
        <v>1.4763776040000001</v>
      </c>
      <c r="I30" s="12">
        <f t="shared" ref="I30:I40" si="3">F30/6*G30</f>
        <v>246.06293400000001</v>
      </c>
      <c r="J30" s="45"/>
    </row>
    <row r="31" spans="1:10" s="44" customFormat="1" ht="15.75" hidden="1" customHeight="1">
      <c r="A31" s="24">
        <v>5</v>
      </c>
      <c r="B31" s="85" t="s">
        <v>27</v>
      </c>
      <c r="C31" s="86" t="s">
        <v>100</v>
      </c>
      <c r="D31" s="85" t="s">
        <v>51</v>
      </c>
      <c r="E31" s="88">
        <v>271.95</v>
      </c>
      <c r="F31" s="88">
        <f>SUM(E31/1000)</f>
        <v>0.27194999999999997</v>
      </c>
      <c r="G31" s="88">
        <v>3961.23</v>
      </c>
      <c r="H31" s="89">
        <f t="shared" si="2"/>
        <v>1.0772564984999999</v>
      </c>
      <c r="I31" s="12">
        <v>0</v>
      </c>
      <c r="J31" s="45"/>
    </row>
    <row r="32" spans="1:10" s="44" customFormat="1" ht="15.75" hidden="1" customHeight="1">
      <c r="A32" s="24">
        <v>8</v>
      </c>
      <c r="B32" s="85" t="s">
        <v>102</v>
      </c>
      <c r="C32" s="86" t="s">
        <v>38</v>
      </c>
      <c r="D32" s="85" t="s">
        <v>145</v>
      </c>
      <c r="E32" s="88">
        <v>6</v>
      </c>
      <c r="F32" s="88">
        <f>SUM(E32*48/100)</f>
        <v>2.88</v>
      </c>
      <c r="G32" s="88">
        <v>1707.63</v>
      </c>
      <c r="H32" s="89">
        <f>G32*F32/1000</f>
        <v>4.9179744000000003</v>
      </c>
      <c r="I32" s="12">
        <f t="shared" si="3"/>
        <v>819.66240000000005</v>
      </c>
      <c r="J32" s="45"/>
    </row>
    <row r="33" spans="1:14" s="44" customFormat="1" ht="15.75" hidden="1" customHeight="1">
      <c r="A33" s="24">
        <v>9</v>
      </c>
      <c r="B33" s="85" t="s">
        <v>103</v>
      </c>
      <c r="C33" s="86" t="s">
        <v>30</v>
      </c>
      <c r="D33" s="85" t="s">
        <v>60</v>
      </c>
      <c r="E33" s="91">
        <f>1/3</f>
        <v>0.33333333333333331</v>
      </c>
      <c r="F33" s="88">
        <f>155/3</f>
        <v>51.666666666666664</v>
      </c>
      <c r="G33" s="88">
        <v>74.349999999999994</v>
      </c>
      <c r="H33" s="89">
        <f>SUM(G33*155/3/1000)</f>
        <v>3.8414166666666665</v>
      </c>
      <c r="I33" s="12">
        <f t="shared" si="3"/>
        <v>640.23611111111109</v>
      </c>
      <c r="J33" s="45"/>
    </row>
    <row r="34" spans="1:14" s="44" customFormat="1" ht="15.75" hidden="1" customHeight="1">
      <c r="A34" s="24">
        <v>6</v>
      </c>
      <c r="B34" s="85" t="s">
        <v>61</v>
      </c>
      <c r="C34" s="86" t="s">
        <v>32</v>
      </c>
      <c r="D34" s="85" t="s">
        <v>63</v>
      </c>
      <c r="E34" s="87"/>
      <c r="F34" s="88">
        <v>2</v>
      </c>
      <c r="G34" s="88">
        <v>250.92</v>
      </c>
      <c r="H34" s="89">
        <f t="shared" si="2"/>
        <v>0.50183999999999995</v>
      </c>
      <c r="I34" s="12">
        <v>0</v>
      </c>
      <c r="J34" s="45"/>
    </row>
    <row r="35" spans="1:14" s="44" customFormat="1" ht="15.75" hidden="1" customHeight="1">
      <c r="A35" s="24">
        <v>7</v>
      </c>
      <c r="B35" s="85" t="s">
        <v>62</v>
      </c>
      <c r="C35" s="86" t="s">
        <v>31</v>
      </c>
      <c r="D35" s="85" t="s">
        <v>63</v>
      </c>
      <c r="E35" s="87"/>
      <c r="F35" s="88">
        <v>1</v>
      </c>
      <c r="G35" s="88">
        <v>1490.33</v>
      </c>
      <c r="H35" s="89">
        <f t="shared" si="2"/>
        <v>1.4903299999999999</v>
      </c>
      <c r="I35" s="12">
        <v>0</v>
      </c>
      <c r="J35" s="45"/>
    </row>
    <row r="36" spans="1:14" s="44" customFormat="1" ht="15.75" customHeight="1">
      <c r="A36" s="24"/>
      <c r="B36" s="118" t="s">
        <v>5</v>
      </c>
      <c r="C36" s="86"/>
      <c r="D36" s="85"/>
      <c r="E36" s="87"/>
      <c r="F36" s="88"/>
      <c r="G36" s="88"/>
      <c r="H36" s="89" t="s">
        <v>129</v>
      </c>
      <c r="I36" s="12"/>
      <c r="J36" s="45"/>
    </row>
    <row r="37" spans="1:14" s="44" customFormat="1" ht="15.75" hidden="1" customHeight="1">
      <c r="A37" s="24">
        <v>6</v>
      </c>
      <c r="B37" s="94" t="s">
        <v>26</v>
      </c>
      <c r="C37" s="86" t="s">
        <v>31</v>
      </c>
      <c r="D37" s="85"/>
      <c r="E37" s="87"/>
      <c r="F37" s="88">
        <v>5</v>
      </c>
      <c r="G37" s="88">
        <v>2003</v>
      </c>
      <c r="H37" s="89">
        <f t="shared" ref="H37:H42" si="4">SUM(F37*G37/1000)</f>
        <v>10.015000000000001</v>
      </c>
      <c r="I37" s="12">
        <f t="shared" si="3"/>
        <v>1669.1666666666667</v>
      </c>
      <c r="J37" s="45"/>
    </row>
    <row r="38" spans="1:14" s="44" customFormat="1" ht="15.75" customHeight="1">
      <c r="A38" s="24">
        <v>5</v>
      </c>
      <c r="B38" s="94" t="s">
        <v>146</v>
      </c>
      <c r="C38" s="95" t="s">
        <v>29</v>
      </c>
      <c r="D38" s="85" t="s">
        <v>221</v>
      </c>
      <c r="E38" s="87">
        <v>83.7</v>
      </c>
      <c r="F38" s="96">
        <f>E38*30/1000</f>
        <v>2.5110000000000001</v>
      </c>
      <c r="G38" s="88">
        <v>2757.78</v>
      </c>
      <c r="H38" s="89">
        <f t="shared" si="4"/>
        <v>6.9247855800000009</v>
      </c>
      <c r="I38" s="12">
        <f t="shared" si="3"/>
        <v>1154.1309300000003</v>
      </c>
      <c r="J38" s="45"/>
    </row>
    <row r="39" spans="1:14" s="44" customFormat="1" ht="15.75" customHeight="1">
      <c r="A39" s="24">
        <v>6</v>
      </c>
      <c r="B39" s="85" t="s">
        <v>64</v>
      </c>
      <c r="C39" s="86" t="s">
        <v>29</v>
      </c>
      <c r="D39" s="85" t="s">
        <v>222</v>
      </c>
      <c r="E39" s="88">
        <v>83.7</v>
      </c>
      <c r="F39" s="96">
        <f>SUM(E39*155/1000)</f>
        <v>12.9735</v>
      </c>
      <c r="G39" s="88">
        <v>460.02</v>
      </c>
      <c r="H39" s="89">
        <f t="shared" si="4"/>
        <v>5.9680694699999997</v>
      </c>
      <c r="I39" s="12">
        <f t="shared" si="3"/>
        <v>994.67824499999983</v>
      </c>
      <c r="J39" s="45"/>
    </row>
    <row r="40" spans="1:14" s="44" customFormat="1" ht="47.25" customHeight="1">
      <c r="A40" s="24">
        <v>7</v>
      </c>
      <c r="B40" s="85" t="s">
        <v>79</v>
      </c>
      <c r="C40" s="86" t="s">
        <v>100</v>
      </c>
      <c r="D40" s="85" t="s">
        <v>221</v>
      </c>
      <c r="E40" s="88">
        <v>83.7</v>
      </c>
      <c r="F40" s="96">
        <f>SUM(E40*30/1000)</f>
        <v>2.5110000000000001</v>
      </c>
      <c r="G40" s="88">
        <v>7611.16</v>
      </c>
      <c r="H40" s="89">
        <f t="shared" si="4"/>
        <v>19.111622760000003</v>
      </c>
      <c r="I40" s="12">
        <f t="shared" si="3"/>
        <v>3185.2704600000002</v>
      </c>
      <c r="J40" s="45"/>
    </row>
    <row r="41" spans="1:14" s="44" customFormat="1" ht="15.75" customHeight="1">
      <c r="A41" s="24">
        <v>8</v>
      </c>
      <c r="B41" s="85" t="s">
        <v>107</v>
      </c>
      <c r="C41" s="86" t="s">
        <v>100</v>
      </c>
      <c r="D41" s="85" t="s">
        <v>223</v>
      </c>
      <c r="E41" s="88">
        <v>83.7</v>
      </c>
      <c r="F41" s="96">
        <f>SUM(E41*24/1000)</f>
        <v>2.0088000000000004</v>
      </c>
      <c r="G41" s="88">
        <v>562.25</v>
      </c>
      <c r="H41" s="89">
        <f t="shared" si="4"/>
        <v>1.1294478000000001</v>
      </c>
      <c r="I41" s="12">
        <f>F41/7.5*G41</f>
        <v>150.59304</v>
      </c>
      <c r="J41" s="45"/>
    </row>
    <row r="42" spans="1:14" s="44" customFormat="1" ht="15.75" customHeight="1">
      <c r="A42" s="24">
        <v>9</v>
      </c>
      <c r="B42" s="94" t="s">
        <v>65</v>
      </c>
      <c r="C42" s="95" t="s">
        <v>32</v>
      </c>
      <c r="D42" s="94"/>
      <c r="E42" s="92"/>
      <c r="F42" s="96">
        <v>0.9</v>
      </c>
      <c r="G42" s="96">
        <v>974.83</v>
      </c>
      <c r="H42" s="89">
        <f t="shared" si="4"/>
        <v>0.8773470000000001</v>
      </c>
      <c r="I42" s="12">
        <f>F42/7.5*G42</f>
        <v>116.97960000000002</v>
      </c>
      <c r="J42" s="45"/>
    </row>
    <row r="43" spans="1:14" s="44" customFormat="1" ht="15.75" customHeight="1">
      <c r="A43" s="211" t="s">
        <v>135</v>
      </c>
      <c r="B43" s="212"/>
      <c r="C43" s="212"/>
      <c r="D43" s="212"/>
      <c r="E43" s="212"/>
      <c r="F43" s="212"/>
      <c r="G43" s="212"/>
      <c r="H43" s="212"/>
      <c r="I43" s="213"/>
      <c r="J43" s="45"/>
    </row>
    <row r="44" spans="1:14" s="44" customFormat="1" ht="15.75" hidden="1" customHeight="1">
      <c r="A44" s="24">
        <v>8</v>
      </c>
      <c r="B44" s="85" t="s">
        <v>108</v>
      </c>
      <c r="C44" s="86" t="s">
        <v>100</v>
      </c>
      <c r="D44" s="85" t="s">
        <v>40</v>
      </c>
      <c r="E44" s="87">
        <v>1032.5</v>
      </c>
      <c r="F44" s="88">
        <f>SUM(E44*2/1000)</f>
        <v>2.0649999999999999</v>
      </c>
      <c r="G44" s="29">
        <v>1114.1300000000001</v>
      </c>
      <c r="H44" s="89">
        <f t="shared" ref="H44:H53" si="5">SUM(F44*G44/1000)</f>
        <v>2.3006784500000004</v>
      </c>
      <c r="I44" s="12">
        <f>F44/2*G44</f>
        <v>1150.3392250000002</v>
      </c>
      <c r="J44" s="45"/>
    </row>
    <row r="45" spans="1:14" s="44" customFormat="1" ht="15.75" hidden="1" customHeight="1">
      <c r="A45" s="24"/>
      <c r="B45" s="85" t="s">
        <v>33</v>
      </c>
      <c r="C45" s="86" t="s">
        <v>100</v>
      </c>
      <c r="D45" s="85" t="s">
        <v>40</v>
      </c>
      <c r="E45" s="87">
        <v>132</v>
      </c>
      <c r="F45" s="88">
        <f>E45*2/1000</f>
        <v>0.26400000000000001</v>
      </c>
      <c r="G45" s="29">
        <v>4419.05</v>
      </c>
      <c r="H45" s="89">
        <f t="shared" si="5"/>
        <v>1.1666292</v>
      </c>
      <c r="I45" s="12">
        <f t="shared" ref="I45:I51" si="6">F45/2*G45</f>
        <v>583.31460000000004</v>
      </c>
      <c r="J45" s="45"/>
      <c r="L45" s="17"/>
      <c r="M45" s="18"/>
      <c r="N45" s="26"/>
    </row>
    <row r="46" spans="1:14" s="44" customFormat="1" ht="15.75" hidden="1" customHeight="1">
      <c r="A46" s="24">
        <v>9</v>
      </c>
      <c r="B46" s="85" t="s">
        <v>34</v>
      </c>
      <c r="C46" s="86" t="s">
        <v>100</v>
      </c>
      <c r="D46" s="85" t="s">
        <v>40</v>
      </c>
      <c r="E46" s="87">
        <v>4248.22</v>
      </c>
      <c r="F46" s="88">
        <f>SUM(E46*2/1000)</f>
        <v>8.4964399999999998</v>
      </c>
      <c r="G46" s="29">
        <v>1803.69</v>
      </c>
      <c r="H46" s="89">
        <f t="shared" si="5"/>
        <v>15.3249438636</v>
      </c>
      <c r="I46" s="12">
        <f t="shared" si="6"/>
        <v>7662.4719317999998</v>
      </c>
      <c r="J46" s="45"/>
      <c r="L46" s="17"/>
      <c r="M46" s="18"/>
      <c r="N46" s="26"/>
    </row>
    <row r="47" spans="1:14" s="44" customFormat="1" ht="15.75" hidden="1" customHeight="1">
      <c r="A47" s="24">
        <v>10</v>
      </c>
      <c r="B47" s="85" t="s">
        <v>35</v>
      </c>
      <c r="C47" s="86" t="s">
        <v>100</v>
      </c>
      <c r="D47" s="85" t="s">
        <v>40</v>
      </c>
      <c r="E47" s="87">
        <v>2163.66</v>
      </c>
      <c r="F47" s="88">
        <f>SUM(E47*2/1000)</f>
        <v>4.3273199999999994</v>
      </c>
      <c r="G47" s="29">
        <v>1243.43</v>
      </c>
      <c r="H47" s="89">
        <f t="shared" si="5"/>
        <v>5.3807195075999994</v>
      </c>
      <c r="I47" s="12">
        <f t="shared" si="6"/>
        <v>2690.3597537999999</v>
      </c>
      <c r="J47" s="45"/>
      <c r="L47" s="17"/>
      <c r="M47" s="18"/>
      <c r="N47" s="26"/>
    </row>
    <row r="48" spans="1:14" s="44" customFormat="1" ht="15.75" customHeight="1">
      <c r="A48" s="24">
        <v>10</v>
      </c>
      <c r="B48" s="85" t="s">
        <v>53</v>
      </c>
      <c r="C48" s="86" t="s">
        <v>100</v>
      </c>
      <c r="D48" s="85" t="s">
        <v>224</v>
      </c>
      <c r="E48" s="87">
        <v>3931</v>
      </c>
      <c r="F48" s="88">
        <f>SUM(E48*5/1000)</f>
        <v>19.655000000000001</v>
      </c>
      <c r="G48" s="29">
        <v>1083.69</v>
      </c>
      <c r="H48" s="89">
        <f t="shared" si="5"/>
        <v>21.29992695</v>
      </c>
      <c r="I48" s="12">
        <f>F48/5*G48</f>
        <v>4259.9853899999998</v>
      </c>
      <c r="J48" s="45"/>
      <c r="L48" s="17"/>
      <c r="M48" s="18"/>
      <c r="N48" s="26"/>
    </row>
    <row r="49" spans="1:14" s="44" customFormat="1" ht="31.5" hidden="1" customHeight="1">
      <c r="A49" s="24">
        <v>12</v>
      </c>
      <c r="B49" s="85" t="s">
        <v>109</v>
      </c>
      <c r="C49" s="86" t="s">
        <v>100</v>
      </c>
      <c r="D49" s="85" t="s">
        <v>40</v>
      </c>
      <c r="E49" s="87">
        <v>3931</v>
      </c>
      <c r="F49" s="88">
        <f>SUM(E49*2/1000)</f>
        <v>7.8620000000000001</v>
      </c>
      <c r="G49" s="29">
        <v>1591.6</v>
      </c>
      <c r="H49" s="89">
        <f t="shared" si="5"/>
        <v>12.5131592</v>
      </c>
      <c r="I49" s="12">
        <f t="shared" si="6"/>
        <v>6256.5796</v>
      </c>
      <c r="J49" s="45"/>
      <c r="L49" s="17"/>
      <c r="M49" s="18"/>
      <c r="N49" s="26"/>
    </row>
    <row r="50" spans="1:14" s="44" customFormat="1" ht="31.5" hidden="1" customHeight="1">
      <c r="A50" s="24">
        <v>12</v>
      </c>
      <c r="B50" s="85" t="s">
        <v>110</v>
      </c>
      <c r="C50" s="86" t="s">
        <v>36</v>
      </c>
      <c r="D50" s="85" t="s">
        <v>40</v>
      </c>
      <c r="E50" s="87">
        <v>30</v>
      </c>
      <c r="F50" s="88">
        <f>SUM(E50*2/100)</f>
        <v>0.6</v>
      </c>
      <c r="G50" s="29">
        <v>4058.32</v>
      </c>
      <c r="H50" s="89">
        <f t="shared" si="5"/>
        <v>2.4349920000000003</v>
      </c>
      <c r="I50" s="12">
        <f t="shared" si="6"/>
        <v>1217.4960000000001</v>
      </c>
      <c r="J50" s="45"/>
      <c r="L50" s="17"/>
      <c r="M50" s="18"/>
      <c r="N50" s="26"/>
    </row>
    <row r="51" spans="1:14" s="44" customFormat="1" ht="15.75" hidden="1" customHeight="1">
      <c r="A51" s="24">
        <v>13</v>
      </c>
      <c r="B51" s="85" t="s">
        <v>37</v>
      </c>
      <c r="C51" s="86" t="s">
        <v>38</v>
      </c>
      <c r="D51" s="85" t="s">
        <v>40</v>
      </c>
      <c r="E51" s="87">
        <v>1</v>
      </c>
      <c r="F51" s="88">
        <v>0.02</v>
      </c>
      <c r="G51" s="29">
        <v>7412.92</v>
      </c>
      <c r="H51" s="89">
        <f t="shared" si="5"/>
        <v>0.14825839999999998</v>
      </c>
      <c r="I51" s="12">
        <f t="shared" si="6"/>
        <v>74.129199999999997</v>
      </c>
      <c r="J51" s="45"/>
      <c r="L51" s="17"/>
      <c r="M51" s="18"/>
      <c r="N51" s="26"/>
    </row>
    <row r="52" spans="1:14" s="44" customFormat="1" ht="21" customHeight="1">
      <c r="A52" s="24">
        <v>11</v>
      </c>
      <c r="B52" s="85" t="s">
        <v>111</v>
      </c>
      <c r="C52" s="86" t="s">
        <v>86</v>
      </c>
      <c r="D52" s="185">
        <v>43503</v>
      </c>
      <c r="E52" s="87">
        <v>90</v>
      </c>
      <c r="F52" s="88">
        <f>E52*3</f>
        <v>270</v>
      </c>
      <c r="G52" s="29">
        <v>185.08</v>
      </c>
      <c r="H52" s="89">
        <f t="shared" si="5"/>
        <v>49.971600000000009</v>
      </c>
      <c r="I52" s="12">
        <f>F52/3*G52</f>
        <v>16657.2</v>
      </c>
      <c r="J52" s="45"/>
      <c r="L52" s="17"/>
      <c r="M52" s="18"/>
      <c r="N52" s="26"/>
    </row>
    <row r="53" spans="1:14" s="44" customFormat="1" ht="19.5" customHeight="1">
      <c r="A53" s="24">
        <v>12</v>
      </c>
      <c r="B53" s="85" t="s">
        <v>39</v>
      </c>
      <c r="C53" s="86" t="s">
        <v>86</v>
      </c>
      <c r="D53" s="185">
        <v>43503</v>
      </c>
      <c r="E53" s="87">
        <v>180</v>
      </c>
      <c r="F53" s="88">
        <f>SUM(E53)*3</f>
        <v>540</v>
      </c>
      <c r="G53" s="97">
        <v>86.15</v>
      </c>
      <c r="H53" s="89">
        <f t="shared" si="5"/>
        <v>46.521000000000001</v>
      </c>
      <c r="I53" s="12">
        <f>F53/3*G53</f>
        <v>15507.000000000002</v>
      </c>
      <c r="J53" s="45"/>
      <c r="L53" s="17"/>
      <c r="M53" s="18"/>
      <c r="N53" s="26"/>
    </row>
    <row r="54" spans="1:14" s="44" customFormat="1" ht="15.75" customHeight="1">
      <c r="A54" s="211" t="s">
        <v>136</v>
      </c>
      <c r="B54" s="212"/>
      <c r="C54" s="212"/>
      <c r="D54" s="212"/>
      <c r="E54" s="212"/>
      <c r="F54" s="212"/>
      <c r="G54" s="212"/>
      <c r="H54" s="212"/>
      <c r="I54" s="213"/>
      <c r="J54" s="45"/>
      <c r="L54" s="17"/>
      <c r="M54" s="18"/>
      <c r="N54" s="26"/>
    </row>
    <row r="55" spans="1:14" s="44" customFormat="1" ht="15.75" customHeight="1">
      <c r="A55" s="24"/>
      <c r="B55" s="119" t="s">
        <v>41</v>
      </c>
      <c r="C55" s="86"/>
      <c r="D55" s="85"/>
      <c r="E55" s="87"/>
      <c r="F55" s="88"/>
      <c r="G55" s="88"/>
      <c r="H55" s="89"/>
      <c r="I55" s="12"/>
      <c r="J55" s="45"/>
      <c r="L55" s="17"/>
      <c r="M55" s="18"/>
      <c r="N55" s="26"/>
    </row>
    <row r="56" spans="1:14" s="44" customFormat="1" ht="31.5" customHeight="1">
      <c r="A56" s="24">
        <v>13</v>
      </c>
      <c r="B56" s="85" t="s">
        <v>125</v>
      </c>
      <c r="C56" s="86" t="s">
        <v>90</v>
      </c>
      <c r="D56" s="85"/>
      <c r="E56" s="87">
        <v>30.6</v>
      </c>
      <c r="F56" s="88">
        <f>SUM(E56*6/100)</f>
        <v>1.8360000000000003</v>
      </c>
      <c r="G56" s="29">
        <v>2029.3</v>
      </c>
      <c r="H56" s="89">
        <f>SUM(F56*G56/1000)</f>
        <v>3.7257948000000005</v>
      </c>
      <c r="I56" s="12">
        <f>G56*0.346</f>
        <v>702.13779999999997</v>
      </c>
      <c r="J56" s="45"/>
      <c r="L56" s="17"/>
      <c r="M56" s="18"/>
      <c r="N56" s="26"/>
    </row>
    <row r="57" spans="1:14" s="44" customFormat="1" ht="31.5" hidden="1" customHeight="1">
      <c r="A57" s="24">
        <v>14</v>
      </c>
      <c r="B57" s="85" t="s">
        <v>84</v>
      </c>
      <c r="C57" s="86" t="s">
        <v>90</v>
      </c>
      <c r="D57" s="85" t="s">
        <v>85</v>
      </c>
      <c r="E57" s="87">
        <v>39.69</v>
      </c>
      <c r="F57" s="88">
        <f>SUM(E57*12/100)</f>
        <v>4.7627999999999995</v>
      </c>
      <c r="G57" s="29">
        <v>2029.3</v>
      </c>
      <c r="H57" s="89">
        <f>SUM(F57*G57/1000)</f>
        <v>9.6651500399999986</v>
      </c>
      <c r="I57" s="12">
        <f t="shared" ref="I57:I59" si="7">F57/6*G57</f>
        <v>1610.8583399999998</v>
      </c>
      <c r="J57" s="45"/>
      <c r="L57" s="17"/>
      <c r="M57" s="18"/>
      <c r="N57" s="26"/>
    </row>
    <row r="58" spans="1:14" s="44" customFormat="1" ht="15.75" hidden="1" customHeight="1">
      <c r="A58" s="24">
        <v>20</v>
      </c>
      <c r="B58" s="98" t="s">
        <v>113</v>
      </c>
      <c r="C58" s="99" t="s">
        <v>114</v>
      </c>
      <c r="D58" s="98" t="s">
        <v>40</v>
      </c>
      <c r="E58" s="100">
        <v>8</v>
      </c>
      <c r="F58" s="101">
        <v>16</v>
      </c>
      <c r="G58" s="29">
        <v>237.1</v>
      </c>
      <c r="H58" s="89">
        <f>SUM(F58*G58/1000)</f>
        <v>3.7936000000000001</v>
      </c>
      <c r="I58" s="12">
        <v>0</v>
      </c>
      <c r="J58" s="45"/>
      <c r="L58" s="17"/>
      <c r="M58" s="18"/>
      <c r="N58" s="26"/>
    </row>
    <row r="59" spans="1:14" s="44" customFormat="1" ht="15.75" customHeight="1">
      <c r="A59" s="24">
        <v>14</v>
      </c>
      <c r="B59" s="85" t="s">
        <v>115</v>
      </c>
      <c r="C59" s="86" t="s">
        <v>90</v>
      </c>
      <c r="D59" s="85" t="s">
        <v>224</v>
      </c>
      <c r="E59" s="87">
        <v>41.73</v>
      </c>
      <c r="F59" s="88">
        <f>SUM(E59*6/100)</f>
        <v>2.5038</v>
      </c>
      <c r="G59" s="29">
        <v>2029.3</v>
      </c>
      <c r="H59" s="89">
        <f>SUM(F59*G59/1000)</f>
        <v>5.08096134</v>
      </c>
      <c r="I59" s="12">
        <f t="shared" si="7"/>
        <v>846.82688999999993</v>
      </c>
      <c r="J59" s="45"/>
      <c r="L59" s="17"/>
      <c r="M59" s="18"/>
      <c r="N59" s="26"/>
    </row>
    <row r="60" spans="1:14" s="44" customFormat="1" ht="15.75" hidden="1" customHeight="1">
      <c r="A60" s="24"/>
      <c r="B60" s="98" t="s">
        <v>133</v>
      </c>
      <c r="C60" s="99" t="s">
        <v>31</v>
      </c>
      <c r="D60" s="98" t="s">
        <v>63</v>
      </c>
      <c r="E60" s="100"/>
      <c r="F60" s="101">
        <v>4</v>
      </c>
      <c r="G60" s="29">
        <v>1582.05</v>
      </c>
      <c r="H60" s="89">
        <f>SUM(F60*G60/1000)</f>
        <v>6.3281999999999998</v>
      </c>
      <c r="I60" s="12">
        <v>0</v>
      </c>
      <c r="J60" s="45"/>
      <c r="L60" s="17"/>
      <c r="M60" s="18"/>
      <c r="N60" s="26"/>
    </row>
    <row r="61" spans="1:14" s="44" customFormat="1" ht="15.75" customHeight="1">
      <c r="A61" s="24"/>
      <c r="B61" s="120" t="s">
        <v>42</v>
      </c>
      <c r="C61" s="99"/>
      <c r="D61" s="98"/>
      <c r="E61" s="100"/>
      <c r="F61" s="101"/>
      <c r="G61" s="29"/>
      <c r="H61" s="102"/>
      <c r="I61" s="12"/>
      <c r="J61" s="45"/>
      <c r="L61" s="17"/>
      <c r="M61" s="18"/>
      <c r="N61" s="26"/>
    </row>
    <row r="62" spans="1:14" s="44" customFormat="1" ht="15.75" hidden="1" customHeight="1">
      <c r="A62" s="24">
        <v>14</v>
      </c>
      <c r="B62" s="98" t="s">
        <v>130</v>
      </c>
      <c r="C62" s="99" t="s">
        <v>50</v>
      </c>
      <c r="D62" s="98" t="s">
        <v>51</v>
      </c>
      <c r="E62" s="100">
        <v>508.73</v>
      </c>
      <c r="F62" s="88">
        <f>SUM(E62/100)</f>
        <v>5.0872999999999999</v>
      </c>
      <c r="G62" s="29">
        <v>1040.8399999999999</v>
      </c>
      <c r="H62" s="102">
        <f>F62*G62/1000</f>
        <v>5.2950653319999992</v>
      </c>
      <c r="I62" s="12">
        <v>0</v>
      </c>
      <c r="J62" s="45"/>
      <c r="L62" s="17"/>
      <c r="M62" s="18"/>
      <c r="N62" s="26"/>
    </row>
    <row r="63" spans="1:14" s="44" customFormat="1" ht="15.75" customHeight="1">
      <c r="A63" s="24">
        <v>15</v>
      </c>
      <c r="B63" s="47" t="s">
        <v>87</v>
      </c>
      <c r="C63" s="48" t="s">
        <v>25</v>
      </c>
      <c r="D63" s="47" t="s">
        <v>225</v>
      </c>
      <c r="E63" s="49">
        <v>200</v>
      </c>
      <c r="F63" s="130">
        <f>E63*12</f>
        <v>2400</v>
      </c>
      <c r="G63" s="40">
        <v>1.4</v>
      </c>
      <c r="H63" s="50">
        <f>F63*G63/1000</f>
        <v>3.36</v>
      </c>
      <c r="I63" s="12">
        <f>F63/12*G63</f>
        <v>280</v>
      </c>
      <c r="J63" s="45"/>
      <c r="L63" s="17"/>
    </row>
    <row r="64" spans="1:14" s="44" customFormat="1" ht="15.75" hidden="1" customHeight="1">
      <c r="A64" s="24"/>
      <c r="B64" s="121" t="s">
        <v>43</v>
      </c>
      <c r="C64" s="99"/>
      <c r="D64" s="98"/>
      <c r="E64" s="100"/>
      <c r="F64" s="103"/>
      <c r="G64" s="103"/>
      <c r="H64" s="101" t="s">
        <v>129</v>
      </c>
      <c r="I64" s="12"/>
      <c r="J64" s="45"/>
      <c r="L64" s="17"/>
    </row>
    <row r="65" spans="1:22" s="44" customFormat="1" ht="15.75" hidden="1" customHeight="1">
      <c r="A65" s="24"/>
      <c r="B65" s="105" t="s">
        <v>44</v>
      </c>
      <c r="C65" s="106" t="s">
        <v>86</v>
      </c>
      <c r="D65" s="30" t="s">
        <v>154</v>
      </c>
      <c r="E65" s="15">
        <v>10</v>
      </c>
      <c r="F65" s="88">
        <f>E65</f>
        <v>10</v>
      </c>
      <c r="G65" s="29">
        <v>291.68</v>
      </c>
      <c r="H65" s="75">
        <f t="shared" ref="H65:H81" si="8">SUM(F65*G65/1000)</f>
        <v>2.9168000000000003</v>
      </c>
      <c r="I65" s="12">
        <v>0</v>
      </c>
    </row>
    <row r="66" spans="1:22" s="44" customFormat="1" ht="15.75" hidden="1" customHeight="1">
      <c r="A66" s="61"/>
      <c r="B66" s="105" t="s">
        <v>45</v>
      </c>
      <c r="C66" s="106" t="s">
        <v>86</v>
      </c>
      <c r="D66" s="30" t="s">
        <v>154</v>
      </c>
      <c r="E66" s="15">
        <v>10</v>
      </c>
      <c r="F66" s="88">
        <f>E66</f>
        <v>10</v>
      </c>
      <c r="G66" s="29">
        <v>100.01</v>
      </c>
      <c r="H66" s="75">
        <f t="shared" si="8"/>
        <v>1.0001</v>
      </c>
      <c r="I66" s="12">
        <v>0</v>
      </c>
    </row>
    <row r="67" spans="1:22" s="44" customFormat="1" ht="15.75" hidden="1" customHeight="1">
      <c r="A67" s="24">
        <v>22</v>
      </c>
      <c r="B67" s="105" t="s">
        <v>46</v>
      </c>
      <c r="C67" s="107" t="s">
        <v>116</v>
      </c>
      <c r="D67" s="30" t="s">
        <v>51</v>
      </c>
      <c r="E67" s="87">
        <v>14347</v>
      </c>
      <c r="F67" s="97">
        <f>SUM(E67/100)</f>
        <v>143.47</v>
      </c>
      <c r="G67" s="29">
        <v>278.24</v>
      </c>
      <c r="H67" s="75">
        <f t="shared" si="8"/>
        <v>39.919092800000001</v>
      </c>
      <c r="I67" s="12">
        <v>0</v>
      </c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2"/>
    </row>
    <row r="68" spans="1:22" s="44" customFormat="1" ht="15.75" hidden="1" customHeight="1">
      <c r="A68" s="62"/>
      <c r="B68" s="105" t="s">
        <v>47</v>
      </c>
      <c r="C68" s="106" t="s">
        <v>117</v>
      </c>
      <c r="D68" s="30"/>
      <c r="E68" s="87">
        <v>14347</v>
      </c>
      <c r="F68" s="29">
        <f>SUM(E68/1000)</f>
        <v>14.347</v>
      </c>
      <c r="G68" s="29">
        <v>216.68</v>
      </c>
      <c r="H68" s="75">
        <f t="shared" si="8"/>
        <v>3.1087079600000003</v>
      </c>
      <c r="I68" s="12">
        <v>0</v>
      </c>
      <c r="J68" s="53"/>
      <c r="K68" s="53"/>
      <c r="L68" s="51"/>
      <c r="M68" s="51"/>
      <c r="N68" s="51"/>
      <c r="O68" s="51"/>
      <c r="P68" s="51"/>
      <c r="Q68" s="51"/>
      <c r="R68" s="51"/>
      <c r="S68" s="51"/>
      <c r="T68" s="51"/>
      <c r="U68" s="51"/>
    </row>
    <row r="69" spans="1:22" s="44" customFormat="1" ht="15.75" hidden="1" customHeight="1">
      <c r="A69" s="24">
        <v>23</v>
      </c>
      <c r="B69" s="105" t="s">
        <v>48</v>
      </c>
      <c r="C69" s="106" t="s">
        <v>72</v>
      </c>
      <c r="D69" s="30" t="s">
        <v>51</v>
      </c>
      <c r="E69" s="87">
        <v>2244</v>
      </c>
      <c r="F69" s="29">
        <f>SUM(E69/100)</f>
        <v>22.44</v>
      </c>
      <c r="G69" s="29">
        <v>2720.94</v>
      </c>
      <c r="H69" s="75">
        <f t="shared" si="8"/>
        <v>61.0578936</v>
      </c>
      <c r="I69" s="12">
        <v>0</v>
      </c>
      <c r="J69" s="51"/>
      <c r="K69" s="51"/>
      <c r="L69" s="51"/>
      <c r="M69" s="51"/>
      <c r="N69" s="51"/>
      <c r="O69" s="51"/>
      <c r="P69" s="51"/>
      <c r="Q69" s="51"/>
      <c r="S69" s="51"/>
      <c r="T69" s="51"/>
      <c r="U69" s="51"/>
    </row>
    <row r="70" spans="1:22" s="44" customFormat="1" ht="15.75" hidden="1" customHeight="1">
      <c r="A70" s="24"/>
      <c r="B70" s="108" t="s">
        <v>118</v>
      </c>
      <c r="C70" s="106" t="s">
        <v>32</v>
      </c>
      <c r="D70" s="30"/>
      <c r="E70" s="87">
        <v>12.8</v>
      </c>
      <c r="F70" s="29">
        <f>SUM(E70)</f>
        <v>12.8</v>
      </c>
      <c r="G70" s="29">
        <v>42.61</v>
      </c>
      <c r="H70" s="75">
        <f t="shared" si="8"/>
        <v>0.545408</v>
      </c>
      <c r="I70" s="12">
        <v>0</v>
      </c>
      <c r="J70" s="55"/>
      <c r="K70" s="55"/>
      <c r="L70" s="55"/>
      <c r="M70" s="55"/>
      <c r="N70" s="55"/>
      <c r="O70" s="55"/>
      <c r="P70" s="55"/>
      <c r="Q70" s="55"/>
      <c r="R70" s="188"/>
      <c r="S70" s="188"/>
      <c r="T70" s="188"/>
      <c r="U70" s="188"/>
    </row>
    <row r="71" spans="1:22" s="44" customFormat="1" ht="15.75" hidden="1" customHeight="1">
      <c r="A71" s="24">
        <v>19</v>
      </c>
      <c r="B71" s="108" t="s">
        <v>119</v>
      </c>
      <c r="C71" s="106" t="s">
        <v>32</v>
      </c>
      <c r="D71" s="30"/>
      <c r="E71" s="87">
        <v>12.8</v>
      </c>
      <c r="F71" s="29">
        <f>SUM(E71)</f>
        <v>12.8</v>
      </c>
      <c r="G71" s="29">
        <v>46.04</v>
      </c>
      <c r="H71" s="75">
        <f t="shared" si="8"/>
        <v>0.58931200000000006</v>
      </c>
      <c r="I71" s="12">
        <v>0</v>
      </c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</row>
    <row r="72" spans="1:22" s="44" customFormat="1" ht="15.75" hidden="1" customHeight="1">
      <c r="A72" s="24">
        <v>20</v>
      </c>
      <c r="B72" s="30" t="s">
        <v>54</v>
      </c>
      <c r="C72" s="106" t="s">
        <v>55</v>
      </c>
      <c r="D72" s="30" t="s">
        <v>51</v>
      </c>
      <c r="E72" s="15">
        <v>6</v>
      </c>
      <c r="F72" s="29">
        <f>SUM(E72)</f>
        <v>6</v>
      </c>
      <c r="G72" s="29">
        <v>65.42</v>
      </c>
      <c r="H72" s="75">
        <f t="shared" si="8"/>
        <v>0.39251999999999998</v>
      </c>
      <c r="I72" s="12">
        <v>0</v>
      </c>
    </row>
    <row r="73" spans="1:22" s="44" customFormat="1" ht="15.75" customHeight="1">
      <c r="A73" s="24"/>
      <c r="B73" s="122" t="s">
        <v>147</v>
      </c>
      <c r="C73" s="106"/>
      <c r="D73" s="30"/>
      <c r="E73" s="15"/>
      <c r="F73" s="104"/>
      <c r="G73" s="29"/>
      <c r="H73" s="75"/>
      <c r="I73" s="12"/>
    </row>
    <row r="74" spans="1:22" s="44" customFormat="1" ht="15.75" customHeight="1">
      <c r="A74" s="24">
        <v>16</v>
      </c>
      <c r="B74" s="30" t="s">
        <v>148</v>
      </c>
      <c r="C74" s="109" t="s">
        <v>149</v>
      </c>
      <c r="D74" s="30"/>
      <c r="E74" s="15">
        <v>3181</v>
      </c>
      <c r="F74" s="88">
        <f>SUM(E74)*12</f>
        <v>38172</v>
      </c>
      <c r="G74" s="29">
        <v>2.2799999999999998</v>
      </c>
      <c r="H74" s="75">
        <f t="shared" ref="H74" si="9">SUM(F74*G74/1000)</f>
        <v>87.03215999999999</v>
      </c>
      <c r="I74" s="12">
        <f>F74/12*G74</f>
        <v>7252.6799999999994</v>
      </c>
    </row>
    <row r="75" spans="1:22" s="44" customFormat="1" ht="15.75" hidden="1" customHeight="1">
      <c r="A75" s="24"/>
      <c r="B75" s="122" t="s">
        <v>67</v>
      </c>
      <c r="C75" s="106"/>
      <c r="D75" s="30"/>
      <c r="E75" s="15"/>
      <c r="F75" s="29"/>
      <c r="G75" s="29"/>
      <c r="H75" s="75" t="s">
        <v>129</v>
      </c>
      <c r="I75" s="12"/>
    </row>
    <row r="76" spans="1:22" s="44" customFormat="1" ht="15.75" hidden="1" customHeight="1">
      <c r="A76" s="24">
        <v>20</v>
      </c>
      <c r="B76" s="30" t="s">
        <v>150</v>
      </c>
      <c r="C76" s="106" t="s">
        <v>30</v>
      </c>
      <c r="D76" s="30" t="s">
        <v>63</v>
      </c>
      <c r="E76" s="15">
        <v>1</v>
      </c>
      <c r="F76" s="88">
        <f t="shared" ref="F76" si="10">E76</f>
        <v>1</v>
      </c>
      <c r="G76" s="29">
        <v>1029.1199999999999</v>
      </c>
      <c r="H76" s="75">
        <f>G76*F76/1000</f>
        <v>1.0291199999999998</v>
      </c>
      <c r="I76" s="12">
        <f>G76*2</f>
        <v>2058.2399999999998</v>
      </c>
    </row>
    <row r="77" spans="1:22" s="44" customFormat="1" ht="15.75" hidden="1" customHeight="1">
      <c r="A77" s="24">
        <v>21</v>
      </c>
      <c r="B77" s="30" t="s">
        <v>151</v>
      </c>
      <c r="C77" s="106" t="s">
        <v>152</v>
      </c>
      <c r="D77" s="30" t="s">
        <v>63</v>
      </c>
      <c r="E77" s="15">
        <v>1</v>
      </c>
      <c r="F77" s="29">
        <v>1</v>
      </c>
      <c r="G77" s="29">
        <v>735</v>
      </c>
      <c r="H77" s="75">
        <f t="shared" ref="H77:H79" si="11">SUM(F77*G77/1000)</f>
        <v>0.73499999999999999</v>
      </c>
      <c r="I77" s="12">
        <f>G77*2</f>
        <v>1470</v>
      </c>
    </row>
    <row r="78" spans="1:22" s="44" customFormat="1" ht="15.75" hidden="1" customHeight="1">
      <c r="A78" s="24"/>
      <c r="B78" s="30" t="s">
        <v>68</v>
      </c>
      <c r="C78" s="106" t="s">
        <v>70</v>
      </c>
      <c r="D78" s="30" t="s">
        <v>63</v>
      </c>
      <c r="E78" s="15">
        <v>8</v>
      </c>
      <c r="F78" s="29">
        <f>E78/10</f>
        <v>0.8</v>
      </c>
      <c r="G78" s="29">
        <v>657.87</v>
      </c>
      <c r="H78" s="75">
        <f t="shared" si="11"/>
        <v>0.5262960000000001</v>
      </c>
      <c r="I78" s="12">
        <v>0</v>
      </c>
    </row>
    <row r="79" spans="1:22" s="44" customFormat="1" ht="15.75" hidden="1" customHeight="1">
      <c r="A79" s="24">
        <v>22</v>
      </c>
      <c r="B79" s="30" t="s">
        <v>69</v>
      </c>
      <c r="C79" s="106" t="s">
        <v>30</v>
      </c>
      <c r="D79" s="30" t="s">
        <v>63</v>
      </c>
      <c r="E79" s="15">
        <v>1</v>
      </c>
      <c r="F79" s="104">
        <v>1</v>
      </c>
      <c r="G79" s="29">
        <v>1118.72</v>
      </c>
      <c r="H79" s="75">
        <f t="shared" si="11"/>
        <v>1.1187199999999999</v>
      </c>
      <c r="I79" s="12">
        <f>G79*10</f>
        <v>11187.2</v>
      </c>
    </row>
    <row r="80" spans="1:22" s="44" customFormat="1" ht="15.75" hidden="1" customHeight="1">
      <c r="A80" s="24"/>
      <c r="B80" s="123" t="s">
        <v>71</v>
      </c>
      <c r="C80" s="106"/>
      <c r="D80" s="30"/>
      <c r="E80" s="15"/>
      <c r="F80" s="29"/>
      <c r="G80" s="29" t="s">
        <v>129</v>
      </c>
      <c r="H80" s="75" t="s">
        <v>129</v>
      </c>
      <c r="I80" s="12" t="str">
        <f>G80</f>
        <v xml:space="preserve"> </v>
      </c>
    </row>
    <row r="81" spans="1:9" s="44" customFormat="1" ht="15.75" hidden="1" customHeight="1">
      <c r="A81" s="24"/>
      <c r="B81" s="110" t="s">
        <v>122</v>
      </c>
      <c r="C81" s="107" t="s">
        <v>72</v>
      </c>
      <c r="D81" s="105"/>
      <c r="E81" s="111"/>
      <c r="F81" s="97">
        <v>0.6</v>
      </c>
      <c r="G81" s="97">
        <v>3619.09</v>
      </c>
      <c r="H81" s="75">
        <f t="shared" si="8"/>
        <v>2.1714540000000002</v>
      </c>
      <c r="I81" s="12">
        <v>0</v>
      </c>
    </row>
    <row r="82" spans="1:9" s="44" customFormat="1" ht="15.75" hidden="1" customHeight="1">
      <c r="A82" s="24"/>
      <c r="B82" s="79" t="s">
        <v>120</v>
      </c>
      <c r="C82" s="12"/>
      <c r="D82" s="12"/>
      <c r="E82" s="12"/>
      <c r="F82" s="12"/>
      <c r="G82" s="12"/>
      <c r="H82" s="12"/>
      <c r="I82" s="12"/>
    </row>
    <row r="83" spans="1:9" s="44" customFormat="1" ht="15.75" hidden="1" customHeight="1">
      <c r="A83" s="24"/>
      <c r="B83" s="85" t="s">
        <v>121</v>
      </c>
      <c r="C83" s="112"/>
      <c r="D83" s="113"/>
      <c r="E83" s="114"/>
      <c r="F83" s="115">
        <v>1</v>
      </c>
      <c r="G83" s="115">
        <v>30235</v>
      </c>
      <c r="H83" s="75">
        <f>G83*F83/1000</f>
        <v>30.234999999999999</v>
      </c>
      <c r="I83" s="12">
        <f>G83</f>
        <v>30235</v>
      </c>
    </row>
    <row r="84" spans="1:9" s="44" customFormat="1" ht="15.75" customHeight="1">
      <c r="A84" s="201" t="s">
        <v>137</v>
      </c>
      <c r="B84" s="202"/>
      <c r="C84" s="202"/>
      <c r="D84" s="202"/>
      <c r="E84" s="202"/>
      <c r="F84" s="202"/>
      <c r="G84" s="202"/>
      <c r="H84" s="202"/>
      <c r="I84" s="203"/>
    </row>
    <row r="85" spans="1:9" s="44" customFormat="1" ht="15.75" customHeight="1">
      <c r="A85" s="61">
        <v>17</v>
      </c>
      <c r="B85" s="85" t="s">
        <v>123</v>
      </c>
      <c r="C85" s="106" t="s">
        <v>52</v>
      </c>
      <c r="D85" s="116"/>
      <c r="E85" s="29">
        <v>3931</v>
      </c>
      <c r="F85" s="29">
        <f>SUM(E85*12)</f>
        <v>47172</v>
      </c>
      <c r="G85" s="29">
        <v>3.1</v>
      </c>
      <c r="H85" s="75">
        <f>SUM(F85*G85/1000)</f>
        <v>146.23320000000001</v>
      </c>
      <c r="I85" s="12">
        <f>F85/12*G85</f>
        <v>12186.1</v>
      </c>
    </row>
    <row r="86" spans="1:9" s="44" customFormat="1" ht="31.5" customHeight="1">
      <c r="A86" s="24">
        <v>18</v>
      </c>
      <c r="B86" s="30" t="s">
        <v>73</v>
      </c>
      <c r="C86" s="106"/>
      <c r="D86" s="116"/>
      <c r="E86" s="87">
        <f>E85</f>
        <v>3931</v>
      </c>
      <c r="F86" s="29">
        <f>E86*12</f>
        <v>47172</v>
      </c>
      <c r="G86" s="29">
        <v>3.5</v>
      </c>
      <c r="H86" s="75">
        <f>F86*G86/1000</f>
        <v>165.102</v>
      </c>
      <c r="I86" s="12">
        <f>F86/12*G86</f>
        <v>13758.5</v>
      </c>
    </row>
    <row r="87" spans="1:9" s="44" customFormat="1" ht="15.75" customHeight="1">
      <c r="A87" s="24"/>
      <c r="B87" s="31" t="s">
        <v>76</v>
      </c>
      <c r="C87" s="57"/>
      <c r="D87" s="56"/>
      <c r="E87" s="46"/>
      <c r="F87" s="46"/>
      <c r="G87" s="46"/>
      <c r="H87" s="58">
        <f>H86</f>
        <v>165.102</v>
      </c>
      <c r="I87" s="46">
        <f>I86+I85+I74+I63+I59+I56+I53+I52+I48+I42+I41+I40+I39+I38+I25+I18+I17+I16</f>
        <v>95031.206684999997</v>
      </c>
    </row>
    <row r="88" spans="1:9" s="44" customFormat="1" ht="15.75" customHeight="1">
      <c r="A88" s="190" t="s">
        <v>57</v>
      </c>
      <c r="B88" s="191"/>
      <c r="C88" s="191"/>
      <c r="D88" s="191"/>
      <c r="E88" s="191"/>
      <c r="F88" s="191"/>
      <c r="G88" s="191"/>
      <c r="H88" s="191"/>
      <c r="I88" s="192"/>
    </row>
    <row r="89" spans="1:9" s="44" customFormat="1" ht="31.5" customHeight="1">
      <c r="A89" s="24">
        <v>19</v>
      </c>
      <c r="B89" s="77" t="s">
        <v>182</v>
      </c>
      <c r="C89" s="78" t="s">
        <v>29</v>
      </c>
      <c r="D89" s="13"/>
      <c r="E89" s="16"/>
      <c r="F89" s="12">
        <v>8</v>
      </c>
      <c r="G89" s="29">
        <v>19757.060000000001</v>
      </c>
      <c r="H89" s="54">
        <f t="shared" ref="H89:H90" si="12">G89*F89/1000</f>
        <v>158.05648000000002</v>
      </c>
      <c r="I89" s="12">
        <f>G89*0.599*10/1000</f>
        <v>118.34478940000001</v>
      </c>
    </row>
    <row r="90" spans="1:9" s="44" customFormat="1" ht="31.5" customHeight="1">
      <c r="A90" s="24">
        <v>20</v>
      </c>
      <c r="B90" s="77" t="s">
        <v>185</v>
      </c>
      <c r="C90" s="78" t="s">
        <v>36</v>
      </c>
      <c r="D90" s="13"/>
      <c r="E90" s="16"/>
      <c r="F90" s="12">
        <v>2.5</v>
      </c>
      <c r="G90" s="29">
        <v>3914.31</v>
      </c>
      <c r="H90" s="54">
        <f t="shared" si="12"/>
        <v>9.7857749999999992</v>
      </c>
      <c r="I90" s="12">
        <f>G90*0.01</f>
        <v>39.143099999999997</v>
      </c>
    </row>
    <row r="91" spans="1:9" s="44" customFormat="1" ht="18" customHeight="1">
      <c r="A91" s="24">
        <v>21</v>
      </c>
      <c r="B91" s="77" t="s">
        <v>190</v>
      </c>
      <c r="C91" s="78" t="s">
        <v>191</v>
      </c>
      <c r="D91" s="13"/>
      <c r="E91" s="16"/>
      <c r="F91" s="12">
        <v>0.04</v>
      </c>
      <c r="G91" s="29">
        <v>124.54</v>
      </c>
      <c r="H91" s="54">
        <f>G91*F91/1000</f>
        <v>4.9816000000000001E-3</v>
      </c>
      <c r="I91" s="59">
        <f>G91*1</f>
        <v>124.54</v>
      </c>
    </row>
    <row r="92" spans="1:9" s="44" customFormat="1" ht="31.5" customHeight="1">
      <c r="A92" s="24">
        <v>22</v>
      </c>
      <c r="B92" s="77" t="s">
        <v>82</v>
      </c>
      <c r="C92" s="78" t="s">
        <v>131</v>
      </c>
      <c r="D92" s="13"/>
      <c r="E92" s="16"/>
      <c r="F92" s="12">
        <v>3</v>
      </c>
      <c r="G92" s="29">
        <v>644.72</v>
      </c>
      <c r="H92" s="54">
        <f>G92*F92/1000</f>
        <v>1.9341600000000001</v>
      </c>
      <c r="I92" s="12">
        <f>G92*1</f>
        <v>644.72</v>
      </c>
    </row>
    <row r="93" spans="1:9" s="44" customFormat="1" ht="28.5" customHeight="1">
      <c r="A93" s="24">
        <v>23</v>
      </c>
      <c r="B93" s="77" t="s">
        <v>162</v>
      </c>
      <c r="C93" s="78" t="s">
        <v>163</v>
      </c>
      <c r="D93" s="13"/>
      <c r="E93" s="16"/>
      <c r="F93" s="12"/>
      <c r="G93" s="29">
        <v>26095.37</v>
      </c>
      <c r="H93" s="54"/>
      <c r="I93" s="59">
        <f>G93*0.01</f>
        <v>260.95369999999997</v>
      </c>
    </row>
    <row r="94" spans="1:9" s="44" customFormat="1" ht="15.75" customHeight="1">
      <c r="A94" s="24">
        <v>24</v>
      </c>
      <c r="B94" s="77" t="s">
        <v>156</v>
      </c>
      <c r="C94" s="78" t="s">
        <v>86</v>
      </c>
      <c r="D94" s="30"/>
      <c r="E94" s="15"/>
      <c r="F94" s="29">
        <v>1</v>
      </c>
      <c r="G94" s="29">
        <v>87.32</v>
      </c>
      <c r="H94" s="75">
        <f t="shared" ref="H94" si="13">G94*F94/1000</f>
        <v>8.7319999999999995E-2</v>
      </c>
      <c r="I94" s="59">
        <f>G94*1</f>
        <v>87.32</v>
      </c>
    </row>
    <row r="95" spans="1:9" s="44" customFormat="1" ht="32.25" customHeight="1">
      <c r="A95" s="24">
        <v>25</v>
      </c>
      <c r="B95" s="77" t="s">
        <v>192</v>
      </c>
      <c r="C95" s="78" t="s">
        <v>86</v>
      </c>
      <c r="D95" s="30"/>
      <c r="E95" s="15"/>
      <c r="F95" s="29"/>
      <c r="G95" s="29">
        <v>1133.92</v>
      </c>
      <c r="H95" s="75"/>
      <c r="I95" s="59">
        <f>G95*1</f>
        <v>1133.92</v>
      </c>
    </row>
    <row r="96" spans="1:9" s="44" customFormat="1" ht="33.75" customHeight="1">
      <c r="A96" s="24">
        <v>26</v>
      </c>
      <c r="B96" s="77" t="s">
        <v>193</v>
      </c>
      <c r="C96" s="78" t="s">
        <v>86</v>
      </c>
      <c r="D96" s="30"/>
      <c r="E96" s="15"/>
      <c r="F96" s="29"/>
      <c r="G96" s="29">
        <v>897.29</v>
      </c>
      <c r="H96" s="75"/>
      <c r="I96" s="59">
        <f>G96*2</f>
        <v>1794.58</v>
      </c>
    </row>
    <row r="97" spans="1:9" s="44" customFormat="1" ht="15.75" customHeight="1">
      <c r="A97" s="24">
        <v>27</v>
      </c>
      <c r="B97" s="77" t="s">
        <v>194</v>
      </c>
      <c r="C97" s="78" t="s">
        <v>86</v>
      </c>
      <c r="D97" s="30"/>
      <c r="E97" s="15"/>
      <c r="F97" s="29"/>
      <c r="G97" s="29">
        <v>86.15</v>
      </c>
      <c r="H97" s="75"/>
      <c r="I97" s="59">
        <f>G97*2</f>
        <v>172.3</v>
      </c>
    </row>
    <row r="98" spans="1:9" s="44" customFormat="1" ht="15.75" customHeight="1">
      <c r="A98" s="24">
        <v>28</v>
      </c>
      <c r="B98" s="77" t="s">
        <v>195</v>
      </c>
      <c r="C98" s="78" t="s">
        <v>86</v>
      </c>
      <c r="D98" s="30"/>
      <c r="E98" s="15"/>
      <c r="F98" s="29"/>
      <c r="G98" s="29">
        <v>109.73</v>
      </c>
      <c r="H98" s="75"/>
      <c r="I98" s="59">
        <f>G98*2</f>
        <v>219.46</v>
      </c>
    </row>
    <row r="99" spans="1:9" s="44" customFormat="1" ht="15.75" customHeight="1">
      <c r="A99" s="24">
        <v>29</v>
      </c>
      <c r="B99" s="77" t="s">
        <v>196</v>
      </c>
      <c r="C99" s="78" t="s">
        <v>86</v>
      </c>
      <c r="D99" s="30"/>
      <c r="E99" s="15"/>
      <c r="F99" s="29"/>
      <c r="G99" s="29">
        <v>53.17</v>
      </c>
      <c r="H99" s="75"/>
      <c r="I99" s="59">
        <f>G99*1</f>
        <v>53.17</v>
      </c>
    </row>
    <row r="100" spans="1:9" s="44" customFormat="1" ht="15.75" customHeight="1">
      <c r="A100" s="24">
        <v>30</v>
      </c>
      <c r="B100" s="77" t="s">
        <v>197</v>
      </c>
      <c r="C100" s="78" t="s">
        <v>86</v>
      </c>
      <c r="D100" s="30"/>
      <c r="E100" s="15"/>
      <c r="F100" s="29"/>
      <c r="G100" s="29">
        <v>45.79</v>
      </c>
      <c r="H100" s="75"/>
      <c r="I100" s="59">
        <f>G100*1</f>
        <v>45.79</v>
      </c>
    </row>
    <row r="101" spans="1:9" s="44" customFormat="1" ht="15.75" customHeight="1">
      <c r="A101" s="24">
        <v>31</v>
      </c>
      <c r="B101" s="77" t="s">
        <v>198</v>
      </c>
      <c r="C101" s="78" t="s">
        <v>86</v>
      </c>
      <c r="D101" s="30"/>
      <c r="E101" s="15"/>
      <c r="F101" s="29"/>
      <c r="G101" s="29">
        <v>78.89</v>
      </c>
      <c r="H101" s="75"/>
      <c r="I101" s="59">
        <f>G101*1</f>
        <v>78.89</v>
      </c>
    </row>
    <row r="102" spans="1:9" ht="33.75" customHeight="1">
      <c r="A102" s="24">
        <v>32</v>
      </c>
      <c r="B102" s="77" t="s">
        <v>199</v>
      </c>
      <c r="C102" s="78" t="s">
        <v>86</v>
      </c>
      <c r="D102" s="38"/>
      <c r="E102" s="32">
        <v>1</v>
      </c>
      <c r="F102" s="32"/>
      <c r="G102" s="29">
        <v>735.42</v>
      </c>
      <c r="H102" s="32"/>
      <c r="I102" s="16">
        <f>G102*1</f>
        <v>735.42</v>
      </c>
    </row>
    <row r="103" spans="1:9" ht="49.5" customHeight="1">
      <c r="A103" s="24">
        <v>33</v>
      </c>
      <c r="B103" s="77" t="s">
        <v>200</v>
      </c>
      <c r="C103" s="78" t="s">
        <v>201</v>
      </c>
      <c r="D103" s="38"/>
      <c r="E103" s="32"/>
      <c r="F103" s="32"/>
      <c r="G103" s="144">
        <v>8291.9</v>
      </c>
      <c r="H103" s="32"/>
      <c r="I103" s="16">
        <f>G103*0.2</f>
        <v>1658.38</v>
      </c>
    </row>
    <row r="104" spans="1:9" ht="16.5" customHeight="1">
      <c r="A104" s="24">
        <v>32</v>
      </c>
      <c r="B104" s="77" t="s">
        <v>202</v>
      </c>
      <c r="C104" s="78" t="s">
        <v>86</v>
      </c>
      <c r="D104" s="38"/>
      <c r="E104" s="32"/>
      <c r="F104" s="32"/>
      <c r="G104" s="144">
        <v>250</v>
      </c>
      <c r="H104" s="32"/>
      <c r="I104" s="16">
        <f>G104*1</f>
        <v>250</v>
      </c>
    </row>
    <row r="105" spans="1:9" ht="15" customHeight="1">
      <c r="A105" s="24"/>
      <c r="B105" s="60" t="s">
        <v>49</v>
      </c>
      <c r="C105" s="32"/>
      <c r="D105" s="38"/>
      <c r="E105" s="32">
        <v>1</v>
      </c>
      <c r="F105" s="32"/>
      <c r="G105" s="32"/>
      <c r="H105" s="32"/>
      <c r="I105" s="27">
        <f>SUM(I89:I104)</f>
        <v>7416.931589400001</v>
      </c>
    </row>
    <row r="106" spans="1:9" ht="15.75" customHeight="1">
      <c r="A106" s="24"/>
      <c r="B106" s="37" t="s">
        <v>74</v>
      </c>
      <c r="C106" s="14"/>
      <c r="D106" s="14"/>
      <c r="E106" s="33"/>
      <c r="F106" s="33"/>
      <c r="G106" s="34"/>
      <c r="H106" s="34"/>
      <c r="I106" s="15">
        <v>0</v>
      </c>
    </row>
    <row r="107" spans="1:9">
      <c r="A107" s="39"/>
      <c r="B107" s="36" t="s">
        <v>143</v>
      </c>
      <c r="C107" s="28"/>
      <c r="D107" s="28"/>
      <c r="E107" s="28"/>
      <c r="F107" s="28"/>
      <c r="G107" s="28"/>
      <c r="H107" s="28"/>
      <c r="I107" s="35">
        <f>I105+I87</f>
        <v>102448.1382744</v>
      </c>
    </row>
    <row r="108" spans="1:9" ht="15.75">
      <c r="A108" s="193" t="s">
        <v>228</v>
      </c>
      <c r="B108" s="193"/>
      <c r="C108" s="193"/>
      <c r="D108" s="193"/>
      <c r="E108" s="193"/>
      <c r="F108" s="193"/>
      <c r="G108" s="193"/>
      <c r="H108" s="193"/>
      <c r="I108" s="193"/>
    </row>
    <row r="109" spans="1:9" ht="15.75">
      <c r="A109" s="68"/>
      <c r="B109" s="194" t="s">
        <v>229</v>
      </c>
      <c r="C109" s="194"/>
      <c r="D109" s="194"/>
      <c r="E109" s="194"/>
      <c r="F109" s="194"/>
      <c r="G109" s="194"/>
      <c r="H109" s="43"/>
      <c r="I109" s="3"/>
    </row>
    <row r="110" spans="1:9" ht="15.75" customHeight="1">
      <c r="A110" s="84"/>
      <c r="B110" s="195" t="s">
        <v>6</v>
      </c>
      <c r="C110" s="195"/>
      <c r="D110" s="195"/>
      <c r="E110" s="195"/>
      <c r="F110" s="195"/>
      <c r="G110" s="195"/>
      <c r="H110" s="19"/>
      <c r="I110" s="5"/>
    </row>
    <row r="111" spans="1:9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5.75">
      <c r="A112" s="196" t="s">
        <v>7</v>
      </c>
      <c r="B112" s="196"/>
      <c r="C112" s="196"/>
      <c r="D112" s="196"/>
      <c r="E112" s="196"/>
      <c r="F112" s="196"/>
      <c r="G112" s="196"/>
      <c r="H112" s="196"/>
      <c r="I112" s="196"/>
    </row>
    <row r="113" spans="1:9" ht="15.75">
      <c r="A113" s="196" t="s">
        <v>8</v>
      </c>
      <c r="B113" s="196"/>
      <c r="C113" s="196"/>
      <c r="D113" s="196"/>
      <c r="E113" s="196"/>
      <c r="F113" s="196"/>
      <c r="G113" s="196"/>
      <c r="H113" s="196"/>
      <c r="I113" s="196"/>
    </row>
    <row r="114" spans="1:9" ht="15.75" customHeight="1">
      <c r="A114" s="197" t="s">
        <v>58</v>
      </c>
      <c r="B114" s="197"/>
      <c r="C114" s="197"/>
      <c r="D114" s="197"/>
      <c r="E114" s="197"/>
      <c r="F114" s="197"/>
      <c r="G114" s="197"/>
      <c r="H114" s="197"/>
      <c r="I114" s="197"/>
    </row>
    <row r="115" spans="1:9" ht="15.75">
      <c r="A115" s="10"/>
    </row>
    <row r="116" spans="1:9" ht="15.75">
      <c r="A116" s="198" t="s">
        <v>9</v>
      </c>
      <c r="B116" s="198"/>
      <c r="C116" s="198"/>
      <c r="D116" s="198"/>
      <c r="E116" s="198"/>
      <c r="F116" s="198"/>
      <c r="G116" s="198"/>
      <c r="H116" s="198"/>
      <c r="I116" s="198"/>
    </row>
    <row r="117" spans="1:9" ht="15.75">
      <c r="A117" s="4"/>
    </row>
    <row r="118" spans="1:9" ht="15.75">
      <c r="B118" s="81" t="s">
        <v>10</v>
      </c>
      <c r="C118" s="199" t="s">
        <v>83</v>
      </c>
      <c r="D118" s="199"/>
      <c r="E118" s="199"/>
      <c r="F118" s="41"/>
      <c r="I118" s="83"/>
    </row>
    <row r="119" spans="1:9">
      <c r="A119" s="84"/>
      <c r="C119" s="195" t="s">
        <v>11</v>
      </c>
      <c r="D119" s="195"/>
      <c r="E119" s="195"/>
      <c r="F119" s="19"/>
      <c r="I119" s="82" t="s">
        <v>12</v>
      </c>
    </row>
    <row r="120" spans="1:9" ht="15.75">
      <c r="A120" s="20"/>
      <c r="C120" s="11"/>
      <c r="D120" s="11"/>
      <c r="G120" s="11"/>
      <c r="H120" s="11"/>
    </row>
    <row r="121" spans="1:9" ht="15.75">
      <c r="B121" s="81" t="s">
        <v>13</v>
      </c>
      <c r="C121" s="200"/>
      <c r="D121" s="200"/>
      <c r="E121" s="200"/>
      <c r="F121" s="42"/>
      <c r="I121" s="83"/>
    </row>
    <row r="122" spans="1:9">
      <c r="A122" s="84"/>
      <c r="C122" s="189" t="s">
        <v>11</v>
      </c>
      <c r="D122" s="189"/>
      <c r="E122" s="189"/>
      <c r="F122" s="84"/>
      <c r="I122" s="82" t="s">
        <v>12</v>
      </c>
    </row>
    <row r="123" spans="1:9" ht="15.75">
      <c r="A123" s="4" t="s">
        <v>14</v>
      </c>
    </row>
    <row r="124" spans="1:9" ht="15" customHeight="1">
      <c r="A124" s="186" t="s">
        <v>15</v>
      </c>
      <c r="B124" s="186"/>
      <c r="C124" s="186"/>
      <c r="D124" s="186"/>
      <c r="E124" s="186"/>
      <c r="F124" s="186"/>
      <c r="G124" s="186"/>
      <c r="H124" s="186"/>
      <c r="I124" s="186"/>
    </row>
    <row r="125" spans="1:9" ht="45" customHeight="1">
      <c r="A125" s="187" t="s">
        <v>16</v>
      </c>
      <c r="B125" s="187"/>
      <c r="C125" s="187"/>
      <c r="D125" s="187"/>
      <c r="E125" s="187"/>
      <c r="F125" s="187"/>
      <c r="G125" s="187"/>
      <c r="H125" s="187"/>
      <c r="I125" s="187"/>
    </row>
    <row r="126" spans="1:9" ht="30" customHeight="1">
      <c r="A126" s="187" t="s">
        <v>17</v>
      </c>
      <c r="B126" s="187"/>
      <c r="C126" s="187"/>
      <c r="D126" s="187"/>
      <c r="E126" s="187"/>
      <c r="F126" s="187"/>
      <c r="G126" s="187"/>
      <c r="H126" s="187"/>
      <c r="I126" s="187"/>
    </row>
    <row r="127" spans="1:9" ht="30" customHeight="1">
      <c r="A127" s="187" t="s">
        <v>21</v>
      </c>
      <c r="B127" s="187"/>
      <c r="C127" s="187"/>
      <c r="D127" s="187"/>
      <c r="E127" s="187"/>
      <c r="F127" s="187"/>
      <c r="G127" s="187"/>
      <c r="H127" s="187"/>
      <c r="I127" s="187"/>
    </row>
    <row r="128" spans="1:9" ht="15" customHeight="1">
      <c r="A128" s="187" t="s">
        <v>20</v>
      </c>
      <c r="B128" s="187"/>
      <c r="C128" s="187"/>
      <c r="D128" s="187"/>
      <c r="E128" s="187"/>
      <c r="F128" s="187"/>
      <c r="G128" s="187"/>
      <c r="H128" s="187"/>
      <c r="I128" s="187"/>
    </row>
  </sheetData>
  <autoFilter ref="I12:I65"/>
  <mergeCells count="29">
    <mergeCell ref="A14:I14"/>
    <mergeCell ref="A15:I15"/>
    <mergeCell ref="A27:I27"/>
    <mergeCell ref="A43:I43"/>
    <mergeCell ref="A54:I54"/>
    <mergeCell ref="A3:I3"/>
    <mergeCell ref="A4:I4"/>
    <mergeCell ref="A5:I5"/>
    <mergeCell ref="A8:I8"/>
    <mergeCell ref="A10:I10"/>
    <mergeCell ref="R70:U70"/>
    <mergeCell ref="C122:E122"/>
    <mergeCell ref="A88:I88"/>
    <mergeCell ref="A108:I108"/>
    <mergeCell ref="B109:G109"/>
    <mergeCell ref="B110:G110"/>
    <mergeCell ref="A112:I112"/>
    <mergeCell ref="A113:I113"/>
    <mergeCell ref="A114:I114"/>
    <mergeCell ref="A116:I116"/>
    <mergeCell ref="C118:E118"/>
    <mergeCell ref="C119:E119"/>
    <mergeCell ref="C121:E121"/>
    <mergeCell ref="A84:I84"/>
    <mergeCell ref="A124:I124"/>
    <mergeCell ref="A125:I125"/>
    <mergeCell ref="A126:I126"/>
    <mergeCell ref="A127:I127"/>
    <mergeCell ref="A128:I12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2" max="8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4"/>
  <sheetViews>
    <sheetView workbookViewId="0">
      <selection activeCell="B16" sqref="B16:I2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2" t="s">
        <v>171</v>
      </c>
      <c r="I1" s="21"/>
      <c r="J1" s="1"/>
      <c r="K1" s="1"/>
      <c r="L1" s="1"/>
      <c r="M1" s="1"/>
    </row>
    <row r="2" spans="1:13" ht="15.75" customHeight="1">
      <c r="A2" s="23" t="s">
        <v>59</v>
      </c>
      <c r="J2" s="2"/>
      <c r="K2" s="2"/>
      <c r="L2" s="2"/>
      <c r="M2" s="2"/>
    </row>
    <row r="3" spans="1:13" ht="15.75" customHeight="1">
      <c r="A3" s="204" t="s">
        <v>161</v>
      </c>
      <c r="B3" s="204"/>
      <c r="C3" s="204"/>
      <c r="D3" s="204"/>
      <c r="E3" s="204"/>
      <c r="F3" s="204"/>
      <c r="G3" s="204"/>
      <c r="H3" s="204"/>
      <c r="I3" s="204"/>
      <c r="J3" s="3"/>
      <c r="K3" s="3"/>
      <c r="L3" s="3"/>
    </row>
    <row r="4" spans="1:13" ht="31.5" customHeight="1">
      <c r="A4" s="205" t="s">
        <v>124</v>
      </c>
      <c r="B4" s="205"/>
      <c r="C4" s="205"/>
      <c r="D4" s="205"/>
      <c r="E4" s="205"/>
      <c r="F4" s="205"/>
      <c r="G4" s="205"/>
      <c r="H4" s="205"/>
      <c r="I4" s="205"/>
    </row>
    <row r="5" spans="1:13" ht="15.75">
      <c r="A5" s="204" t="s">
        <v>203</v>
      </c>
      <c r="B5" s="206"/>
      <c r="C5" s="206"/>
      <c r="D5" s="206"/>
      <c r="E5" s="206"/>
      <c r="F5" s="206"/>
      <c r="G5" s="206"/>
      <c r="H5" s="206"/>
      <c r="I5" s="206"/>
      <c r="J5" s="2"/>
      <c r="K5" s="2"/>
      <c r="L5" s="2"/>
      <c r="M5" s="2"/>
    </row>
    <row r="6" spans="1:13" ht="15.75">
      <c r="A6" s="2"/>
      <c r="B6" s="129"/>
      <c r="C6" s="129"/>
      <c r="D6" s="129"/>
      <c r="E6" s="129"/>
      <c r="F6" s="129"/>
      <c r="G6" s="129"/>
      <c r="H6" s="129"/>
      <c r="I6" s="25">
        <v>43555</v>
      </c>
      <c r="J6" s="2"/>
      <c r="K6" s="2"/>
      <c r="L6" s="2"/>
      <c r="M6" s="2"/>
    </row>
    <row r="7" spans="1:13" ht="15.75">
      <c r="B7" s="127"/>
      <c r="C7" s="127"/>
      <c r="D7" s="12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7" t="s">
        <v>175</v>
      </c>
      <c r="B8" s="207"/>
      <c r="C8" s="207"/>
      <c r="D8" s="207"/>
      <c r="E8" s="207"/>
      <c r="F8" s="207"/>
      <c r="G8" s="207"/>
      <c r="H8" s="207"/>
      <c r="I8" s="207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08" t="s">
        <v>158</v>
      </c>
      <c r="B10" s="208"/>
      <c r="C10" s="208"/>
      <c r="D10" s="208"/>
      <c r="E10" s="208"/>
      <c r="F10" s="208"/>
      <c r="G10" s="208"/>
      <c r="H10" s="208"/>
      <c r="I10" s="208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09" t="s">
        <v>56</v>
      </c>
      <c r="B14" s="209"/>
      <c r="C14" s="209"/>
      <c r="D14" s="209"/>
      <c r="E14" s="209"/>
      <c r="F14" s="209"/>
      <c r="G14" s="209"/>
      <c r="H14" s="209"/>
      <c r="I14" s="209"/>
      <c r="J14" s="8"/>
      <c r="K14" s="8"/>
      <c r="L14" s="8"/>
      <c r="M14" s="8"/>
    </row>
    <row r="15" spans="1:13" ht="15.75" customHeight="1">
      <c r="A15" s="210" t="s">
        <v>4</v>
      </c>
      <c r="B15" s="210"/>
      <c r="C15" s="210"/>
      <c r="D15" s="210"/>
      <c r="E15" s="210"/>
      <c r="F15" s="210"/>
      <c r="G15" s="210"/>
      <c r="H15" s="210"/>
      <c r="I15" s="210"/>
      <c r="J15" s="8"/>
      <c r="K15" s="8"/>
      <c r="L15" s="8"/>
      <c r="M15" s="8"/>
    </row>
    <row r="16" spans="1:13" s="44" customFormat="1" ht="15.75" customHeight="1">
      <c r="A16" s="24">
        <v>1</v>
      </c>
      <c r="B16" s="85" t="s">
        <v>81</v>
      </c>
      <c r="C16" s="86" t="s">
        <v>90</v>
      </c>
      <c r="D16" s="85" t="s">
        <v>217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24" si="0">SUM(F16*G16/1000)</f>
        <v>34.100352000000008</v>
      </c>
      <c r="I16" s="12">
        <f>F16/12*G16</f>
        <v>2841.6960000000004</v>
      </c>
    </row>
    <row r="17" spans="1:10" s="44" customFormat="1" ht="15.75" customHeight="1">
      <c r="A17" s="24">
        <v>2</v>
      </c>
      <c r="B17" s="85" t="s">
        <v>88</v>
      </c>
      <c r="C17" s="86" t="s">
        <v>90</v>
      </c>
      <c r="D17" s="85" t="s">
        <v>218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  <c r="J17" s="45"/>
    </row>
    <row r="18" spans="1:10" s="44" customFormat="1" ht="15.75" customHeight="1">
      <c r="A18" s="24">
        <v>3</v>
      </c>
      <c r="B18" s="85" t="s">
        <v>89</v>
      </c>
      <c r="C18" s="86" t="s">
        <v>90</v>
      </c>
      <c r="D18" s="85" t="s">
        <v>219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  <c r="J18" s="45"/>
    </row>
    <row r="19" spans="1:10" s="44" customFormat="1" ht="15.75" hidden="1" customHeight="1">
      <c r="A19" s="24">
        <v>4</v>
      </c>
      <c r="B19" s="85" t="s">
        <v>91</v>
      </c>
      <c r="C19" s="86" t="s">
        <v>92</v>
      </c>
      <c r="D19" s="85" t="s">
        <v>93</v>
      </c>
      <c r="E19" s="87">
        <v>57.6</v>
      </c>
      <c r="F19" s="88">
        <f>SUM(E19/10)</f>
        <v>5.76</v>
      </c>
      <c r="G19" s="88">
        <v>223.17</v>
      </c>
      <c r="H19" s="89">
        <f t="shared" si="0"/>
        <v>1.2854591999999998</v>
      </c>
      <c r="I19" s="12">
        <v>0</v>
      </c>
      <c r="J19" s="45"/>
    </row>
    <row r="20" spans="1:10" s="44" customFormat="1" ht="15.75" hidden="1" customHeight="1">
      <c r="A20" s="24">
        <v>5</v>
      </c>
      <c r="B20" s="85" t="s">
        <v>94</v>
      </c>
      <c r="C20" s="86" t="s">
        <v>90</v>
      </c>
      <c r="D20" s="85" t="s">
        <v>40</v>
      </c>
      <c r="E20" s="87">
        <v>43.2</v>
      </c>
      <c r="F20" s="88">
        <f>SUM(E20*2/100)</f>
        <v>0.8640000000000001</v>
      </c>
      <c r="G20" s="88">
        <v>285.76</v>
      </c>
      <c r="H20" s="89">
        <f t="shared" si="0"/>
        <v>0.24689664000000003</v>
      </c>
      <c r="I20" s="12">
        <v>0</v>
      </c>
      <c r="J20" s="45"/>
    </row>
    <row r="21" spans="1:10" s="44" customFormat="1" ht="15.75" hidden="1" customHeight="1">
      <c r="A21" s="24">
        <v>6</v>
      </c>
      <c r="B21" s="85" t="s">
        <v>95</v>
      </c>
      <c r="C21" s="86" t="s">
        <v>90</v>
      </c>
      <c r="D21" s="85" t="s">
        <v>40</v>
      </c>
      <c r="E21" s="87">
        <v>10.08</v>
      </c>
      <c r="F21" s="88">
        <f>SUM(E21*2/100)</f>
        <v>0.2016</v>
      </c>
      <c r="G21" s="88">
        <v>283.44</v>
      </c>
      <c r="H21" s="89">
        <f t="shared" si="0"/>
        <v>5.7141503999999996E-2</v>
      </c>
      <c r="I21" s="12">
        <v>0</v>
      </c>
      <c r="J21" s="45"/>
    </row>
    <row r="22" spans="1:10" s="44" customFormat="1" ht="15.75" hidden="1" customHeight="1">
      <c r="A22" s="24">
        <v>7</v>
      </c>
      <c r="B22" s="85" t="s">
        <v>96</v>
      </c>
      <c r="C22" s="86" t="s">
        <v>50</v>
      </c>
      <c r="D22" s="85" t="s">
        <v>93</v>
      </c>
      <c r="E22" s="87">
        <v>642.6</v>
      </c>
      <c r="F22" s="88">
        <f>SUM(E22/100)</f>
        <v>6.4260000000000002</v>
      </c>
      <c r="G22" s="88">
        <v>353.14</v>
      </c>
      <c r="H22" s="89">
        <f t="shared" si="0"/>
        <v>2.2692776399999999</v>
      </c>
      <c r="I22" s="12">
        <v>0</v>
      </c>
      <c r="J22" s="45"/>
    </row>
    <row r="23" spans="1:10" s="44" customFormat="1" ht="15.75" hidden="1" customHeight="1">
      <c r="A23" s="24">
        <v>8</v>
      </c>
      <c r="B23" s="85" t="s">
        <v>97</v>
      </c>
      <c r="C23" s="86" t="s">
        <v>50</v>
      </c>
      <c r="D23" s="85" t="s">
        <v>93</v>
      </c>
      <c r="E23" s="90">
        <v>35.28</v>
      </c>
      <c r="F23" s="88">
        <f>SUM(E23/100)</f>
        <v>0.3528</v>
      </c>
      <c r="G23" s="88">
        <v>58.08</v>
      </c>
      <c r="H23" s="89">
        <f t="shared" si="0"/>
        <v>2.0490623999999999E-2</v>
      </c>
      <c r="I23" s="12">
        <v>0</v>
      </c>
      <c r="J23" s="45"/>
    </row>
    <row r="24" spans="1:10" s="44" customFormat="1" ht="15.75" hidden="1" customHeight="1">
      <c r="A24" s="24">
        <v>9</v>
      </c>
      <c r="B24" s="85" t="s">
        <v>98</v>
      </c>
      <c r="C24" s="86" t="s">
        <v>50</v>
      </c>
      <c r="D24" s="85" t="s">
        <v>93</v>
      </c>
      <c r="E24" s="87">
        <v>28.8</v>
      </c>
      <c r="F24" s="88">
        <f>SUM(E24/100)</f>
        <v>0.28800000000000003</v>
      </c>
      <c r="G24" s="88">
        <v>683.05</v>
      </c>
      <c r="H24" s="89">
        <f t="shared" si="0"/>
        <v>0.19671840000000002</v>
      </c>
      <c r="I24" s="12">
        <v>0</v>
      </c>
      <c r="J24" s="45"/>
    </row>
    <row r="25" spans="1:10" s="44" customFormat="1" ht="15.75" customHeight="1">
      <c r="A25" s="24">
        <v>4</v>
      </c>
      <c r="B25" s="85" t="s">
        <v>216</v>
      </c>
      <c r="C25" s="86" t="s">
        <v>25</v>
      </c>
      <c r="D25" s="85" t="s">
        <v>220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  <c r="J25" s="45"/>
    </row>
    <row r="26" spans="1:10" s="44" customFormat="1" ht="15.75" customHeight="1">
      <c r="A26" s="211" t="s">
        <v>153</v>
      </c>
      <c r="B26" s="212"/>
      <c r="C26" s="212"/>
      <c r="D26" s="212"/>
      <c r="E26" s="212"/>
      <c r="F26" s="212"/>
      <c r="G26" s="212"/>
      <c r="H26" s="212"/>
      <c r="I26" s="213"/>
      <c r="J26" s="45"/>
    </row>
    <row r="27" spans="1:10" s="44" customFormat="1" ht="15.75" hidden="1" customHeight="1">
      <c r="A27" s="24"/>
      <c r="B27" s="119" t="s">
        <v>28</v>
      </c>
      <c r="C27" s="86"/>
      <c r="D27" s="85"/>
      <c r="E27" s="87"/>
      <c r="F27" s="88"/>
      <c r="G27" s="88"/>
      <c r="H27" s="89"/>
      <c r="I27" s="12"/>
      <c r="J27" s="45"/>
    </row>
    <row r="28" spans="1:10" s="44" customFormat="1" ht="15.75" hidden="1" customHeight="1">
      <c r="A28" s="24">
        <v>6</v>
      </c>
      <c r="B28" s="85" t="s">
        <v>99</v>
      </c>
      <c r="C28" s="86" t="s">
        <v>100</v>
      </c>
      <c r="D28" s="85" t="s">
        <v>101</v>
      </c>
      <c r="E28" s="88">
        <v>271.95</v>
      </c>
      <c r="F28" s="88">
        <f>SUM(E28*52/1000)</f>
        <v>14.141399999999999</v>
      </c>
      <c r="G28" s="88">
        <v>204.44</v>
      </c>
      <c r="H28" s="89">
        <f t="shared" ref="H28:H34" si="2">SUM(F28*G28/1000)</f>
        <v>2.8910678159999996</v>
      </c>
      <c r="I28" s="12">
        <f>F28/6*G28</f>
        <v>481.84463599999998</v>
      </c>
      <c r="J28" s="45"/>
    </row>
    <row r="29" spans="1:10" s="44" customFormat="1" ht="15.75" hidden="1" customHeight="1">
      <c r="A29" s="24">
        <v>7</v>
      </c>
      <c r="B29" s="85" t="s">
        <v>134</v>
      </c>
      <c r="C29" s="86" t="s">
        <v>100</v>
      </c>
      <c r="D29" s="85" t="s">
        <v>144</v>
      </c>
      <c r="E29" s="88">
        <v>83.7</v>
      </c>
      <c r="F29" s="88">
        <f>SUM(E29*52/1000)</f>
        <v>4.3524000000000003</v>
      </c>
      <c r="G29" s="88">
        <v>339.21</v>
      </c>
      <c r="H29" s="89">
        <f t="shared" si="2"/>
        <v>1.4763776040000001</v>
      </c>
      <c r="I29" s="12">
        <f t="shared" ref="I29:I32" si="3">F29/6*G29</f>
        <v>246.06293400000001</v>
      </c>
      <c r="J29" s="45"/>
    </row>
    <row r="30" spans="1:10" s="44" customFormat="1" ht="15.75" hidden="1" customHeight="1">
      <c r="A30" s="24">
        <v>5</v>
      </c>
      <c r="B30" s="85" t="s">
        <v>27</v>
      </c>
      <c r="C30" s="86" t="s">
        <v>100</v>
      </c>
      <c r="D30" s="85" t="s">
        <v>51</v>
      </c>
      <c r="E30" s="88">
        <v>271.95</v>
      </c>
      <c r="F30" s="88">
        <f>SUM(E30/1000)</f>
        <v>0.27194999999999997</v>
      </c>
      <c r="G30" s="88">
        <v>3961.23</v>
      </c>
      <c r="H30" s="89">
        <f t="shared" si="2"/>
        <v>1.0772564984999999</v>
      </c>
      <c r="I30" s="12">
        <v>0</v>
      </c>
      <c r="J30" s="45"/>
    </row>
    <row r="31" spans="1:10" s="44" customFormat="1" ht="15.75" hidden="1" customHeight="1">
      <c r="A31" s="24">
        <v>8</v>
      </c>
      <c r="B31" s="85" t="s">
        <v>102</v>
      </c>
      <c r="C31" s="86" t="s">
        <v>38</v>
      </c>
      <c r="D31" s="85" t="s">
        <v>145</v>
      </c>
      <c r="E31" s="88">
        <v>6</v>
      </c>
      <c r="F31" s="88">
        <f>SUM(E31*48/100)</f>
        <v>2.88</v>
      </c>
      <c r="G31" s="88">
        <v>1707.63</v>
      </c>
      <c r="H31" s="89">
        <f>G31*F31/1000</f>
        <v>4.9179744000000003</v>
      </c>
      <c r="I31" s="12">
        <f t="shared" si="3"/>
        <v>819.66240000000005</v>
      </c>
      <c r="J31" s="45"/>
    </row>
    <row r="32" spans="1:10" s="44" customFormat="1" ht="15.75" hidden="1" customHeight="1">
      <c r="A32" s="24">
        <v>9</v>
      </c>
      <c r="B32" s="85" t="s">
        <v>103</v>
      </c>
      <c r="C32" s="86" t="s">
        <v>30</v>
      </c>
      <c r="D32" s="85" t="s">
        <v>60</v>
      </c>
      <c r="E32" s="91">
        <f>1/3</f>
        <v>0.33333333333333331</v>
      </c>
      <c r="F32" s="88">
        <f>155/3</f>
        <v>51.666666666666664</v>
      </c>
      <c r="G32" s="88">
        <v>74.349999999999994</v>
      </c>
      <c r="H32" s="89">
        <f>SUM(G32*155/3/1000)</f>
        <v>3.8414166666666665</v>
      </c>
      <c r="I32" s="12">
        <f t="shared" si="3"/>
        <v>640.23611111111109</v>
      </c>
      <c r="J32" s="45"/>
    </row>
    <row r="33" spans="1:14" s="44" customFormat="1" ht="15.75" hidden="1" customHeight="1">
      <c r="A33" s="24">
        <v>6</v>
      </c>
      <c r="B33" s="85" t="s">
        <v>61</v>
      </c>
      <c r="C33" s="86" t="s">
        <v>32</v>
      </c>
      <c r="D33" s="85" t="s">
        <v>63</v>
      </c>
      <c r="E33" s="87"/>
      <c r="F33" s="88">
        <v>2</v>
      </c>
      <c r="G33" s="88">
        <v>250.92</v>
      </c>
      <c r="H33" s="89">
        <f t="shared" si="2"/>
        <v>0.50183999999999995</v>
      </c>
      <c r="I33" s="12">
        <v>0</v>
      </c>
      <c r="J33" s="45"/>
    </row>
    <row r="34" spans="1:14" s="44" customFormat="1" ht="15.75" hidden="1" customHeight="1">
      <c r="A34" s="24">
        <v>7</v>
      </c>
      <c r="B34" s="85" t="s">
        <v>62</v>
      </c>
      <c r="C34" s="86" t="s">
        <v>31</v>
      </c>
      <c r="D34" s="85" t="s">
        <v>63</v>
      </c>
      <c r="E34" s="87"/>
      <c r="F34" s="88">
        <v>1</v>
      </c>
      <c r="G34" s="88">
        <v>1490.33</v>
      </c>
      <c r="H34" s="89">
        <f t="shared" si="2"/>
        <v>1.4903299999999999</v>
      </c>
      <c r="I34" s="12">
        <v>0</v>
      </c>
      <c r="J34" s="45"/>
    </row>
    <row r="35" spans="1:14" s="44" customFormat="1" ht="15.75" customHeight="1">
      <c r="A35" s="24"/>
      <c r="B35" s="118" t="s">
        <v>5</v>
      </c>
      <c r="C35" s="86"/>
      <c r="D35" s="85"/>
      <c r="E35" s="87"/>
      <c r="F35" s="88"/>
      <c r="G35" s="88"/>
      <c r="H35" s="89" t="s">
        <v>129</v>
      </c>
      <c r="I35" s="12"/>
      <c r="J35" s="45"/>
    </row>
    <row r="36" spans="1:14" s="44" customFormat="1" ht="15.75" customHeight="1">
      <c r="A36" s="24">
        <v>5</v>
      </c>
      <c r="B36" s="94" t="s">
        <v>26</v>
      </c>
      <c r="C36" s="86" t="s">
        <v>31</v>
      </c>
      <c r="D36" s="85"/>
      <c r="E36" s="87"/>
      <c r="F36" s="88">
        <v>5</v>
      </c>
      <c r="G36" s="88">
        <v>2003</v>
      </c>
      <c r="H36" s="89">
        <f t="shared" ref="H36:H41" si="4">SUM(F36*G36/1000)</f>
        <v>10.015000000000001</v>
      </c>
      <c r="I36" s="12">
        <f>G36*1.6</f>
        <v>3204.8</v>
      </c>
      <c r="J36" s="45"/>
    </row>
    <row r="37" spans="1:14" s="44" customFormat="1" ht="15.75" customHeight="1">
      <c r="A37" s="24">
        <v>6</v>
      </c>
      <c r="B37" s="94" t="s">
        <v>146</v>
      </c>
      <c r="C37" s="95" t="s">
        <v>29</v>
      </c>
      <c r="D37" s="85" t="s">
        <v>221</v>
      </c>
      <c r="E37" s="87">
        <v>83.7</v>
      </c>
      <c r="F37" s="96">
        <f>E37*30/1000</f>
        <v>2.5110000000000001</v>
      </c>
      <c r="G37" s="88">
        <v>2757.78</v>
      </c>
      <c r="H37" s="89">
        <f t="shared" si="4"/>
        <v>6.9247855800000009</v>
      </c>
      <c r="I37" s="12">
        <f t="shared" ref="I37:I39" si="5">F37/6*G37</f>
        <v>1154.1309300000003</v>
      </c>
      <c r="J37" s="45"/>
    </row>
    <row r="38" spans="1:14" s="44" customFormat="1" ht="15.75" customHeight="1">
      <c r="A38" s="24">
        <v>7</v>
      </c>
      <c r="B38" s="85" t="s">
        <v>64</v>
      </c>
      <c r="C38" s="86" t="s">
        <v>29</v>
      </c>
      <c r="D38" s="85" t="s">
        <v>222</v>
      </c>
      <c r="E38" s="88">
        <v>83.7</v>
      </c>
      <c r="F38" s="96">
        <f>SUM(E38*155/1000)</f>
        <v>12.9735</v>
      </c>
      <c r="G38" s="88">
        <v>460.02</v>
      </c>
      <c r="H38" s="89">
        <f t="shared" si="4"/>
        <v>5.9680694699999997</v>
      </c>
      <c r="I38" s="12">
        <f t="shared" si="5"/>
        <v>994.67824499999983</v>
      </c>
      <c r="J38" s="45"/>
    </row>
    <row r="39" spans="1:14" s="44" customFormat="1" ht="47.25" customHeight="1">
      <c r="A39" s="24">
        <v>8</v>
      </c>
      <c r="B39" s="85" t="s">
        <v>79</v>
      </c>
      <c r="C39" s="86" t="s">
        <v>100</v>
      </c>
      <c r="D39" s="85" t="s">
        <v>221</v>
      </c>
      <c r="E39" s="88">
        <v>83.7</v>
      </c>
      <c r="F39" s="96">
        <f>SUM(E39*30/1000)</f>
        <v>2.5110000000000001</v>
      </c>
      <c r="G39" s="88">
        <v>7611.16</v>
      </c>
      <c r="H39" s="89">
        <f t="shared" si="4"/>
        <v>19.111622760000003</v>
      </c>
      <c r="I39" s="12">
        <f t="shared" si="5"/>
        <v>3185.2704600000002</v>
      </c>
      <c r="J39" s="45"/>
    </row>
    <row r="40" spans="1:14" s="44" customFormat="1" ht="15.75" customHeight="1">
      <c r="A40" s="24">
        <v>9</v>
      </c>
      <c r="B40" s="85" t="s">
        <v>107</v>
      </c>
      <c r="C40" s="86" t="s">
        <v>100</v>
      </c>
      <c r="D40" s="85" t="s">
        <v>223</v>
      </c>
      <c r="E40" s="88">
        <v>83.7</v>
      </c>
      <c r="F40" s="96">
        <f>SUM(E40*24/1000)</f>
        <v>2.0088000000000004</v>
      </c>
      <c r="G40" s="88">
        <v>562.25</v>
      </c>
      <c r="H40" s="89">
        <f t="shared" si="4"/>
        <v>1.1294478000000001</v>
      </c>
      <c r="I40" s="12">
        <f>F40/7.5*1.5*G40</f>
        <v>225.88956000000002</v>
      </c>
      <c r="J40" s="45"/>
    </row>
    <row r="41" spans="1:14" s="44" customFormat="1" ht="15.75" customHeight="1">
      <c r="A41" s="24">
        <v>10</v>
      </c>
      <c r="B41" s="94" t="s">
        <v>65</v>
      </c>
      <c r="C41" s="95" t="s">
        <v>32</v>
      </c>
      <c r="D41" s="94"/>
      <c r="E41" s="92"/>
      <c r="F41" s="96">
        <v>0.9</v>
      </c>
      <c r="G41" s="96">
        <v>974.83</v>
      </c>
      <c r="H41" s="89">
        <f t="shared" si="4"/>
        <v>0.8773470000000001</v>
      </c>
      <c r="I41" s="12">
        <f>F41/7.5*1.5*G41</f>
        <v>175.46940000000004</v>
      </c>
      <c r="J41" s="45"/>
    </row>
    <row r="42" spans="1:14" s="44" customFormat="1" ht="15.75" hidden="1" customHeight="1">
      <c r="A42" s="211" t="s">
        <v>135</v>
      </c>
      <c r="B42" s="212"/>
      <c r="C42" s="212"/>
      <c r="D42" s="212"/>
      <c r="E42" s="212"/>
      <c r="F42" s="212"/>
      <c r="G42" s="212"/>
      <c r="H42" s="212"/>
      <c r="I42" s="213"/>
      <c r="J42" s="45"/>
    </row>
    <row r="43" spans="1:14" s="44" customFormat="1" ht="15.75" hidden="1" customHeight="1">
      <c r="A43" s="24">
        <v>8</v>
      </c>
      <c r="B43" s="85" t="s">
        <v>108</v>
      </c>
      <c r="C43" s="86" t="s">
        <v>100</v>
      </c>
      <c r="D43" s="85" t="s">
        <v>40</v>
      </c>
      <c r="E43" s="87">
        <v>1032.5</v>
      </c>
      <c r="F43" s="88">
        <f>SUM(E43*2/1000)</f>
        <v>2.0649999999999999</v>
      </c>
      <c r="G43" s="29">
        <v>1114.1300000000001</v>
      </c>
      <c r="H43" s="89">
        <f t="shared" ref="H43:H52" si="6">SUM(F43*G43/1000)</f>
        <v>2.3006784500000004</v>
      </c>
      <c r="I43" s="12">
        <f>F43/2*G43</f>
        <v>1150.3392250000002</v>
      </c>
      <c r="J43" s="45"/>
    </row>
    <row r="44" spans="1:14" s="44" customFormat="1" ht="15.75" hidden="1" customHeight="1">
      <c r="A44" s="24"/>
      <c r="B44" s="85" t="s">
        <v>33</v>
      </c>
      <c r="C44" s="86" t="s">
        <v>100</v>
      </c>
      <c r="D44" s="85" t="s">
        <v>40</v>
      </c>
      <c r="E44" s="87">
        <v>132</v>
      </c>
      <c r="F44" s="88">
        <f>E44*2/1000</f>
        <v>0.26400000000000001</v>
      </c>
      <c r="G44" s="29">
        <v>4419.05</v>
      </c>
      <c r="H44" s="89">
        <f t="shared" si="6"/>
        <v>1.1666292</v>
      </c>
      <c r="I44" s="12">
        <f t="shared" ref="I44:I50" si="7">F44/2*G44</f>
        <v>583.31460000000004</v>
      </c>
      <c r="J44" s="45"/>
      <c r="L44" s="17"/>
      <c r="M44" s="18"/>
      <c r="N44" s="26"/>
    </row>
    <row r="45" spans="1:14" s="44" customFormat="1" ht="15.75" hidden="1" customHeight="1">
      <c r="A45" s="24">
        <v>9</v>
      </c>
      <c r="B45" s="85" t="s">
        <v>34</v>
      </c>
      <c r="C45" s="86" t="s">
        <v>100</v>
      </c>
      <c r="D45" s="85" t="s">
        <v>40</v>
      </c>
      <c r="E45" s="87">
        <v>4248.22</v>
      </c>
      <c r="F45" s="88">
        <f>SUM(E45*2/1000)</f>
        <v>8.4964399999999998</v>
      </c>
      <c r="G45" s="29">
        <v>1803.69</v>
      </c>
      <c r="H45" s="89">
        <f t="shared" si="6"/>
        <v>15.3249438636</v>
      </c>
      <c r="I45" s="12">
        <f t="shared" si="7"/>
        <v>7662.4719317999998</v>
      </c>
      <c r="J45" s="45"/>
      <c r="L45" s="17"/>
      <c r="M45" s="18"/>
      <c r="N45" s="26"/>
    </row>
    <row r="46" spans="1:14" s="44" customFormat="1" ht="15.75" hidden="1" customHeight="1">
      <c r="A46" s="24">
        <v>10</v>
      </c>
      <c r="B46" s="85" t="s">
        <v>35</v>
      </c>
      <c r="C46" s="86" t="s">
        <v>100</v>
      </c>
      <c r="D46" s="85" t="s">
        <v>40</v>
      </c>
      <c r="E46" s="87">
        <v>2163.66</v>
      </c>
      <c r="F46" s="88">
        <f>SUM(E46*2/1000)</f>
        <v>4.3273199999999994</v>
      </c>
      <c r="G46" s="29">
        <v>1243.43</v>
      </c>
      <c r="H46" s="89">
        <f t="shared" si="6"/>
        <v>5.3807195075999994</v>
      </c>
      <c r="I46" s="12">
        <f t="shared" si="7"/>
        <v>2690.3597537999999</v>
      </c>
      <c r="J46" s="45"/>
      <c r="L46" s="17"/>
      <c r="M46" s="18"/>
      <c r="N46" s="26"/>
    </row>
    <row r="47" spans="1:14" s="44" customFormat="1" ht="15.75" hidden="1" customHeight="1">
      <c r="A47" s="24">
        <v>12</v>
      </c>
      <c r="B47" s="85" t="s">
        <v>53</v>
      </c>
      <c r="C47" s="86" t="s">
        <v>100</v>
      </c>
      <c r="D47" s="85" t="s">
        <v>142</v>
      </c>
      <c r="E47" s="87">
        <v>3931</v>
      </c>
      <c r="F47" s="88">
        <f>SUM(E47*5/1000)</f>
        <v>19.655000000000001</v>
      </c>
      <c r="G47" s="29">
        <v>1083.69</v>
      </c>
      <c r="H47" s="89">
        <f t="shared" si="6"/>
        <v>21.29992695</v>
      </c>
      <c r="I47" s="12">
        <f>F47/5*G47</f>
        <v>4259.9853899999998</v>
      </c>
      <c r="J47" s="45"/>
      <c r="L47" s="17"/>
      <c r="M47" s="18"/>
      <c r="N47" s="26"/>
    </row>
    <row r="48" spans="1:14" s="44" customFormat="1" ht="31.5" hidden="1" customHeight="1">
      <c r="A48" s="24">
        <v>12</v>
      </c>
      <c r="B48" s="85" t="s">
        <v>109</v>
      </c>
      <c r="C48" s="86" t="s">
        <v>100</v>
      </c>
      <c r="D48" s="85" t="s">
        <v>40</v>
      </c>
      <c r="E48" s="87">
        <v>3931</v>
      </c>
      <c r="F48" s="88">
        <f>SUM(E48*2/1000)</f>
        <v>7.8620000000000001</v>
      </c>
      <c r="G48" s="29">
        <v>1591.6</v>
      </c>
      <c r="H48" s="89">
        <f t="shared" si="6"/>
        <v>12.5131592</v>
      </c>
      <c r="I48" s="12">
        <f t="shared" si="7"/>
        <v>6256.5796</v>
      </c>
      <c r="J48" s="45"/>
      <c r="L48" s="17"/>
      <c r="M48" s="18"/>
      <c r="N48" s="26"/>
    </row>
    <row r="49" spans="1:14" s="44" customFormat="1" ht="31.5" hidden="1" customHeight="1">
      <c r="A49" s="24">
        <v>12</v>
      </c>
      <c r="B49" s="85" t="s">
        <v>110</v>
      </c>
      <c r="C49" s="86" t="s">
        <v>36</v>
      </c>
      <c r="D49" s="85" t="s">
        <v>40</v>
      </c>
      <c r="E49" s="87">
        <v>30</v>
      </c>
      <c r="F49" s="88">
        <f>SUM(E49*2/100)</f>
        <v>0.6</v>
      </c>
      <c r="G49" s="29">
        <v>4058.32</v>
      </c>
      <c r="H49" s="89">
        <f t="shared" si="6"/>
        <v>2.4349920000000003</v>
      </c>
      <c r="I49" s="12">
        <f t="shared" si="7"/>
        <v>1217.4960000000001</v>
      </c>
      <c r="J49" s="45"/>
      <c r="L49" s="17"/>
      <c r="M49" s="18"/>
      <c r="N49" s="26"/>
    </row>
    <row r="50" spans="1:14" s="44" customFormat="1" ht="15.75" hidden="1" customHeight="1">
      <c r="A50" s="24">
        <v>13</v>
      </c>
      <c r="B50" s="85" t="s">
        <v>37</v>
      </c>
      <c r="C50" s="86" t="s">
        <v>38</v>
      </c>
      <c r="D50" s="85" t="s">
        <v>40</v>
      </c>
      <c r="E50" s="87">
        <v>1</v>
      </c>
      <c r="F50" s="88">
        <v>0.02</v>
      </c>
      <c r="G50" s="29">
        <v>7412.92</v>
      </c>
      <c r="H50" s="89">
        <f t="shared" si="6"/>
        <v>0.14825839999999998</v>
      </c>
      <c r="I50" s="12">
        <f t="shared" si="7"/>
        <v>74.129199999999997</v>
      </c>
      <c r="J50" s="45"/>
      <c r="L50" s="17"/>
      <c r="M50" s="18"/>
      <c r="N50" s="26"/>
    </row>
    <row r="51" spans="1:14" s="44" customFormat="1" ht="15.75" hidden="1" customHeight="1">
      <c r="A51" s="24">
        <v>13</v>
      </c>
      <c r="B51" s="85" t="s">
        <v>111</v>
      </c>
      <c r="C51" s="86" t="s">
        <v>86</v>
      </c>
      <c r="D51" s="85" t="s">
        <v>66</v>
      </c>
      <c r="E51" s="87">
        <v>90</v>
      </c>
      <c r="F51" s="88">
        <f>E51*3</f>
        <v>270</v>
      </c>
      <c r="G51" s="29">
        <v>185.08</v>
      </c>
      <c r="H51" s="89">
        <f t="shared" si="6"/>
        <v>49.971600000000009</v>
      </c>
      <c r="I51" s="12">
        <f>F51/3*G51</f>
        <v>16657.2</v>
      </c>
      <c r="J51" s="45"/>
      <c r="L51" s="17"/>
      <c r="M51" s="18"/>
      <c r="N51" s="26"/>
    </row>
    <row r="52" spans="1:14" s="44" customFormat="1" ht="15.75" hidden="1" customHeight="1">
      <c r="A52" s="24">
        <v>14</v>
      </c>
      <c r="B52" s="85" t="s">
        <v>39</v>
      </c>
      <c r="C52" s="86" t="s">
        <v>86</v>
      </c>
      <c r="D52" s="85" t="s">
        <v>66</v>
      </c>
      <c r="E52" s="87">
        <v>180</v>
      </c>
      <c r="F52" s="88">
        <f>SUM(E52)*3</f>
        <v>540</v>
      </c>
      <c r="G52" s="97">
        <v>86.15</v>
      </c>
      <c r="H52" s="89">
        <f t="shared" si="6"/>
        <v>46.521000000000001</v>
      </c>
      <c r="I52" s="12">
        <f>F52/3*G52</f>
        <v>15507.000000000002</v>
      </c>
      <c r="J52" s="45"/>
      <c r="L52" s="17"/>
      <c r="M52" s="18"/>
      <c r="N52" s="26"/>
    </row>
    <row r="53" spans="1:14" s="44" customFormat="1" ht="15.75" customHeight="1">
      <c r="A53" s="211" t="s">
        <v>136</v>
      </c>
      <c r="B53" s="212"/>
      <c r="C53" s="212"/>
      <c r="D53" s="212"/>
      <c r="E53" s="212"/>
      <c r="F53" s="212"/>
      <c r="G53" s="212"/>
      <c r="H53" s="212"/>
      <c r="I53" s="213"/>
      <c r="J53" s="45"/>
      <c r="L53" s="17"/>
      <c r="M53" s="18"/>
      <c r="N53" s="26"/>
    </row>
    <row r="54" spans="1:14" s="44" customFormat="1" ht="15.75" customHeight="1">
      <c r="A54" s="24"/>
      <c r="B54" s="119" t="s">
        <v>41</v>
      </c>
      <c r="C54" s="86"/>
      <c r="D54" s="85"/>
      <c r="E54" s="87"/>
      <c r="F54" s="88"/>
      <c r="G54" s="88"/>
      <c r="H54" s="89"/>
      <c r="I54" s="12"/>
      <c r="J54" s="45"/>
      <c r="L54" s="17"/>
      <c r="M54" s="18"/>
      <c r="N54" s="26"/>
    </row>
    <row r="55" spans="1:14" s="44" customFormat="1" ht="31.5" customHeight="1">
      <c r="A55" s="24">
        <v>11</v>
      </c>
      <c r="B55" s="85" t="s">
        <v>125</v>
      </c>
      <c r="C55" s="86" t="s">
        <v>90</v>
      </c>
      <c r="D55" s="85"/>
      <c r="E55" s="87">
        <v>30.6</v>
      </c>
      <c r="F55" s="88">
        <f>SUM(E55*6/100)</f>
        <v>1.8360000000000003</v>
      </c>
      <c r="G55" s="29">
        <v>2029.3</v>
      </c>
      <c r="H55" s="89">
        <f>SUM(F55*G55/1000)</f>
        <v>3.7257948000000005</v>
      </c>
      <c r="I55" s="12">
        <f>G55*0.89</f>
        <v>1806.077</v>
      </c>
      <c r="J55" s="45"/>
      <c r="L55" s="17"/>
      <c r="M55" s="18"/>
      <c r="N55" s="26"/>
    </row>
    <row r="56" spans="1:14" s="44" customFormat="1" ht="31.5" hidden="1" customHeight="1">
      <c r="A56" s="24">
        <v>13</v>
      </c>
      <c r="B56" s="85" t="s">
        <v>84</v>
      </c>
      <c r="C56" s="86" t="s">
        <v>90</v>
      </c>
      <c r="D56" s="85" t="s">
        <v>85</v>
      </c>
      <c r="E56" s="87">
        <v>39.69</v>
      </c>
      <c r="F56" s="88">
        <f>SUM(E56*12/100)</f>
        <v>4.7627999999999995</v>
      </c>
      <c r="G56" s="29">
        <v>2029.3</v>
      </c>
      <c r="H56" s="89">
        <f>SUM(F56*G56/1000)</f>
        <v>9.6651500399999986</v>
      </c>
      <c r="I56" s="12">
        <f t="shared" ref="I56:I58" si="8">F56/6*G56</f>
        <v>1610.8583399999998</v>
      </c>
      <c r="J56" s="45"/>
      <c r="L56" s="17"/>
      <c r="M56" s="18"/>
      <c r="N56" s="26"/>
    </row>
    <row r="57" spans="1:14" s="44" customFormat="1" ht="15.75" hidden="1" customHeight="1">
      <c r="A57" s="24">
        <v>20</v>
      </c>
      <c r="B57" s="98" t="s">
        <v>113</v>
      </c>
      <c r="C57" s="99" t="s">
        <v>114</v>
      </c>
      <c r="D57" s="98" t="s">
        <v>40</v>
      </c>
      <c r="E57" s="100">
        <v>8</v>
      </c>
      <c r="F57" s="101">
        <v>16</v>
      </c>
      <c r="G57" s="29">
        <v>237.1</v>
      </c>
      <c r="H57" s="89">
        <f>SUM(F57*G57/1000)</f>
        <v>3.7936000000000001</v>
      </c>
      <c r="I57" s="12">
        <v>0</v>
      </c>
      <c r="J57" s="45"/>
      <c r="L57" s="17"/>
      <c r="M57" s="18"/>
      <c r="N57" s="26"/>
    </row>
    <row r="58" spans="1:14" s="44" customFormat="1" ht="15.75" customHeight="1">
      <c r="A58" s="24">
        <v>12</v>
      </c>
      <c r="B58" s="85" t="s">
        <v>115</v>
      </c>
      <c r="C58" s="86" t="s">
        <v>90</v>
      </c>
      <c r="D58" s="85" t="s">
        <v>224</v>
      </c>
      <c r="E58" s="87">
        <v>41.73</v>
      </c>
      <c r="F58" s="88">
        <f>SUM(E58*6/100)</f>
        <v>2.5038</v>
      </c>
      <c r="G58" s="29">
        <v>2029.3</v>
      </c>
      <c r="H58" s="89">
        <f>SUM(F58*G58/1000)</f>
        <v>5.08096134</v>
      </c>
      <c r="I58" s="12">
        <f t="shared" si="8"/>
        <v>846.82688999999993</v>
      </c>
      <c r="J58" s="45"/>
      <c r="L58" s="17"/>
      <c r="M58" s="18"/>
      <c r="N58" s="26"/>
    </row>
    <row r="59" spans="1:14" s="44" customFormat="1" ht="15.75" hidden="1" customHeight="1">
      <c r="A59" s="24"/>
      <c r="B59" s="98" t="s">
        <v>133</v>
      </c>
      <c r="C59" s="99" t="s">
        <v>31</v>
      </c>
      <c r="D59" s="98" t="s">
        <v>63</v>
      </c>
      <c r="E59" s="100"/>
      <c r="F59" s="101">
        <v>4</v>
      </c>
      <c r="G59" s="29">
        <v>1582.05</v>
      </c>
      <c r="H59" s="89">
        <f>SUM(F59*G59/1000)</f>
        <v>6.3281999999999998</v>
      </c>
      <c r="I59" s="12">
        <v>0</v>
      </c>
      <c r="J59" s="45"/>
      <c r="L59" s="17"/>
      <c r="M59" s="18"/>
      <c r="N59" s="26"/>
    </row>
    <row r="60" spans="1:14" s="44" customFormat="1" ht="15.75" customHeight="1">
      <c r="A60" s="24"/>
      <c r="B60" s="120" t="s">
        <v>42</v>
      </c>
      <c r="C60" s="99"/>
      <c r="D60" s="98"/>
      <c r="E60" s="100"/>
      <c r="F60" s="101"/>
      <c r="G60" s="29"/>
      <c r="H60" s="102"/>
      <c r="I60" s="12"/>
      <c r="J60" s="45"/>
      <c r="L60" s="17"/>
      <c r="M60" s="18"/>
      <c r="N60" s="26"/>
    </row>
    <row r="61" spans="1:14" s="44" customFormat="1" ht="15.75" hidden="1" customHeight="1">
      <c r="A61" s="24">
        <v>14</v>
      </c>
      <c r="B61" s="98" t="s">
        <v>130</v>
      </c>
      <c r="C61" s="99" t="s">
        <v>50</v>
      </c>
      <c r="D61" s="98" t="s">
        <v>51</v>
      </c>
      <c r="E61" s="100">
        <v>508.73</v>
      </c>
      <c r="F61" s="88">
        <f>SUM(E61/100)</f>
        <v>5.0872999999999999</v>
      </c>
      <c r="G61" s="29">
        <v>1040.8399999999999</v>
      </c>
      <c r="H61" s="102">
        <f>F61*G61/1000</f>
        <v>5.2950653319999992</v>
      </c>
      <c r="I61" s="12">
        <v>0</v>
      </c>
      <c r="J61" s="45"/>
      <c r="L61" s="17"/>
      <c r="M61" s="18"/>
      <c r="N61" s="26"/>
    </row>
    <row r="62" spans="1:14" s="44" customFormat="1" ht="15.75" customHeight="1">
      <c r="A62" s="24">
        <v>13</v>
      </c>
      <c r="B62" s="47" t="s">
        <v>87</v>
      </c>
      <c r="C62" s="48" t="s">
        <v>25</v>
      </c>
      <c r="D62" s="47" t="s">
        <v>225</v>
      </c>
      <c r="E62" s="49">
        <v>200</v>
      </c>
      <c r="F62" s="130">
        <f>E62*12</f>
        <v>2400</v>
      </c>
      <c r="G62" s="40">
        <v>1.4</v>
      </c>
      <c r="H62" s="50">
        <f>F62*G62/1000</f>
        <v>3.36</v>
      </c>
      <c r="I62" s="12">
        <f>F62/12*G62</f>
        <v>280</v>
      </c>
      <c r="J62" s="45"/>
      <c r="L62" s="17"/>
    </row>
    <row r="63" spans="1:14" s="44" customFormat="1" ht="15.75" hidden="1" customHeight="1">
      <c r="A63" s="24"/>
      <c r="B63" s="121" t="s">
        <v>43</v>
      </c>
      <c r="C63" s="99"/>
      <c r="D63" s="98"/>
      <c r="E63" s="100"/>
      <c r="F63" s="103"/>
      <c r="G63" s="103"/>
      <c r="H63" s="101" t="s">
        <v>129</v>
      </c>
      <c r="I63" s="12"/>
      <c r="J63" s="45"/>
      <c r="L63" s="17"/>
    </row>
    <row r="64" spans="1:14" s="44" customFormat="1" ht="15.75" hidden="1" customHeight="1">
      <c r="A64" s="24"/>
      <c r="B64" s="105" t="s">
        <v>44</v>
      </c>
      <c r="C64" s="106" t="s">
        <v>86</v>
      </c>
      <c r="D64" s="30" t="s">
        <v>154</v>
      </c>
      <c r="E64" s="15">
        <v>10</v>
      </c>
      <c r="F64" s="88">
        <f>E64</f>
        <v>10</v>
      </c>
      <c r="G64" s="29">
        <v>291.68</v>
      </c>
      <c r="H64" s="75">
        <f t="shared" ref="H64:H80" si="9">SUM(F64*G64/1000)</f>
        <v>2.9168000000000003</v>
      </c>
      <c r="I64" s="12">
        <v>0</v>
      </c>
    </row>
    <row r="65" spans="1:22" s="44" customFormat="1" ht="15.75" hidden="1" customHeight="1">
      <c r="A65" s="61"/>
      <c r="B65" s="105" t="s">
        <v>45</v>
      </c>
      <c r="C65" s="106" t="s">
        <v>86</v>
      </c>
      <c r="D65" s="30" t="s">
        <v>154</v>
      </c>
      <c r="E65" s="15">
        <v>10</v>
      </c>
      <c r="F65" s="88">
        <f>E65</f>
        <v>10</v>
      </c>
      <c r="G65" s="29">
        <v>100.01</v>
      </c>
      <c r="H65" s="75">
        <f t="shared" si="9"/>
        <v>1.0001</v>
      </c>
      <c r="I65" s="12">
        <v>0</v>
      </c>
    </row>
    <row r="66" spans="1:22" s="44" customFormat="1" ht="15.75" hidden="1" customHeight="1">
      <c r="A66" s="24">
        <v>22</v>
      </c>
      <c r="B66" s="105" t="s">
        <v>46</v>
      </c>
      <c r="C66" s="107" t="s">
        <v>116</v>
      </c>
      <c r="D66" s="30" t="s">
        <v>51</v>
      </c>
      <c r="E66" s="87">
        <v>14347</v>
      </c>
      <c r="F66" s="97">
        <f>SUM(E66/100)</f>
        <v>143.47</v>
      </c>
      <c r="G66" s="29">
        <v>278.24</v>
      </c>
      <c r="H66" s="75">
        <f t="shared" si="9"/>
        <v>39.919092800000001</v>
      </c>
      <c r="I66" s="12">
        <v>0</v>
      </c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2"/>
    </row>
    <row r="67" spans="1:22" s="44" customFormat="1" ht="15.75" hidden="1" customHeight="1">
      <c r="A67" s="62"/>
      <c r="B67" s="105" t="s">
        <v>47</v>
      </c>
      <c r="C67" s="106" t="s">
        <v>117</v>
      </c>
      <c r="D67" s="30"/>
      <c r="E67" s="87">
        <v>14347</v>
      </c>
      <c r="F67" s="29">
        <f>SUM(E67/1000)</f>
        <v>14.347</v>
      </c>
      <c r="G67" s="29">
        <v>216.68</v>
      </c>
      <c r="H67" s="75">
        <f t="shared" si="9"/>
        <v>3.1087079600000003</v>
      </c>
      <c r="I67" s="12">
        <v>0</v>
      </c>
      <c r="J67" s="53"/>
      <c r="K67" s="53"/>
      <c r="L67" s="51"/>
      <c r="M67" s="51"/>
      <c r="N67" s="51"/>
      <c r="O67" s="51"/>
      <c r="P67" s="51"/>
      <c r="Q67" s="51"/>
      <c r="R67" s="51"/>
      <c r="S67" s="51"/>
      <c r="T67" s="51"/>
      <c r="U67" s="51"/>
    </row>
    <row r="68" spans="1:22" s="44" customFormat="1" ht="15.75" hidden="1" customHeight="1">
      <c r="A68" s="24">
        <v>23</v>
      </c>
      <c r="B68" s="105" t="s">
        <v>48</v>
      </c>
      <c r="C68" s="106" t="s">
        <v>72</v>
      </c>
      <c r="D68" s="30" t="s">
        <v>51</v>
      </c>
      <c r="E68" s="87">
        <v>2244</v>
      </c>
      <c r="F68" s="29">
        <f>SUM(E68/100)</f>
        <v>22.44</v>
      </c>
      <c r="G68" s="29">
        <v>2720.94</v>
      </c>
      <c r="H68" s="75">
        <f t="shared" si="9"/>
        <v>61.0578936</v>
      </c>
      <c r="I68" s="12">
        <v>0</v>
      </c>
      <c r="J68" s="51"/>
      <c r="K68" s="51"/>
      <c r="L68" s="51"/>
      <c r="M68" s="51"/>
      <c r="N68" s="51"/>
      <c r="O68" s="51"/>
      <c r="P68" s="51"/>
      <c r="Q68" s="51"/>
      <c r="S68" s="51"/>
      <c r="T68" s="51"/>
      <c r="U68" s="51"/>
    </row>
    <row r="69" spans="1:22" s="44" customFormat="1" ht="15.75" hidden="1" customHeight="1">
      <c r="A69" s="24"/>
      <c r="B69" s="108" t="s">
        <v>118</v>
      </c>
      <c r="C69" s="106" t="s">
        <v>32</v>
      </c>
      <c r="D69" s="30"/>
      <c r="E69" s="87">
        <v>12.8</v>
      </c>
      <c r="F69" s="29">
        <f>SUM(E69)</f>
        <v>12.8</v>
      </c>
      <c r="G69" s="29">
        <v>42.61</v>
      </c>
      <c r="H69" s="75">
        <f t="shared" si="9"/>
        <v>0.545408</v>
      </c>
      <c r="I69" s="12">
        <v>0</v>
      </c>
      <c r="J69" s="55"/>
      <c r="K69" s="55"/>
      <c r="L69" s="55"/>
      <c r="M69" s="55"/>
      <c r="N69" s="55"/>
      <c r="O69" s="55"/>
      <c r="P69" s="55"/>
      <c r="Q69" s="55"/>
      <c r="R69" s="188"/>
      <c r="S69" s="188"/>
      <c r="T69" s="188"/>
      <c r="U69" s="188"/>
    </row>
    <row r="70" spans="1:22" s="44" customFormat="1" ht="15.75" hidden="1" customHeight="1">
      <c r="A70" s="24">
        <v>19</v>
      </c>
      <c r="B70" s="108" t="s">
        <v>119</v>
      </c>
      <c r="C70" s="106" t="s">
        <v>32</v>
      </c>
      <c r="D70" s="30"/>
      <c r="E70" s="87">
        <v>12.8</v>
      </c>
      <c r="F70" s="29">
        <f>SUM(E70)</f>
        <v>12.8</v>
      </c>
      <c r="G70" s="29">
        <v>46.04</v>
      </c>
      <c r="H70" s="75">
        <f t="shared" si="9"/>
        <v>0.58931200000000006</v>
      </c>
      <c r="I70" s="12">
        <v>0</v>
      </c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</row>
    <row r="71" spans="1:22" s="44" customFormat="1" ht="15.75" hidden="1" customHeight="1">
      <c r="A71" s="24">
        <v>20</v>
      </c>
      <c r="B71" s="30" t="s">
        <v>54</v>
      </c>
      <c r="C71" s="106" t="s">
        <v>55</v>
      </c>
      <c r="D71" s="30" t="s">
        <v>51</v>
      </c>
      <c r="E71" s="15">
        <v>6</v>
      </c>
      <c r="F71" s="29">
        <f>SUM(E71)</f>
        <v>6</v>
      </c>
      <c r="G71" s="29">
        <v>65.42</v>
      </c>
      <c r="H71" s="75">
        <f t="shared" si="9"/>
        <v>0.39251999999999998</v>
      </c>
      <c r="I71" s="12">
        <v>0</v>
      </c>
    </row>
    <row r="72" spans="1:22" s="44" customFormat="1" ht="15.75" customHeight="1">
      <c r="A72" s="24"/>
      <c r="B72" s="122" t="s">
        <v>147</v>
      </c>
      <c r="C72" s="106"/>
      <c r="D72" s="30"/>
      <c r="E72" s="15"/>
      <c r="F72" s="104"/>
      <c r="G72" s="29"/>
      <c r="H72" s="75"/>
      <c r="I72" s="12"/>
    </row>
    <row r="73" spans="1:22" s="44" customFormat="1" ht="15.75" customHeight="1">
      <c r="A73" s="24">
        <v>14</v>
      </c>
      <c r="B73" s="30" t="s">
        <v>148</v>
      </c>
      <c r="C73" s="109" t="s">
        <v>149</v>
      </c>
      <c r="D73" s="30"/>
      <c r="E73" s="15">
        <v>3181</v>
      </c>
      <c r="F73" s="88">
        <f>SUM(E73)*12</f>
        <v>38172</v>
      </c>
      <c r="G73" s="29">
        <v>2.2799999999999998</v>
      </c>
      <c r="H73" s="75">
        <f t="shared" ref="H73" si="10">SUM(F73*G73/1000)</f>
        <v>87.03215999999999</v>
      </c>
      <c r="I73" s="12">
        <f>F73/12*G73</f>
        <v>7252.6799999999994</v>
      </c>
    </row>
    <row r="74" spans="1:22" s="44" customFormat="1" ht="15.75" hidden="1" customHeight="1">
      <c r="A74" s="24"/>
      <c r="B74" s="122" t="s">
        <v>67</v>
      </c>
      <c r="C74" s="106"/>
      <c r="D74" s="30"/>
      <c r="E74" s="15"/>
      <c r="F74" s="29"/>
      <c r="G74" s="29"/>
      <c r="H74" s="75" t="s">
        <v>129</v>
      </c>
      <c r="I74" s="12"/>
    </row>
    <row r="75" spans="1:22" s="44" customFormat="1" ht="15.75" hidden="1" customHeight="1">
      <c r="A75" s="24">
        <v>20</v>
      </c>
      <c r="B75" s="30" t="s">
        <v>150</v>
      </c>
      <c r="C75" s="106" t="s">
        <v>30</v>
      </c>
      <c r="D75" s="30" t="s">
        <v>63</v>
      </c>
      <c r="E75" s="15">
        <v>1</v>
      </c>
      <c r="F75" s="88">
        <f t="shared" ref="F75" si="11">E75</f>
        <v>1</v>
      </c>
      <c r="G75" s="29">
        <v>1029.1199999999999</v>
      </c>
      <c r="H75" s="75">
        <f>G75*F75/1000</f>
        <v>1.0291199999999998</v>
      </c>
      <c r="I75" s="12">
        <f>G75*2</f>
        <v>2058.2399999999998</v>
      </c>
    </row>
    <row r="76" spans="1:22" s="44" customFormat="1" ht="15.75" hidden="1" customHeight="1">
      <c r="A76" s="24">
        <v>21</v>
      </c>
      <c r="B76" s="30" t="s">
        <v>151</v>
      </c>
      <c r="C76" s="106" t="s">
        <v>152</v>
      </c>
      <c r="D76" s="30" t="s">
        <v>63</v>
      </c>
      <c r="E76" s="15">
        <v>1</v>
      </c>
      <c r="F76" s="29">
        <v>1</v>
      </c>
      <c r="G76" s="29">
        <v>735</v>
      </c>
      <c r="H76" s="75">
        <f t="shared" ref="H76:H78" si="12">SUM(F76*G76/1000)</f>
        <v>0.73499999999999999</v>
      </c>
      <c r="I76" s="12">
        <f>G76*2</f>
        <v>1470</v>
      </c>
    </row>
    <row r="77" spans="1:22" s="44" customFormat="1" ht="15.75" hidden="1" customHeight="1">
      <c r="A77" s="24"/>
      <c r="B77" s="30" t="s">
        <v>68</v>
      </c>
      <c r="C77" s="106" t="s">
        <v>70</v>
      </c>
      <c r="D77" s="30" t="s">
        <v>63</v>
      </c>
      <c r="E77" s="15">
        <v>8</v>
      </c>
      <c r="F77" s="29">
        <f>E77/10</f>
        <v>0.8</v>
      </c>
      <c r="G77" s="29">
        <v>657.87</v>
      </c>
      <c r="H77" s="75">
        <f t="shared" si="12"/>
        <v>0.5262960000000001</v>
      </c>
      <c r="I77" s="12">
        <v>0</v>
      </c>
    </row>
    <row r="78" spans="1:22" s="44" customFormat="1" ht="15.75" hidden="1" customHeight="1">
      <c r="A78" s="24">
        <v>22</v>
      </c>
      <c r="B78" s="30" t="s">
        <v>69</v>
      </c>
      <c r="C78" s="106" t="s">
        <v>30</v>
      </c>
      <c r="D78" s="30" t="s">
        <v>63</v>
      </c>
      <c r="E78" s="15">
        <v>1</v>
      </c>
      <c r="F78" s="104">
        <v>1</v>
      </c>
      <c r="G78" s="29">
        <v>1118.72</v>
      </c>
      <c r="H78" s="75">
        <f t="shared" si="12"/>
        <v>1.1187199999999999</v>
      </c>
      <c r="I78" s="12">
        <f>G78*10</f>
        <v>11187.2</v>
      </c>
    </row>
    <row r="79" spans="1:22" s="44" customFormat="1" ht="15.75" hidden="1" customHeight="1">
      <c r="A79" s="24"/>
      <c r="B79" s="123" t="s">
        <v>71</v>
      </c>
      <c r="C79" s="106"/>
      <c r="D79" s="30"/>
      <c r="E79" s="15"/>
      <c r="F79" s="29"/>
      <c r="G79" s="29" t="s">
        <v>129</v>
      </c>
      <c r="H79" s="75" t="s">
        <v>129</v>
      </c>
      <c r="I79" s="12" t="str">
        <f>G79</f>
        <v xml:space="preserve"> </v>
      </c>
    </row>
    <row r="80" spans="1:22" s="44" customFormat="1" ht="15.75" hidden="1" customHeight="1">
      <c r="A80" s="24"/>
      <c r="B80" s="110" t="s">
        <v>122</v>
      </c>
      <c r="C80" s="107" t="s">
        <v>72</v>
      </c>
      <c r="D80" s="105"/>
      <c r="E80" s="111"/>
      <c r="F80" s="97">
        <v>0.6</v>
      </c>
      <c r="G80" s="97">
        <v>3619.09</v>
      </c>
      <c r="H80" s="75">
        <f t="shared" si="9"/>
        <v>2.1714540000000002</v>
      </c>
      <c r="I80" s="12">
        <v>0</v>
      </c>
    </row>
    <row r="81" spans="1:9" s="44" customFormat="1" ht="15.75" hidden="1" customHeight="1">
      <c r="A81" s="24"/>
      <c r="B81" s="128" t="s">
        <v>120</v>
      </c>
      <c r="C81" s="12"/>
      <c r="D81" s="12"/>
      <c r="E81" s="12"/>
      <c r="F81" s="12"/>
      <c r="G81" s="12"/>
      <c r="H81" s="12"/>
      <c r="I81" s="12"/>
    </row>
    <row r="82" spans="1:9" s="44" customFormat="1" ht="15.75" hidden="1" customHeight="1">
      <c r="A82" s="24"/>
      <c r="B82" s="85" t="s">
        <v>121</v>
      </c>
      <c r="C82" s="112"/>
      <c r="D82" s="113"/>
      <c r="E82" s="114"/>
      <c r="F82" s="115">
        <v>1</v>
      </c>
      <c r="G82" s="115">
        <v>30235</v>
      </c>
      <c r="H82" s="75">
        <f>G82*F82/1000</f>
        <v>30.234999999999999</v>
      </c>
      <c r="I82" s="12">
        <f>G82</f>
        <v>30235</v>
      </c>
    </row>
    <row r="83" spans="1:9" s="44" customFormat="1" ht="15.75" customHeight="1">
      <c r="A83" s="201" t="s">
        <v>137</v>
      </c>
      <c r="B83" s="202"/>
      <c r="C83" s="202"/>
      <c r="D83" s="202"/>
      <c r="E83" s="202"/>
      <c r="F83" s="202"/>
      <c r="G83" s="202"/>
      <c r="H83" s="202"/>
      <c r="I83" s="203"/>
    </row>
    <row r="84" spans="1:9" s="44" customFormat="1" ht="15.75" customHeight="1">
      <c r="A84" s="61">
        <v>15</v>
      </c>
      <c r="B84" s="85" t="s">
        <v>123</v>
      </c>
      <c r="C84" s="106" t="s">
        <v>52</v>
      </c>
      <c r="D84" s="116"/>
      <c r="E84" s="29">
        <v>3931</v>
      </c>
      <c r="F84" s="29">
        <f>SUM(E84*12)</f>
        <v>47172</v>
      </c>
      <c r="G84" s="29">
        <v>3.1</v>
      </c>
      <c r="H84" s="75">
        <f>SUM(F84*G84/1000)</f>
        <v>146.23320000000001</v>
      </c>
      <c r="I84" s="12">
        <f>F84/12*G84</f>
        <v>12186.1</v>
      </c>
    </row>
    <row r="85" spans="1:9" s="44" customFormat="1" ht="31.5" customHeight="1">
      <c r="A85" s="24">
        <v>16</v>
      </c>
      <c r="B85" s="30" t="s">
        <v>73</v>
      </c>
      <c r="C85" s="106"/>
      <c r="D85" s="116"/>
      <c r="E85" s="87">
        <f>E84</f>
        <v>3931</v>
      </c>
      <c r="F85" s="29">
        <f>E85*12</f>
        <v>47172</v>
      </c>
      <c r="G85" s="29">
        <v>3.5</v>
      </c>
      <c r="H85" s="75">
        <f>F85*G85/1000</f>
        <v>165.102</v>
      </c>
      <c r="I85" s="12">
        <f>F85/12*G85</f>
        <v>13758.5</v>
      </c>
    </row>
    <row r="86" spans="1:9" s="44" customFormat="1" ht="15.75" customHeight="1">
      <c r="A86" s="24"/>
      <c r="B86" s="31" t="s">
        <v>76</v>
      </c>
      <c r="C86" s="57"/>
      <c r="D86" s="56"/>
      <c r="E86" s="46"/>
      <c r="F86" s="46"/>
      <c r="G86" s="46"/>
      <c r="H86" s="58">
        <f>H85</f>
        <v>165.102</v>
      </c>
      <c r="I86" s="46">
        <f>I85+I84+I73+I62+I58+I55+I41+I40+I39+I38+I37+I36+I25+I18+I17+I16</f>
        <v>63049.546815000009</v>
      </c>
    </row>
    <row r="87" spans="1:9" s="44" customFormat="1" ht="15.75" customHeight="1">
      <c r="A87" s="190" t="s">
        <v>57</v>
      </c>
      <c r="B87" s="191"/>
      <c r="C87" s="191"/>
      <c r="D87" s="191"/>
      <c r="E87" s="191"/>
      <c r="F87" s="191"/>
      <c r="G87" s="191"/>
      <c r="H87" s="191"/>
      <c r="I87" s="192"/>
    </row>
    <row r="88" spans="1:9" s="44" customFormat="1" ht="32.25" customHeight="1">
      <c r="A88" s="24">
        <v>17</v>
      </c>
      <c r="B88" s="77" t="s">
        <v>182</v>
      </c>
      <c r="C88" s="78" t="s">
        <v>29</v>
      </c>
      <c r="D88" s="13"/>
      <c r="E88" s="16"/>
      <c r="F88" s="12">
        <v>31</v>
      </c>
      <c r="G88" s="29">
        <v>19757.060000000001</v>
      </c>
      <c r="H88" s="54">
        <f>G88*F88/1000</f>
        <v>612.46885999999995</v>
      </c>
      <c r="I88" s="59">
        <f>G88*0.599*10/1000</f>
        <v>118.34478940000001</v>
      </c>
    </row>
    <row r="89" spans="1:9" s="44" customFormat="1" ht="15.75" customHeight="1">
      <c r="A89" s="24">
        <v>18</v>
      </c>
      <c r="B89" s="77" t="s">
        <v>78</v>
      </c>
      <c r="C89" s="78" t="s">
        <v>86</v>
      </c>
      <c r="D89" s="13"/>
      <c r="E89" s="16"/>
      <c r="F89" s="12">
        <v>1</v>
      </c>
      <c r="G89" s="29">
        <v>207.55</v>
      </c>
      <c r="H89" s="54">
        <f t="shared" ref="H89" si="13">G89*F89/1000</f>
        <v>0.20755000000000001</v>
      </c>
      <c r="I89" s="59">
        <f>G89*1</f>
        <v>207.55</v>
      </c>
    </row>
    <row r="90" spans="1:9" s="44" customFormat="1" ht="18" customHeight="1">
      <c r="A90" s="24">
        <v>19</v>
      </c>
      <c r="B90" s="77" t="s">
        <v>162</v>
      </c>
      <c r="C90" s="78" t="s">
        <v>163</v>
      </c>
      <c r="D90" s="13"/>
      <c r="E90" s="16"/>
      <c r="F90" s="12"/>
      <c r="G90" s="29">
        <v>26095.37</v>
      </c>
      <c r="H90" s="54"/>
      <c r="I90" s="59">
        <f>G90*0.01</f>
        <v>260.95369999999997</v>
      </c>
    </row>
    <row r="91" spans="1:9" s="44" customFormat="1" ht="29.25" customHeight="1">
      <c r="A91" s="24">
        <v>20</v>
      </c>
      <c r="B91" s="77" t="s">
        <v>192</v>
      </c>
      <c r="C91" s="78" t="s">
        <v>86</v>
      </c>
      <c r="D91" s="13"/>
      <c r="E91" s="16"/>
      <c r="F91" s="12"/>
      <c r="G91" s="29">
        <v>1133.92</v>
      </c>
      <c r="H91" s="54"/>
      <c r="I91" s="59">
        <f>G91*2</f>
        <v>2267.84</v>
      </c>
    </row>
    <row r="92" spans="1:9" s="44" customFormat="1" ht="18" customHeight="1">
      <c r="A92" s="24">
        <v>21</v>
      </c>
      <c r="B92" s="77" t="s">
        <v>193</v>
      </c>
      <c r="C92" s="78" t="s">
        <v>86</v>
      </c>
      <c r="D92" s="13"/>
      <c r="E92" s="16"/>
      <c r="F92" s="12"/>
      <c r="G92" s="29">
        <v>897.29</v>
      </c>
      <c r="H92" s="54"/>
      <c r="I92" s="59">
        <f>G92*1</f>
        <v>897.29</v>
      </c>
    </row>
    <row r="93" spans="1:9" s="44" customFormat="1" ht="15.75" customHeight="1">
      <c r="A93" s="24">
        <v>22</v>
      </c>
      <c r="B93" s="77" t="s">
        <v>194</v>
      </c>
      <c r="C93" s="78" t="s">
        <v>86</v>
      </c>
      <c r="D93" s="13"/>
      <c r="E93" s="16"/>
      <c r="F93" s="12"/>
      <c r="G93" s="29">
        <v>86.15</v>
      </c>
      <c r="H93" s="54"/>
      <c r="I93" s="59">
        <f>G93*1</f>
        <v>86.15</v>
      </c>
    </row>
    <row r="94" spans="1:9" s="44" customFormat="1" ht="15.75" customHeight="1">
      <c r="A94" s="24">
        <v>23</v>
      </c>
      <c r="B94" s="77" t="s">
        <v>204</v>
      </c>
      <c r="C94" s="78" t="s">
        <v>86</v>
      </c>
      <c r="D94" s="13"/>
      <c r="E94" s="16"/>
      <c r="F94" s="12"/>
      <c r="G94" s="29">
        <v>81</v>
      </c>
      <c r="H94" s="54"/>
      <c r="I94" s="59">
        <f>G94*1</f>
        <v>81</v>
      </c>
    </row>
    <row r="95" spans="1:9" s="44" customFormat="1" ht="15.75" customHeight="1">
      <c r="A95" s="24">
        <v>24</v>
      </c>
      <c r="B95" s="77" t="s">
        <v>195</v>
      </c>
      <c r="C95" s="78" t="s">
        <v>86</v>
      </c>
      <c r="D95" s="13"/>
      <c r="E95" s="16"/>
      <c r="F95" s="12"/>
      <c r="G95" s="29">
        <v>109.73</v>
      </c>
      <c r="H95" s="54"/>
      <c r="I95" s="59">
        <f>G95*2</f>
        <v>219.46</v>
      </c>
    </row>
    <row r="96" spans="1:9" s="44" customFormat="1" ht="15.75" customHeight="1">
      <c r="A96" s="24">
        <v>25</v>
      </c>
      <c r="B96" s="77" t="s">
        <v>196</v>
      </c>
      <c r="C96" s="78" t="s">
        <v>86</v>
      </c>
      <c r="D96" s="13"/>
      <c r="E96" s="16"/>
      <c r="F96" s="12"/>
      <c r="G96" s="29">
        <v>53.17</v>
      </c>
      <c r="H96" s="54"/>
      <c r="I96" s="59">
        <f>G96*2</f>
        <v>106.34</v>
      </c>
    </row>
    <row r="97" spans="1:9" s="44" customFormat="1" ht="15.75" customHeight="1">
      <c r="A97" s="24">
        <v>26</v>
      </c>
      <c r="B97" s="77" t="s">
        <v>198</v>
      </c>
      <c r="C97" s="78" t="s">
        <v>86</v>
      </c>
      <c r="D97" s="13"/>
      <c r="E97" s="16"/>
      <c r="F97" s="12"/>
      <c r="G97" s="29">
        <v>78.89</v>
      </c>
      <c r="H97" s="54"/>
      <c r="I97" s="59">
        <f>G97*2</f>
        <v>157.78</v>
      </c>
    </row>
    <row r="98" spans="1:9" s="44" customFormat="1" ht="15.75" customHeight="1">
      <c r="A98" s="24">
        <v>27</v>
      </c>
      <c r="B98" s="77" t="s">
        <v>205</v>
      </c>
      <c r="C98" s="78" t="s">
        <v>86</v>
      </c>
      <c r="D98" s="13"/>
      <c r="E98" s="16"/>
      <c r="F98" s="12"/>
      <c r="G98" s="29">
        <v>49</v>
      </c>
      <c r="H98" s="54"/>
      <c r="I98" s="59">
        <f>G98*2</f>
        <v>98</v>
      </c>
    </row>
    <row r="99" spans="1:9" s="44" customFormat="1" ht="28.5" customHeight="1">
      <c r="A99" s="24">
        <v>28</v>
      </c>
      <c r="B99" s="77" t="s">
        <v>206</v>
      </c>
      <c r="C99" s="78" t="s">
        <v>186</v>
      </c>
      <c r="D99" s="13"/>
      <c r="E99" s="16"/>
      <c r="F99" s="12"/>
      <c r="G99" s="29">
        <v>1320</v>
      </c>
      <c r="H99" s="54"/>
      <c r="I99" s="59">
        <f>G99*0.5</f>
        <v>660</v>
      </c>
    </row>
    <row r="100" spans="1:9" s="44" customFormat="1" ht="31.5" customHeight="1">
      <c r="A100" s="24">
        <v>29</v>
      </c>
      <c r="B100" s="77" t="s">
        <v>207</v>
      </c>
      <c r="C100" s="78" t="s">
        <v>186</v>
      </c>
      <c r="D100" s="13"/>
      <c r="E100" s="16"/>
      <c r="F100" s="12">
        <v>0.04</v>
      </c>
      <c r="G100" s="29">
        <v>1391</v>
      </c>
      <c r="H100" s="54">
        <f>G100*F100/1000</f>
        <v>5.5640000000000002E-2</v>
      </c>
      <c r="I100" s="59">
        <f>G100*2</f>
        <v>2782</v>
      </c>
    </row>
    <row r="101" spans="1:9" ht="15.75" customHeight="1">
      <c r="A101" s="24"/>
      <c r="B101" s="60" t="s">
        <v>49</v>
      </c>
      <c r="C101" s="32"/>
      <c r="D101" s="38"/>
      <c r="E101" s="32">
        <v>1</v>
      </c>
      <c r="F101" s="32"/>
      <c r="G101" s="32"/>
      <c r="H101" s="32"/>
      <c r="I101" s="27">
        <f>SUM(I88:I100)</f>
        <v>7942.7084894</v>
      </c>
    </row>
    <row r="102" spans="1:9" ht="15.75" customHeight="1">
      <c r="A102" s="24"/>
      <c r="B102" s="37" t="s">
        <v>74</v>
      </c>
      <c r="C102" s="14"/>
      <c r="D102" s="14"/>
      <c r="E102" s="33"/>
      <c r="F102" s="33"/>
      <c r="G102" s="34"/>
      <c r="H102" s="34"/>
      <c r="I102" s="15">
        <v>0</v>
      </c>
    </row>
    <row r="103" spans="1:9">
      <c r="A103" s="39"/>
      <c r="B103" s="36" t="s">
        <v>143</v>
      </c>
      <c r="C103" s="28"/>
      <c r="D103" s="28"/>
      <c r="E103" s="28"/>
      <c r="F103" s="28"/>
      <c r="G103" s="28"/>
      <c r="H103" s="28"/>
      <c r="I103" s="35">
        <f>I86+I101</f>
        <v>70992.255304400009</v>
      </c>
    </row>
    <row r="104" spans="1:9" ht="15.75">
      <c r="A104" s="193" t="s">
        <v>230</v>
      </c>
      <c r="B104" s="193"/>
      <c r="C104" s="193"/>
      <c r="D104" s="193"/>
      <c r="E104" s="193"/>
      <c r="F104" s="193"/>
      <c r="G104" s="193"/>
      <c r="H104" s="193"/>
      <c r="I104" s="193"/>
    </row>
    <row r="105" spans="1:9" ht="15.75">
      <c r="A105" s="68"/>
      <c r="B105" s="194" t="s">
        <v>231</v>
      </c>
      <c r="C105" s="194"/>
      <c r="D105" s="194"/>
      <c r="E105" s="194"/>
      <c r="F105" s="194"/>
      <c r="G105" s="194"/>
      <c r="H105" s="43"/>
      <c r="I105" s="3"/>
    </row>
    <row r="106" spans="1:9" ht="15.75" customHeight="1">
      <c r="A106" s="126"/>
      <c r="B106" s="195" t="s">
        <v>6</v>
      </c>
      <c r="C106" s="195"/>
      <c r="D106" s="195"/>
      <c r="E106" s="195"/>
      <c r="F106" s="195"/>
      <c r="G106" s="195"/>
      <c r="H106" s="19"/>
      <c r="I106" s="5"/>
    </row>
    <row r="107" spans="1:9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5.75">
      <c r="A108" s="196" t="s">
        <v>7</v>
      </c>
      <c r="B108" s="196"/>
      <c r="C108" s="196"/>
      <c r="D108" s="196"/>
      <c r="E108" s="196"/>
      <c r="F108" s="196"/>
      <c r="G108" s="196"/>
      <c r="H108" s="196"/>
      <c r="I108" s="196"/>
    </row>
    <row r="109" spans="1:9" ht="15.75">
      <c r="A109" s="196" t="s">
        <v>8</v>
      </c>
      <c r="B109" s="196"/>
      <c r="C109" s="196"/>
      <c r="D109" s="196"/>
      <c r="E109" s="196"/>
      <c r="F109" s="196"/>
      <c r="G109" s="196"/>
      <c r="H109" s="196"/>
      <c r="I109" s="196"/>
    </row>
    <row r="110" spans="1:9" ht="15.75" customHeight="1">
      <c r="A110" s="197" t="s">
        <v>58</v>
      </c>
      <c r="B110" s="197"/>
      <c r="C110" s="197"/>
      <c r="D110" s="197"/>
      <c r="E110" s="197"/>
      <c r="F110" s="197"/>
      <c r="G110" s="197"/>
      <c r="H110" s="197"/>
      <c r="I110" s="197"/>
    </row>
    <row r="111" spans="1:9" ht="15.75">
      <c r="A111" s="10"/>
    </row>
    <row r="112" spans="1:9" ht="15.75">
      <c r="A112" s="198" t="s">
        <v>9</v>
      </c>
      <c r="B112" s="198"/>
      <c r="C112" s="198"/>
      <c r="D112" s="198"/>
      <c r="E112" s="198"/>
      <c r="F112" s="198"/>
      <c r="G112" s="198"/>
      <c r="H112" s="198"/>
      <c r="I112" s="198"/>
    </row>
    <row r="113" spans="1:9" ht="15.75">
      <c r="A113" s="4"/>
    </row>
    <row r="114" spans="1:9" ht="15.75">
      <c r="B114" s="127" t="s">
        <v>10</v>
      </c>
      <c r="C114" s="199" t="s">
        <v>83</v>
      </c>
      <c r="D114" s="199"/>
      <c r="E114" s="199"/>
      <c r="F114" s="41"/>
      <c r="I114" s="125"/>
    </row>
    <row r="115" spans="1:9">
      <c r="A115" s="126"/>
      <c r="C115" s="195" t="s">
        <v>11</v>
      </c>
      <c r="D115" s="195"/>
      <c r="E115" s="195"/>
      <c r="F115" s="19"/>
      <c r="I115" s="124" t="s">
        <v>12</v>
      </c>
    </row>
    <row r="116" spans="1:9" ht="15.75">
      <c r="A116" s="20"/>
      <c r="C116" s="11"/>
      <c r="D116" s="11"/>
      <c r="G116" s="11"/>
      <c r="H116" s="11"/>
    </row>
    <row r="117" spans="1:9" ht="15.75">
      <c r="B117" s="127" t="s">
        <v>13</v>
      </c>
      <c r="C117" s="200"/>
      <c r="D117" s="200"/>
      <c r="E117" s="200"/>
      <c r="F117" s="42"/>
      <c r="I117" s="125"/>
    </row>
    <row r="118" spans="1:9">
      <c r="A118" s="126"/>
      <c r="C118" s="189" t="s">
        <v>11</v>
      </c>
      <c r="D118" s="189"/>
      <c r="E118" s="189"/>
      <c r="F118" s="126"/>
      <c r="I118" s="124" t="s">
        <v>12</v>
      </c>
    </row>
    <row r="119" spans="1:9" ht="15.75">
      <c r="A119" s="4" t="s">
        <v>14</v>
      </c>
    </row>
    <row r="120" spans="1:9" ht="15" customHeight="1">
      <c r="A120" s="186" t="s">
        <v>15</v>
      </c>
      <c r="B120" s="186"/>
      <c r="C120" s="186"/>
      <c r="D120" s="186"/>
      <c r="E120" s="186"/>
      <c r="F120" s="186"/>
      <c r="G120" s="186"/>
      <c r="H120" s="186"/>
      <c r="I120" s="186"/>
    </row>
    <row r="121" spans="1:9" ht="45" customHeight="1">
      <c r="A121" s="187" t="s">
        <v>16</v>
      </c>
      <c r="B121" s="187"/>
      <c r="C121" s="187"/>
      <c r="D121" s="187"/>
      <c r="E121" s="187"/>
      <c r="F121" s="187"/>
      <c r="G121" s="187"/>
      <c r="H121" s="187"/>
      <c r="I121" s="187"/>
    </row>
    <row r="122" spans="1:9" ht="30" customHeight="1">
      <c r="A122" s="187" t="s">
        <v>17</v>
      </c>
      <c r="B122" s="187"/>
      <c r="C122" s="187"/>
      <c r="D122" s="187"/>
      <c r="E122" s="187"/>
      <c r="F122" s="187"/>
      <c r="G122" s="187"/>
      <c r="H122" s="187"/>
      <c r="I122" s="187"/>
    </row>
    <row r="123" spans="1:9" ht="30" customHeight="1">
      <c r="A123" s="187" t="s">
        <v>21</v>
      </c>
      <c r="B123" s="187"/>
      <c r="C123" s="187"/>
      <c r="D123" s="187"/>
      <c r="E123" s="187"/>
      <c r="F123" s="187"/>
      <c r="G123" s="187"/>
      <c r="H123" s="187"/>
      <c r="I123" s="187"/>
    </row>
    <row r="124" spans="1:9" ht="15" customHeight="1">
      <c r="A124" s="187" t="s">
        <v>20</v>
      </c>
      <c r="B124" s="187"/>
      <c r="C124" s="187"/>
      <c r="D124" s="187"/>
      <c r="E124" s="187"/>
      <c r="F124" s="187"/>
      <c r="G124" s="187"/>
      <c r="H124" s="187"/>
      <c r="I124" s="187"/>
    </row>
  </sheetData>
  <autoFilter ref="I12:I64"/>
  <mergeCells count="29">
    <mergeCell ref="A120:I120"/>
    <mergeCell ref="A121:I121"/>
    <mergeCell ref="A122:I122"/>
    <mergeCell ref="A123:I123"/>
    <mergeCell ref="A124:I124"/>
    <mergeCell ref="R69:U69"/>
    <mergeCell ref="C118:E118"/>
    <mergeCell ref="A87:I87"/>
    <mergeCell ref="A104:I104"/>
    <mergeCell ref="B105:G105"/>
    <mergeCell ref="B106:G106"/>
    <mergeCell ref="A108:I108"/>
    <mergeCell ref="A109:I109"/>
    <mergeCell ref="A110:I110"/>
    <mergeCell ref="A112:I112"/>
    <mergeCell ref="C114:E114"/>
    <mergeCell ref="C115:E115"/>
    <mergeCell ref="C117:E117"/>
    <mergeCell ref="A83:I83"/>
    <mergeCell ref="A3:I3"/>
    <mergeCell ref="A4:I4"/>
    <mergeCell ref="A5:I5"/>
    <mergeCell ref="A8:I8"/>
    <mergeCell ref="A10:I10"/>
    <mergeCell ref="A14:I14"/>
    <mergeCell ref="A15:I15"/>
    <mergeCell ref="A26:I26"/>
    <mergeCell ref="A42:I42"/>
    <mergeCell ref="A53:I5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14"/>
  <sheetViews>
    <sheetView topLeftCell="A83" workbookViewId="0">
      <selection activeCell="B16" sqref="B16:I25"/>
    </sheetView>
  </sheetViews>
  <sheetFormatPr defaultRowHeight="15"/>
  <cols>
    <col min="2" max="2" width="51.42578125" customWidth="1"/>
    <col min="3" max="3" width="18.140625" customWidth="1"/>
    <col min="4" max="4" width="17.85546875" customWidth="1"/>
    <col min="5" max="6" width="0" hidden="1" customWidth="1"/>
    <col min="7" max="7" width="18.28515625" customWidth="1"/>
    <col min="8" max="8" width="0" hidden="1" customWidth="1"/>
    <col min="9" max="9" width="18" customWidth="1"/>
  </cols>
  <sheetData>
    <row r="1" spans="1:9" ht="15.75">
      <c r="A1" s="22" t="s">
        <v>171</v>
      </c>
      <c r="I1" s="21"/>
    </row>
    <row r="2" spans="1:9" ht="15.75">
      <c r="A2" s="23" t="s">
        <v>59</v>
      </c>
    </row>
    <row r="3" spans="1:9" ht="15.75">
      <c r="A3" s="204" t="s">
        <v>177</v>
      </c>
      <c r="B3" s="204"/>
      <c r="C3" s="204"/>
      <c r="D3" s="204"/>
      <c r="E3" s="204"/>
      <c r="F3" s="204"/>
      <c r="G3" s="204"/>
      <c r="H3" s="204"/>
      <c r="I3" s="204"/>
    </row>
    <row r="4" spans="1:9" ht="31.5" customHeight="1">
      <c r="A4" s="205" t="s">
        <v>124</v>
      </c>
      <c r="B4" s="205"/>
      <c r="C4" s="205"/>
      <c r="D4" s="205"/>
      <c r="E4" s="205"/>
      <c r="F4" s="205"/>
      <c r="G4" s="205"/>
      <c r="H4" s="205"/>
      <c r="I4" s="205"/>
    </row>
    <row r="5" spans="1:9" ht="15.75">
      <c r="A5" s="204" t="s">
        <v>208</v>
      </c>
      <c r="B5" s="206"/>
      <c r="C5" s="206"/>
      <c r="D5" s="206"/>
      <c r="E5" s="206"/>
      <c r="F5" s="206"/>
      <c r="G5" s="206"/>
      <c r="H5" s="206"/>
      <c r="I5" s="206"/>
    </row>
    <row r="6" spans="1:9" ht="15.75">
      <c r="A6" s="2"/>
      <c r="B6" s="135"/>
      <c r="C6" s="135"/>
      <c r="D6" s="135"/>
      <c r="E6" s="135"/>
      <c r="F6" s="135"/>
      <c r="G6" s="135"/>
      <c r="H6" s="135"/>
      <c r="I6" s="25">
        <v>43585</v>
      </c>
    </row>
    <row r="7" spans="1:9" ht="15.75">
      <c r="B7" s="131"/>
      <c r="C7" s="131"/>
      <c r="D7" s="131"/>
      <c r="E7" s="3"/>
      <c r="F7" s="3"/>
      <c r="G7" s="3"/>
      <c r="H7" s="3"/>
    </row>
    <row r="8" spans="1:9" ht="84" customHeight="1">
      <c r="A8" s="207" t="s">
        <v>175</v>
      </c>
      <c r="B8" s="207"/>
      <c r="C8" s="207"/>
      <c r="D8" s="207"/>
      <c r="E8" s="207"/>
      <c r="F8" s="207"/>
      <c r="G8" s="207"/>
      <c r="H8" s="207"/>
      <c r="I8" s="207"/>
    </row>
    <row r="9" spans="1:9" ht="15.75">
      <c r="A9" s="4"/>
    </row>
    <row r="10" spans="1:9" ht="52.5" customHeight="1">
      <c r="A10" s="208" t="s">
        <v>158</v>
      </c>
      <c r="B10" s="208"/>
      <c r="C10" s="208"/>
      <c r="D10" s="208"/>
      <c r="E10" s="208"/>
      <c r="F10" s="208"/>
      <c r="G10" s="208"/>
      <c r="H10" s="208"/>
      <c r="I10" s="208"/>
    </row>
    <row r="11" spans="1:9" ht="15.75">
      <c r="A11" s="4"/>
    </row>
    <row r="12" spans="1:9" ht="61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9" t="s">
        <v>56</v>
      </c>
      <c r="B14" s="209"/>
      <c r="C14" s="209"/>
      <c r="D14" s="209"/>
      <c r="E14" s="209"/>
      <c r="F14" s="209"/>
      <c r="G14" s="209"/>
      <c r="H14" s="209"/>
      <c r="I14" s="209"/>
    </row>
    <row r="15" spans="1:9">
      <c r="A15" s="210" t="s">
        <v>4</v>
      </c>
      <c r="B15" s="210"/>
      <c r="C15" s="210"/>
      <c r="D15" s="210"/>
      <c r="E15" s="210"/>
      <c r="F15" s="210"/>
      <c r="G15" s="210"/>
      <c r="H15" s="210"/>
      <c r="I15" s="210"/>
    </row>
    <row r="16" spans="1:9">
      <c r="A16" s="24">
        <v>1</v>
      </c>
      <c r="B16" s="85" t="s">
        <v>81</v>
      </c>
      <c r="C16" s="86" t="s">
        <v>90</v>
      </c>
      <c r="D16" s="85" t="s">
        <v>217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24" si="0">SUM(F16*G16/1000)</f>
        <v>34.100352000000008</v>
      </c>
      <c r="I16" s="12">
        <f>F16/12*G16</f>
        <v>2841.6960000000004</v>
      </c>
    </row>
    <row r="17" spans="1:9">
      <c r="A17" s="24">
        <v>2</v>
      </c>
      <c r="B17" s="85" t="s">
        <v>88</v>
      </c>
      <c r="C17" s="86" t="s">
        <v>90</v>
      </c>
      <c r="D17" s="85" t="s">
        <v>218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</row>
    <row r="18" spans="1:9">
      <c r="A18" s="24">
        <v>3</v>
      </c>
      <c r="B18" s="85" t="s">
        <v>89</v>
      </c>
      <c r="C18" s="86" t="s">
        <v>90</v>
      </c>
      <c r="D18" s="85" t="s">
        <v>219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</row>
    <row r="19" spans="1:9" hidden="1">
      <c r="A19" s="24">
        <v>4</v>
      </c>
      <c r="B19" s="85" t="s">
        <v>91</v>
      </c>
      <c r="C19" s="86" t="s">
        <v>92</v>
      </c>
      <c r="D19" s="85" t="s">
        <v>93</v>
      </c>
      <c r="E19" s="87">
        <v>57.6</v>
      </c>
      <c r="F19" s="88">
        <f>SUM(E19/10)</f>
        <v>5.76</v>
      </c>
      <c r="G19" s="88">
        <v>223.17</v>
      </c>
      <c r="H19" s="89">
        <f t="shared" si="0"/>
        <v>1.2854591999999998</v>
      </c>
      <c r="I19" s="12">
        <v>0</v>
      </c>
    </row>
    <row r="20" spans="1:9" hidden="1">
      <c r="A20" s="24">
        <v>5</v>
      </c>
      <c r="B20" s="85" t="s">
        <v>94</v>
      </c>
      <c r="C20" s="86" t="s">
        <v>90</v>
      </c>
      <c r="D20" s="85" t="s">
        <v>40</v>
      </c>
      <c r="E20" s="87">
        <v>43.2</v>
      </c>
      <c r="F20" s="88">
        <f>SUM(E20*2/100)</f>
        <v>0.8640000000000001</v>
      </c>
      <c r="G20" s="88">
        <v>285.76</v>
      </c>
      <c r="H20" s="89">
        <f t="shared" si="0"/>
        <v>0.24689664000000003</v>
      </c>
      <c r="I20" s="12">
        <v>0</v>
      </c>
    </row>
    <row r="21" spans="1:9" hidden="1">
      <c r="A21" s="24">
        <v>6</v>
      </c>
      <c r="B21" s="85" t="s">
        <v>95</v>
      </c>
      <c r="C21" s="86" t="s">
        <v>90</v>
      </c>
      <c r="D21" s="85" t="s">
        <v>40</v>
      </c>
      <c r="E21" s="87">
        <v>10.08</v>
      </c>
      <c r="F21" s="88">
        <f>SUM(E21*2/100)</f>
        <v>0.2016</v>
      </c>
      <c r="G21" s="88">
        <v>283.44</v>
      </c>
      <c r="H21" s="89">
        <f t="shared" si="0"/>
        <v>5.7141503999999996E-2</v>
      </c>
      <c r="I21" s="12">
        <v>0</v>
      </c>
    </row>
    <row r="22" spans="1:9" hidden="1">
      <c r="A22" s="24">
        <v>7</v>
      </c>
      <c r="B22" s="85" t="s">
        <v>96</v>
      </c>
      <c r="C22" s="86" t="s">
        <v>50</v>
      </c>
      <c r="D22" s="85" t="s">
        <v>93</v>
      </c>
      <c r="E22" s="87">
        <v>642.6</v>
      </c>
      <c r="F22" s="88">
        <f>SUM(E22/100)</f>
        <v>6.4260000000000002</v>
      </c>
      <c r="G22" s="88">
        <v>353.14</v>
      </c>
      <c r="H22" s="89">
        <f t="shared" si="0"/>
        <v>2.2692776399999999</v>
      </c>
      <c r="I22" s="12">
        <v>0</v>
      </c>
    </row>
    <row r="23" spans="1:9" hidden="1">
      <c r="A23" s="24">
        <v>8</v>
      </c>
      <c r="B23" s="85" t="s">
        <v>97</v>
      </c>
      <c r="C23" s="86" t="s">
        <v>50</v>
      </c>
      <c r="D23" s="85" t="s">
        <v>93</v>
      </c>
      <c r="E23" s="90">
        <v>35.28</v>
      </c>
      <c r="F23" s="88">
        <f>SUM(E23/100)</f>
        <v>0.3528</v>
      </c>
      <c r="G23" s="88">
        <v>58.08</v>
      </c>
      <c r="H23" s="89">
        <f t="shared" si="0"/>
        <v>2.0490623999999999E-2</v>
      </c>
      <c r="I23" s="12">
        <v>0</v>
      </c>
    </row>
    <row r="24" spans="1:9" hidden="1">
      <c r="A24" s="24">
        <v>9</v>
      </c>
      <c r="B24" s="85" t="s">
        <v>98</v>
      </c>
      <c r="C24" s="86" t="s">
        <v>50</v>
      </c>
      <c r="D24" s="85" t="s">
        <v>93</v>
      </c>
      <c r="E24" s="87">
        <v>28.8</v>
      </c>
      <c r="F24" s="88">
        <f>SUM(E24/100)</f>
        <v>0.28800000000000003</v>
      </c>
      <c r="G24" s="88">
        <v>683.05</v>
      </c>
      <c r="H24" s="89">
        <f t="shared" si="0"/>
        <v>0.19671840000000002</v>
      </c>
      <c r="I24" s="12">
        <v>0</v>
      </c>
    </row>
    <row r="25" spans="1:9">
      <c r="A25" s="24">
        <v>4</v>
      </c>
      <c r="B25" s="85" t="s">
        <v>216</v>
      </c>
      <c r="C25" s="86" t="s">
        <v>25</v>
      </c>
      <c r="D25" s="85" t="s">
        <v>220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</row>
    <row r="26" spans="1:9">
      <c r="A26" s="211" t="s">
        <v>153</v>
      </c>
      <c r="B26" s="212"/>
      <c r="C26" s="212"/>
      <c r="D26" s="212"/>
      <c r="E26" s="212"/>
      <c r="F26" s="212"/>
      <c r="G26" s="212"/>
      <c r="H26" s="212"/>
      <c r="I26" s="213"/>
    </row>
    <row r="27" spans="1:9" hidden="1">
      <c r="A27" s="24"/>
      <c r="B27" s="119" t="s">
        <v>28</v>
      </c>
      <c r="C27" s="86"/>
      <c r="D27" s="85"/>
      <c r="E27" s="87"/>
      <c r="F27" s="88"/>
      <c r="G27" s="88"/>
      <c r="H27" s="89"/>
      <c r="I27" s="12"/>
    </row>
    <row r="28" spans="1:9" hidden="1">
      <c r="A28" s="24">
        <v>6</v>
      </c>
      <c r="B28" s="85" t="s">
        <v>99</v>
      </c>
      <c r="C28" s="86" t="s">
        <v>100</v>
      </c>
      <c r="D28" s="85" t="s">
        <v>101</v>
      </c>
      <c r="E28" s="88">
        <v>271.95</v>
      </c>
      <c r="F28" s="88">
        <f>SUM(E28*52/1000)</f>
        <v>14.141399999999999</v>
      </c>
      <c r="G28" s="88">
        <v>204.44</v>
      </c>
      <c r="H28" s="89">
        <f t="shared" ref="H28:H34" si="2">SUM(F28*G28/1000)</f>
        <v>2.8910678159999996</v>
      </c>
      <c r="I28" s="12">
        <f>F28/6*G28</f>
        <v>481.84463599999998</v>
      </c>
    </row>
    <row r="29" spans="1:9" ht="45" hidden="1">
      <c r="A29" s="24">
        <v>7</v>
      </c>
      <c r="B29" s="85" t="s">
        <v>134</v>
      </c>
      <c r="C29" s="86" t="s">
        <v>100</v>
      </c>
      <c r="D29" s="85" t="s">
        <v>144</v>
      </c>
      <c r="E29" s="88">
        <v>83.7</v>
      </c>
      <c r="F29" s="88">
        <f>SUM(E29*52/1000)</f>
        <v>4.3524000000000003</v>
      </c>
      <c r="G29" s="88">
        <v>339.21</v>
      </c>
      <c r="H29" s="89">
        <f t="shared" si="2"/>
        <v>1.4763776040000001</v>
      </c>
      <c r="I29" s="12">
        <f t="shared" ref="I29:I39" si="3">F29/6*G29</f>
        <v>246.06293400000001</v>
      </c>
    </row>
    <row r="30" spans="1:9" hidden="1">
      <c r="A30" s="24">
        <v>5</v>
      </c>
      <c r="B30" s="85" t="s">
        <v>27</v>
      </c>
      <c r="C30" s="86" t="s">
        <v>100</v>
      </c>
      <c r="D30" s="85" t="s">
        <v>51</v>
      </c>
      <c r="E30" s="88">
        <v>271.95</v>
      </c>
      <c r="F30" s="88">
        <f>SUM(E30/1000)</f>
        <v>0.27194999999999997</v>
      </c>
      <c r="G30" s="88">
        <v>3961.23</v>
      </c>
      <c r="H30" s="89">
        <f t="shared" si="2"/>
        <v>1.0772564984999999</v>
      </c>
      <c r="I30" s="12">
        <v>0</v>
      </c>
    </row>
    <row r="31" spans="1:9" hidden="1">
      <c r="A31" s="24">
        <v>8</v>
      </c>
      <c r="B31" s="85" t="s">
        <v>102</v>
      </c>
      <c r="C31" s="86" t="s">
        <v>38</v>
      </c>
      <c r="D31" s="85" t="s">
        <v>145</v>
      </c>
      <c r="E31" s="88">
        <v>6</v>
      </c>
      <c r="F31" s="88">
        <f>SUM(E31*48/100)</f>
        <v>2.88</v>
      </c>
      <c r="G31" s="88">
        <v>1707.63</v>
      </c>
      <c r="H31" s="89">
        <f>G31*F31/1000</f>
        <v>4.9179744000000003</v>
      </c>
      <c r="I31" s="12">
        <f t="shared" si="3"/>
        <v>819.66240000000005</v>
      </c>
    </row>
    <row r="32" spans="1:9" hidden="1">
      <c r="A32" s="24">
        <v>9</v>
      </c>
      <c r="B32" s="85" t="s">
        <v>103</v>
      </c>
      <c r="C32" s="86" t="s">
        <v>30</v>
      </c>
      <c r="D32" s="85" t="s">
        <v>60</v>
      </c>
      <c r="E32" s="91">
        <f>1/3</f>
        <v>0.33333333333333331</v>
      </c>
      <c r="F32" s="88">
        <f>155/3</f>
        <v>51.666666666666664</v>
      </c>
      <c r="G32" s="88">
        <v>74.349999999999994</v>
      </c>
      <c r="H32" s="89">
        <f>SUM(G32*155/3/1000)</f>
        <v>3.8414166666666665</v>
      </c>
      <c r="I32" s="12">
        <f t="shared" si="3"/>
        <v>640.23611111111109</v>
      </c>
    </row>
    <row r="33" spans="1:9" hidden="1">
      <c r="A33" s="24">
        <v>6</v>
      </c>
      <c r="B33" s="85" t="s">
        <v>61</v>
      </c>
      <c r="C33" s="86" t="s">
        <v>32</v>
      </c>
      <c r="D33" s="85" t="s">
        <v>63</v>
      </c>
      <c r="E33" s="87"/>
      <c r="F33" s="88">
        <v>2</v>
      </c>
      <c r="G33" s="88">
        <v>250.92</v>
      </c>
      <c r="H33" s="89">
        <f t="shared" si="2"/>
        <v>0.50183999999999995</v>
      </c>
      <c r="I33" s="12">
        <v>0</v>
      </c>
    </row>
    <row r="34" spans="1:9" hidden="1">
      <c r="A34" s="24">
        <v>7</v>
      </c>
      <c r="B34" s="85" t="s">
        <v>62</v>
      </c>
      <c r="C34" s="86" t="s">
        <v>31</v>
      </c>
      <c r="D34" s="85" t="s">
        <v>63</v>
      </c>
      <c r="E34" s="87"/>
      <c r="F34" s="88">
        <v>1</v>
      </c>
      <c r="G34" s="88">
        <v>1490.33</v>
      </c>
      <c r="H34" s="89">
        <f t="shared" si="2"/>
        <v>1.4903299999999999</v>
      </c>
      <c r="I34" s="12">
        <v>0</v>
      </c>
    </row>
    <row r="35" spans="1:9">
      <c r="A35" s="24"/>
      <c r="B35" s="118" t="s">
        <v>5</v>
      </c>
      <c r="C35" s="86"/>
      <c r="D35" s="85"/>
      <c r="E35" s="87"/>
      <c r="F35" s="88"/>
      <c r="G35" s="88"/>
      <c r="H35" s="89" t="s">
        <v>129</v>
      </c>
      <c r="I35" s="12"/>
    </row>
    <row r="36" spans="1:9" ht="15.75" customHeight="1">
      <c r="A36" s="24">
        <v>5</v>
      </c>
      <c r="B36" s="94" t="s">
        <v>26</v>
      </c>
      <c r="C36" s="86" t="s">
        <v>31</v>
      </c>
      <c r="D36" s="85"/>
      <c r="E36" s="87"/>
      <c r="F36" s="88">
        <v>5</v>
      </c>
      <c r="G36" s="88">
        <v>2003</v>
      </c>
      <c r="H36" s="89">
        <f t="shared" ref="H36:H41" si="4">SUM(F36*G36/1000)</f>
        <v>10.015000000000001</v>
      </c>
      <c r="I36" s="12">
        <f>G36*1.6</f>
        <v>3204.8</v>
      </c>
    </row>
    <row r="37" spans="1:9">
      <c r="A37" s="24">
        <v>6</v>
      </c>
      <c r="B37" s="94" t="s">
        <v>146</v>
      </c>
      <c r="C37" s="95" t="s">
        <v>29</v>
      </c>
      <c r="D37" s="85" t="s">
        <v>221</v>
      </c>
      <c r="E37" s="87">
        <v>83.7</v>
      </c>
      <c r="F37" s="96">
        <f>E37*30/1000</f>
        <v>2.5110000000000001</v>
      </c>
      <c r="G37" s="88">
        <v>2757.78</v>
      </c>
      <c r="H37" s="89">
        <f t="shared" si="4"/>
        <v>6.9247855800000009</v>
      </c>
      <c r="I37" s="12">
        <f t="shared" si="3"/>
        <v>1154.1309300000003</v>
      </c>
    </row>
    <row r="38" spans="1:9">
      <c r="A38" s="24">
        <v>7</v>
      </c>
      <c r="B38" s="85" t="s">
        <v>64</v>
      </c>
      <c r="C38" s="86" t="s">
        <v>29</v>
      </c>
      <c r="D38" s="85" t="s">
        <v>222</v>
      </c>
      <c r="E38" s="88">
        <v>83.7</v>
      </c>
      <c r="F38" s="96">
        <f>SUM(E38*155/1000)</f>
        <v>12.9735</v>
      </c>
      <c r="G38" s="88">
        <v>460.02</v>
      </c>
      <c r="H38" s="89">
        <f t="shared" si="4"/>
        <v>5.9680694699999997</v>
      </c>
      <c r="I38" s="12">
        <f t="shared" si="3"/>
        <v>994.67824499999983</v>
      </c>
    </row>
    <row r="39" spans="1:9" ht="60">
      <c r="A39" s="24">
        <v>8</v>
      </c>
      <c r="B39" s="85" t="s">
        <v>79</v>
      </c>
      <c r="C39" s="86" t="s">
        <v>100</v>
      </c>
      <c r="D39" s="85" t="s">
        <v>221</v>
      </c>
      <c r="E39" s="88">
        <v>83.7</v>
      </c>
      <c r="F39" s="96">
        <f>SUM(E39*30/1000)</f>
        <v>2.5110000000000001</v>
      </c>
      <c r="G39" s="88">
        <v>7611.16</v>
      </c>
      <c r="H39" s="89">
        <f t="shared" si="4"/>
        <v>19.111622760000003</v>
      </c>
      <c r="I39" s="12">
        <f t="shared" si="3"/>
        <v>3185.2704600000002</v>
      </c>
    </row>
    <row r="40" spans="1:9">
      <c r="A40" s="24">
        <v>9</v>
      </c>
      <c r="B40" s="85" t="s">
        <v>107</v>
      </c>
      <c r="C40" s="86" t="s">
        <v>100</v>
      </c>
      <c r="D40" s="85" t="s">
        <v>223</v>
      </c>
      <c r="E40" s="88">
        <v>83.7</v>
      </c>
      <c r="F40" s="96">
        <f>SUM(E40*24/1000)</f>
        <v>2.0088000000000004</v>
      </c>
      <c r="G40" s="88">
        <v>562.25</v>
      </c>
      <c r="H40" s="89">
        <f t="shared" si="4"/>
        <v>1.1294478000000001</v>
      </c>
      <c r="I40" s="12">
        <f>(F40/7.5*1.5)*G40</f>
        <v>225.88956000000002</v>
      </c>
    </row>
    <row r="41" spans="1:9">
      <c r="A41" s="24">
        <v>10</v>
      </c>
      <c r="B41" s="94" t="s">
        <v>65</v>
      </c>
      <c r="C41" s="95" t="s">
        <v>32</v>
      </c>
      <c r="D41" s="94"/>
      <c r="E41" s="92"/>
      <c r="F41" s="96">
        <v>0.9</v>
      </c>
      <c r="G41" s="96">
        <v>974.83</v>
      </c>
      <c r="H41" s="89">
        <f t="shared" si="4"/>
        <v>0.8773470000000001</v>
      </c>
      <c r="I41" s="12">
        <f>(F41/7.5*1.5)*G41</f>
        <v>175.46940000000004</v>
      </c>
    </row>
    <row r="42" spans="1:9" ht="19.5" hidden="1" customHeight="1">
      <c r="A42" s="211" t="s">
        <v>135</v>
      </c>
      <c r="B42" s="212"/>
      <c r="C42" s="212"/>
      <c r="D42" s="212"/>
      <c r="E42" s="212"/>
      <c r="F42" s="212"/>
      <c r="G42" s="212"/>
      <c r="H42" s="212"/>
      <c r="I42" s="213"/>
    </row>
    <row r="43" spans="1:9" ht="28.5" hidden="1" customHeight="1">
      <c r="A43" s="24">
        <v>8</v>
      </c>
      <c r="B43" s="85" t="s">
        <v>108</v>
      </c>
      <c r="C43" s="86" t="s">
        <v>100</v>
      </c>
      <c r="D43" s="85" t="s">
        <v>40</v>
      </c>
      <c r="E43" s="87">
        <v>1032.5</v>
      </c>
      <c r="F43" s="88">
        <f>SUM(E43*2/1000)</f>
        <v>2.0649999999999999</v>
      </c>
      <c r="G43" s="29">
        <v>1114.1300000000001</v>
      </c>
      <c r="H43" s="89">
        <f t="shared" ref="H43:H52" si="5">SUM(F43*G43/1000)</f>
        <v>2.3006784500000004</v>
      </c>
      <c r="I43" s="12">
        <f>F43/2*G43</f>
        <v>1150.3392250000002</v>
      </c>
    </row>
    <row r="44" spans="1:9" ht="33.75" hidden="1" customHeight="1">
      <c r="A44" s="24"/>
      <c r="B44" s="85" t="s">
        <v>33</v>
      </c>
      <c r="C44" s="86" t="s">
        <v>100</v>
      </c>
      <c r="D44" s="85" t="s">
        <v>40</v>
      </c>
      <c r="E44" s="87">
        <v>132</v>
      </c>
      <c r="F44" s="88">
        <f>E44*2/1000</f>
        <v>0.26400000000000001</v>
      </c>
      <c r="G44" s="29">
        <v>4419.05</v>
      </c>
      <c r="H44" s="89">
        <f t="shared" si="5"/>
        <v>1.1666292</v>
      </c>
      <c r="I44" s="12">
        <f t="shared" ref="I44:I50" si="6">F44/2*G44</f>
        <v>583.31460000000004</v>
      </c>
    </row>
    <row r="45" spans="1:9" ht="34.5" hidden="1" customHeight="1">
      <c r="A45" s="24">
        <v>9</v>
      </c>
      <c r="B45" s="85" t="s">
        <v>34</v>
      </c>
      <c r="C45" s="86" t="s">
        <v>100</v>
      </c>
      <c r="D45" s="85" t="s">
        <v>40</v>
      </c>
      <c r="E45" s="87">
        <v>4248.22</v>
      </c>
      <c r="F45" s="88">
        <f>SUM(E45*2/1000)</f>
        <v>8.4964399999999998</v>
      </c>
      <c r="G45" s="29">
        <v>1803.69</v>
      </c>
      <c r="H45" s="89">
        <f t="shared" si="5"/>
        <v>15.3249438636</v>
      </c>
      <c r="I45" s="12">
        <f t="shared" si="6"/>
        <v>7662.4719317999998</v>
      </c>
    </row>
    <row r="46" spans="1:9" ht="40.5" hidden="1" customHeight="1">
      <c r="A46" s="24">
        <v>10</v>
      </c>
      <c r="B46" s="85" t="s">
        <v>35</v>
      </c>
      <c r="C46" s="86" t="s">
        <v>100</v>
      </c>
      <c r="D46" s="85" t="s">
        <v>40</v>
      </c>
      <c r="E46" s="87">
        <v>2163.66</v>
      </c>
      <c r="F46" s="88">
        <f>SUM(E46*2/1000)</f>
        <v>4.3273199999999994</v>
      </c>
      <c r="G46" s="29">
        <v>1243.43</v>
      </c>
      <c r="H46" s="89">
        <f t="shared" si="5"/>
        <v>5.3807195075999994</v>
      </c>
      <c r="I46" s="12">
        <f t="shared" si="6"/>
        <v>2690.3597537999999</v>
      </c>
    </row>
    <row r="47" spans="1:9" ht="36.75" hidden="1" customHeight="1">
      <c r="A47" s="24">
        <v>12</v>
      </c>
      <c r="B47" s="85" t="s">
        <v>53</v>
      </c>
      <c r="C47" s="86" t="s">
        <v>100</v>
      </c>
      <c r="D47" s="85" t="s">
        <v>142</v>
      </c>
      <c r="E47" s="87">
        <v>3931</v>
      </c>
      <c r="F47" s="88">
        <f>SUM(E47*5/1000)</f>
        <v>19.655000000000001</v>
      </c>
      <c r="G47" s="29">
        <v>1083.69</v>
      </c>
      <c r="H47" s="89">
        <f t="shared" si="5"/>
        <v>21.29992695</v>
      </c>
      <c r="I47" s="12">
        <f>F47/5*G47</f>
        <v>4259.9853899999998</v>
      </c>
    </row>
    <row r="48" spans="1:9" ht="37.5" hidden="1" customHeight="1">
      <c r="A48" s="24">
        <v>12</v>
      </c>
      <c r="B48" s="85" t="s">
        <v>109</v>
      </c>
      <c r="C48" s="86" t="s">
        <v>100</v>
      </c>
      <c r="D48" s="85" t="s">
        <v>40</v>
      </c>
      <c r="E48" s="87">
        <v>3931</v>
      </c>
      <c r="F48" s="88">
        <f>SUM(E48*2/1000)</f>
        <v>7.8620000000000001</v>
      </c>
      <c r="G48" s="29">
        <v>1591.6</v>
      </c>
      <c r="H48" s="89">
        <f t="shared" si="5"/>
        <v>12.5131592</v>
      </c>
      <c r="I48" s="12">
        <f t="shared" si="6"/>
        <v>6256.5796</v>
      </c>
    </row>
    <row r="49" spans="1:9" ht="33" hidden="1" customHeight="1">
      <c r="A49" s="24">
        <v>13</v>
      </c>
      <c r="B49" s="85" t="s">
        <v>110</v>
      </c>
      <c r="C49" s="86" t="s">
        <v>36</v>
      </c>
      <c r="D49" s="85" t="s">
        <v>40</v>
      </c>
      <c r="E49" s="87">
        <v>30</v>
      </c>
      <c r="F49" s="88">
        <f>SUM(E49*2/100)</f>
        <v>0.6</v>
      </c>
      <c r="G49" s="29">
        <v>4058.32</v>
      </c>
      <c r="H49" s="89">
        <f t="shared" si="5"/>
        <v>2.4349920000000003</v>
      </c>
      <c r="I49" s="12">
        <f t="shared" si="6"/>
        <v>1217.4960000000001</v>
      </c>
    </row>
    <row r="50" spans="1:9" ht="27" hidden="1" customHeight="1">
      <c r="A50" s="24">
        <v>14</v>
      </c>
      <c r="B50" s="85" t="s">
        <v>37</v>
      </c>
      <c r="C50" s="86" t="s">
        <v>38</v>
      </c>
      <c r="D50" s="85" t="s">
        <v>40</v>
      </c>
      <c r="E50" s="87">
        <v>1</v>
      </c>
      <c r="F50" s="88">
        <v>0.02</v>
      </c>
      <c r="G50" s="29">
        <v>7412.92</v>
      </c>
      <c r="H50" s="89">
        <f t="shared" si="5"/>
        <v>0.14825839999999998</v>
      </c>
      <c r="I50" s="12">
        <f t="shared" si="6"/>
        <v>74.129199999999997</v>
      </c>
    </row>
    <row r="51" spans="1:9" ht="27.75" hidden="1" customHeight="1">
      <c r="A51" s="24">
        <v>13</v>
      </c>
      <c r="B51" s="85" t="s">
        <v>111</v>
      </c>
      <c r="C51" s="86" t="s">
        <v>86</v>
      </c>
      <c r="D51" s="85" t="s">
        <v>66</v>
      </c>
      <c r="E51" s="87">
        <v>90</v>
      </c>
      <c r="F51" s="88">
        <f>E51*3</f>
        <v>270</v>
      </c>
      <c r="G51" s="29">
        <v>185.08</v>
      </c>
      <c r="H51" s="89">
        <f t="shared" si="5"/>
        <v>49.971600000000009</v>
      </c>
      <c r="I51" s="12">
        <f>F51/3*G51</f>
        <v>16657.2</v>
      </c>
    </row>
    <row r="52" spans="1:9" ht="25.5" hidden="1" customHeight="1">
      <c r="A52" s="24">
        <v>14</v>
      </c>
      <c r="B52" s="85" t="s">
        <v>39</v>
      </c>
      <c r="C52" s="86" t="s">
        <v>86</v>
      </c>
      <c r="D52" s="85" t="s">
        <v>66</v>
      </c>
      <c r="E52" s="87">
        <v>180</v>
      </c>
      <c r="F52" s="88">
        <f>SUM(E52)*3</f>
        <v>540</v>
      </c>
      <c r="G52" s="97">
        <v>86.15</v>
      </c>
      <c r="H52" s="89">
        <f t="shared" si="5"/>
        <v>46.521000000000001</v>
      </c>
      <c r="I52" s="12">
        <f>F52/3*G52</f>
        <v>15507.000000000002</v>
      </c>
    </row>
    <row r="53" spans="1:9">
      <c r="A53" s="211" t="s">
        <v>139</v>
      </c>
      <c r="B53" s="212"/>
      <c r="C53" s="212"/>
      <c r="D53" s="212"/>
      <c r="E53" s="212"/>
      <c r="F53" s="212"/>
      <c r="G53" s="212"/>
      <c r="H53" s="212"/>
      <c r="I53" s="213"/>
    </row>
    <row r="54" spans="1:9">
      <c r="A54" s="24"/>
      <c r="B54" s="119" t="s">
        <v>41</v>
      </c>
      <c r="C54" s="86"/>
      <c r="D54" s="85"/>
      <c r="E54" s="87"/>
      <c r="F54" s="88"/>
      <c r="G54" s="88"/>
      <c r="H54" s="89"/>
      <c r="I54" s="12"/>
    </row>
    <row r="55" spans="1:9" ht="30" hidden="1">
      <c r="A55" s="24">
        <v>15</v>
      </c>
      <c r="B55" s="85" t="s">
        <v>125</v>
      </c>
      <c r="C55" s="86" t="s">
        <v>90</v>
      </c>
      <c r="D55" s="151" t="s">
        <v>164</v>
      </c>
      <c r="E55" s="87">
        <v>30.6</v>
      </c>
      <c r="F55" s="88">
        <f>SUM(E55*6/100)</f>
        <v>1.8360000000000003</v>
      </c>
      <c r="G55" s="29">
        <v>2029.3</v>
      </c>
      <c r="H55" s="89">
        <f>SUM(F55*G55/1000)</f>
        <v>3.7257948000000005</v>
      </c>
      <c r="I55" s="12">
        <f>G55*0.48</f>
        <v>974.06399999999996</v>
      </c>
    </row>
    <row r="56" spans="1:9" ht="30" hidden="1">
      <c r="A56" s="24">
        <v>16</v>
      </c>
      <c r="B56" s="85" t="s">
        <v>84</v>
      </c>
      <c r="C56" s="86" t="s">
        <v>90</v>
      </c>
      <c r="D56" s="85" t="s">
        <v>85</v>
      </c>
      <c r="E56" s="87">
        <v>39.69</v>
      </c>
      <c r="F56" s="88">
        <f>SUM(E56*12/100)</f>
        <v>4.7627999999999995</v>
      </c>
      <c r="G56" s="29">
        <v>2029.3</v>
      </c>
      <c r="H56" s="89">
        <f>SUM(F56*G56/1000)</f>
        <v>9.6651500399999986</v>
      </c>
      <c r="I56" s="12">
        <f t="shared" ref="I56:I58" si="7">F56/6*G56</f>
        <v>1610.8583399999998</v>
      </c>
    </row>
    <row r="57" spans="1:9" hidden="1">
      <c r="A57" s="24">
        <v>20</v>
      </c>
      <c r="B57" s="98" t="s">
        <v>113</v>
      </c>
      <c r="C57" s="99" t="s">
        <v>114</v>
      </c>
      <c r="D57" s="98" t="s">
        <v>40</v>
      </c>
      <c r="E57" s="100">
        <v>8</v>
      </c>
      <c r="F57" s="101">
        <v>16</v>
      </c>
      <c r="G57" s="29">
        <v>237.1</v>
      </c>
      <c r="H57" s="89">
        <f>SUM(F57*G57/1000)</f>
        <v>3.7936000000000001</v>
      </c>
      <c r="I57" s="12">
        <v>0</v>
      </c>
    </row>
    <row r="58" spans="1:9" ht="21.75" customHeight="1">
      <c r="A58" s="24">
        <v>11</v>
      </c>
      <c r="B58" s="85" t="s">
        <v>115</v>
      </c>
      <c r="C58" s="86" t="s">
        <v>90</v>
      </c>
      <c r="D58" s="85" t="s">
        <v>224</v>
      </c>
      <c r="E58" s="87">
        <v>41.73</v>
      </c>
      <c r="F58" s="88">
        <f>SUM(E58*6/100)</f>
        <v>2.5038</v>
      </c>
      <c r="G58" s="29">
        <v>2029.3</v>
      </c>
      <c r="H58" s="89">
        <f>SUM(F58*G58/1000)</f>
        <v>5.08096134</v>
      </c>
      <c r="I58" s="12">
        <f t="shared" si="7"/>
        <v>846.82688999999993</v>
      </c>
    </row>
    <row r="59" spans="1:9" ht="22.5" hidden="1" customHeight="1">
      <c r="A59" s="24"/>
      <c r="B59" s="98" t="s">
        <v>133</v>
      </c>
      <c r="C59" s="99" t="s">
        <v>31</v>
      </c>
      <c r="D59" s="98" t="s">
        <v>63</v>
      </c>
      <c r="E59" s="100"/>
      <c r="F59" s="101">
        <v>4</v>
      </c>
      <c r="G59" s="29">
        <v>1582.05</v>
      </c>
      <c r="H59" s="89">
        <f>SUM(F59*G59/1000)</f>
        <v>6.3281999999999998</v>
      </c>
      <c r="I59" s="12">
        <v>0</v>
      </c>
    </row>
    <row r="60" spans="1:9">
      <c r="A60" s="24"/>
      <c r="B60" s="120" t="s">
        <v>42</v>
      </c>
      <c r="C60" s="99"/>
      <c r="D60" s="98"/>
      <c r="E60" s="100"/>
      <c r="F60" s="101"/>
      <c r="G60" s="29"/>
      <c r="H60" s="102"/>
      <c r="I60" s="12"/>
    </row>
    <row r="61" spans="1:9" hidden="1">
      <c r="A61" s="24">
        <v>14</v>
      </c>
      <c r="B61" s="98" t="s">
        <v>130</v>
      </c>
      <c r="C61" s="99" t="s">
        <v>50</v>
      </c>
      <c r="D61" s="98" t="s">
        <v>51</v>
      </c>
      <c r="E61" s="100">
        <v>508.73</v>
      </c>
      <c r="F61" s="88">
        <f>SUM(E61/100)</f>
        <v>5.0872999999999999</v>
      </c>
      <c r="G61" s="29">
        <v>1040.8399999999999</v>
      </c>
      <c r="H61" s="102">
        <f>F61*G61/1000</f>
        <v>5.2950653319999992</v>
      </c>
      <c r="I61" s="12">
        <v>0</v>
      </c>
    </row>
    <row r="62" spans="1:9">
      <c r="A62" s="24">
        <v>12</v>
      </c>
      <c r="B62" s="47" t="s">
        <v>87</v>
      </c>
      <c r="C62" s="48" t="s">
        <v>25</v>
      </c>
      <c r="D62" s="47" t="s">
        <v>225</v>
      </c>
      <c r="E62" s="49">
        <v>200</v>
      </c>
      <c r="F62" s="130">
        <f>E62*12</f>
        <v>2400</v>
      </c>
      <c r="G62" s="40">
        <v>1.4</v>
      </c>
      <c r="H62" s="50">
        <f>F62*G62/1000</f>
        <v>3.36</v>
      </c>
      <c r="I62" s="12">
        <f>F62/12*G62</f>
        <v>280</v>
      </c>
    </row>
    <row r="63" spans="1:9" hidden="1">
      <c r="A63" s="24"/>
      <c r="B63" s="121" t="s">
        <v>43</v>
      </c>
      <c r="C63" s="99"/>
      <c r="D63" s="98"/>
      <c r="E63" s="100"/>
      <c r="F63" s="103"/>
      <c r="G63" s="103"/>
      <c r="H63" s="101" t="s">
        <v>129</v>
      </c>
      <c r="I63" s="12"/>
    </row>
    <row r="64" spans="1:9" ht="30" hidden="1">
      <c r="A64" s="24"/>
      <c r="B64" s="105" t="s">
        <v>44</v>
      </c>
      <c r="C64" s="106" t="s">
        <v>86</v>
      </c>
      <c r="D64" s="30" t="s">
        <v>154</v>
      </c>
      <c r="E64" s="15">
        <v>10</v>
      </c>
      <c r="F64" s="88">
        <f>E64</f>
        <v>10</v>
      </c>
      <c r="G64" s="29">
        <v>291.68</v>
      </c>
      <c r="H64" s="75">
        <f t="shared" ref="H64:H80" si="8">SUM(F64*G64/1000)</f>
        <v>2.9168000000000003</v>
      </c>
      <c r="I64" s="12">
        <v>0</v>
      </c>
    </row>
    <row r="65" spans="1:9" ht="30" hidden="1">
      <c r="A65" s="61"/>
      <c r="B65" s="105" t="s">
        <v>45</v>
      </c>
      <c r="C65" s="106" t="s">
        <v>86</v>
      </c>
      <c r="D65" s="30" t="s">
        <v>154</v>
      </c>
      <c r="E65" s="15">
        <v>10</v>
      </c>
      <c r="F65" s="88">
        <f>E65</f>
        <v>10</v>
      </c>
      <c r="G65" s="29">
        <v>100.01</v>
      </c>
      <c r="H65" s="75">
        <f t="shared" si="8"/>
        <v>1.0001</v>
      </c>
      <c r="I65" s="12">
        <v>0</v>
      </c>
    </row>
    <row r="66" spans="1:9" hidden="1">
      <c r="A66" s="24">
        <v>22</v>
      </c>
      <c r="B66" s="105" t="s">
        <v>46</v>
      </c>
      <c r="C66" s="107" t="s">
        <v>116</v>
      </c>
      <c r="D66" s="30" t="s">
        <v>51</v>
      </c>
      <c r="E66" s="87">
        <v>14347</v>
      </c>
      <c r="F66" s="97">
        <f>SUM(E66/100)</f>
        <v>143.47</v>
      </c>
      <c r="G66" s="29">
        <v>278.24</v>
      </c>
      <c r="H66" s="75">
        <f t="shared" si="8"/>
        <v>39.919092800000001</v>
      </c>
      <c r="I66" s="12">
        <v>0</v>
      </c>
    </row>
    <row r="67" spans="1:9" hidden="1">
      <c r="A67" s="62"/>
      <c r="B67" s="105" t="s">
        <v>47</v>
      </c>
      <c r="C67" s="106" t="s">
        <v>117</v>
      </c>
      <c r="D67" s="30"/>
      <c r="E67" s="87">
        <v>14347</v>
      </c>
      <c r="F67" s="29">
        <f>SUM(E67/1000)</f>
        <v>14.347</v>
      </c>
      <c r="G67" s="29">
        <v>216.68</v>
      </c>
      <c r="H67" s="75">
        <f t="shared" si="8"/>
        <v>3.1087079600000003</v>
      </c>
      <c r="I67" s="12">
        <v>0</v>
      </c>
    </row>
    <row r="68" spans="1:9" hidden="1">
      <c r="A68" s="24">
        <v>23</v>
      </c>
      <c r="B68" s="105" t="s">
        <v>48</v>
      </c>
      <c r="C68" s="106" t="s">
        <v>72</v>
      </c>
      <c r="D68" s="30" t="s">
        <v>51</v>
      </c>
      <c r="E68" s="87">
        <v>2244</v>
      </c>
      <c r="F68" s="29">
        <f>SUM(E68/100)</f>
        <v>22.44</v>
      </c>
      <c r="G68" s="29">
        <v>2720.94</v>
      </c>
      <c r="H68" s="75">
        <f t="shared" si="8"/>
        <v>61.0578936</v>
      </c>
      <c r="I68" s="12">
        <v>0</v>
      </c>
    </row>
    <row r="69" spans="1:9" hidden="1">
      <c r="A69" s="24"/>
      <c r="B69" s="108" t="s">
        <v>118</v>
      </c>
      <c r="C69" s="106" t="s">
        <v>32</v>
      </c>
      <c r="D69" s="30"/>
      <c r="E69" s="87">
        <v>12.8</v>
      </c>
      <c r="F69" s="29">
        <f>SUM(E69)</f>
        <v>12.8</v>
      </c>
      <c r="G69" s="29">
        <v>42.61</v>
      </c>
      <c r="H69" s="75">
        <f t="shared" si="8"/>
        <v>0.545408</v>
      </c>
      <c r="I69" s="12">
        <v>0</v>
      </c>
    </row>
    <row r="70" spans="1:9" hidden="1">
      <c r="A70" s="24">
        <v>19</v>
      </c>
      <c r="B70" s="108" t="s">
        <v>119</v>
      </c>
      <c r="C70" s="106" t="s">
        <v>32</v>
      </c>
      <c r="D70" s="30"/>
      <c r="E70" s="87">
        <v>12.8</v>
      </c>
      <c r="F70" s="29">
        <f>SUM(E70)</f>
        <v>12.8</v>
      </c>
      <c r="G70" s="29">
        <v>46.04</v>
      </c>
      <c r="H70" s="75">
        <f t="shared" si="8"/>
        <v>0.58931200000000006</v>
      </c>
      <c r="I70" s="12">
        <v>0</v>
      </c>
    </row>
    <row r="71" spans="1:9" hidden="1">
      <c r="A71" s="24">
        <v>20</v>
      </c>
      <c r="B71" s="30" t="s">
        <v>54</v>
      </c>
      <c r="C71" s="106" t="s">
        <v>55</v>
      </c>
      <c r="D71" s="30" t="s">
        <v>51</v>
      </c>
      <c r="E71" s="15">
        <v>6</v>
      </c>
      <c r="F71" s="29">
        <f>SUM(E71)</f>
        <v>6</v>
      </c>
      <c r="G71" s="29">
        <v>65.42</v>
      </c>
      <c r="H71" s="75">
        <f t="shared" si="8"/>
        <v>0.39251999999999998</v>
      </c>
      <c r="I71" s="12">
        <v>0</v>
      </c>
    </row>
    <row r="72" spans="1:9" hidden="1">
      <c r="A72" s="24"/>
      <c r="B72" s="122" t="s">
        <v>147</v>
      </c>
      <c r="C72" s="106"/>
      <c r="D72" s="30"/>
      <c r="E72" s="15"/>
      <c r="F72" s="104"/>
      <c r="G72" s="29"/>
      <c r="H72" s="75"/>
      <c r="I72" s="12"/>
    </row>
    <row r="73" spans="1:9" ht="30" hidden="1">
      <c r="A73" s="24">
        <v>16</v>
      </c>
      <c r="B73" s="30" t="s">
        <v>148</v>
      </c>
      <c r="C73" s="109" t="s">
        <v>149</v>
      </c>
      <c r="D73" s="30" t="s">
        <v>63</v>
      </c>
      <c r="E73" s="15">
        <v>3181</v>
      </c>
      <c r="F73" s="88">
        <f>SUM(E73)*12</f>
        <v>38172</v>
      </c>
      <c r="G73" s="29">
        <v>2.2799999999999998</v>
      </c>
      <c r="H73" s="75">
        <f t="shared" ref="H73" si="9">SUM(F73*G73/1000)</f>
        <v>87.03215999999999</v>
      </c>
      <c r="I73" s="12">
        <f>F73/12*G73</f>
        <v>7252.6799999999994</v>
      </c>
    </row>
    <row r="74" spans="1:9" hidden="1">
      <c r="A74" s="24"/>
      <c r="B74" s="122" t="s">
        <v>67</v>
      </c>
      <c r="C74" s="106"/>
      <c r="D74" s="30"/>
      <c r="E74" s="15"/>
      <c r="F74" s="29"/>
      <c r="G74" s="29"/>
      <c r="H74" s="75" t="s">
        <v>129</v>
      </c>
      <c r="I74" s="12"/>
    </row>
    <row r="75" spans="1:9" hidden="1">
      <c r="A75" s="24">
        <v>20</v>
      </c>
      <c r="B75" s="30" t="s">
        <v>150</v>
      </c>
      <c r="C75" s="106" t="s">
        <v>30</v>
      </c>
      <c r="D75" s="30" t="s">
        <v>63</v>
      </c>
      <c r="E75" s="15">
        <v>1</v>
      </c>
      <c r="F75" s="88">
        <f t="shared" ref="F75" si="10">E75</f>
        <v>1</v>
      </c>
      <c r="G75" s="29">
        <v>1029.1199999999999</v>
      </c>
      <c r="H75" s="75">
        <f>G75*F75/1000</f>
        <v>1.0291199999999998</v>
      </c>
      <c r="I75" s="12">
        <f>G75*2</f>
        <v>2058.2399999999998</v>
      </c>
    </row>
    <row r="76" spans="1:9" hidden="1">
      <c r="A76" s="24">
        <v>21</v>
      </c>
      <c r="B76" s="30" t="s">
        <v>151</v>
      </c>
      <c r="C76" s="106" t="s">
        <v>152</v>
      </c>
      <c r="D76" s="30" t="s">
        <v>63</v>
      </c>
      <c r="E76" s="15">
        <v>1</v>
      </c>
      <c r="F76" s="29">
        <v>1</v>
      </c>
      <c r="G76" s="29">
        <v>735</v>
      </c>
      <c r="H76" s="75">
        <f t="shared" ref="H76:H78" si="11">SUM(F76*G76/1000)</f>
        <v>0.73499999999999999</v>
      </c>
      <c r="I76" s="12">
        <f>G76*2</f>
        <v>1470</v>
      </c>
    </row>
    <row r="77" spans="1:9" hidden="1">
      <c r="A77" s="24"/>
      <c r="B77" s="30" t="s">
        <v>68</v>
      </c>
      <c r="C77" s="106" t="s">
        <v>70</v>
      </c>
      <c r="D77" s="30" t="s">
        <v>63</v>
      </c>
      <c r="E77" s="15">
        <v>8</v>
      </c>
      <c r="F77" s="29">
        <f>E77/10</f>
        <v>0.8</v>
      </c>
      <c r="G77" s="29">
        <v>657.87</v>
      </c>
      <c r="H77" s="75">
        <f t="shared" si="11"/>
        <v>0.5262960000000001</v>
      </c>
      <c r="I77" s="12">
        <v>0</v>
      </c>
    </row>
    <row r="78" spans="1:9" hidden="1">
      <c r="A78" s="24">
        <v>22</v>
      </c>
      <c r="B78" s="30" t="s">
        <v>69</v>
      </c>
      <c r="C78" s="106" t="s">
        <v>30</v>
      </c>
      <c r="D78" s="30" t="s">
        <v>63</v>
      </c>
      <c r="E78" s="15">
        <v>1</v>
      </c>
      <c r="F78" s="104">
        <v>1</v>
      </c>
      <c r="G78" s="29">
        <v>1118.72</v>
      </c>
      <c r="H78" s="75">
        <f t="shared" si="11"/>
        <v>1.1187199999999999</v>
      </c>
      <c r="I78" s="12">
        <f>G78*10</f>
        <v>11187.2</v>
      </c>
    </row>
    <row r="79" spans="1:9" hidden="1">
      <c r="A79" s="24"/>
      <c r="B79" s="123" t="s">
        <v>71</v>
      </c>
      <c r="C79" s="106"/>
      <c r="D79" s="30"/>
      <c r="E79" s="15"/>
      <c r="F79" s="29"/>
      <c r="G79" s="29" t="s">
        <v>129</v>
      </c>
      <c r="H79" s="75" t="s">
        <v>129</v>
      </c>
      <c r="I79" s="12" t="str">
        <f>G79</f>
        <v xml:space="preserve"> </v>
      </c>
    </row>
    <row r="80" spans="1:9" hidden="1">
      <c r="A80" s="24"/>
      <c r="B80" s="110" t="s">
        <v>122</v>
      </c>
      <c r="C80" s="107" t="s">
        <v>72</v>
      </c>
      <c r="D80" s="105"/>
      <c r="E80" s="111"/>
      <c r="F80" s="97">
        <v>0.6</v>
      </c>
      <c r="G80" s="97">
        <v>3619.09</v>
      </c>
      <c r="H80" s="75">
        <f t="shared" si="8"/>
        <v>2.1714540000000002</v>
      </c>
      <c r="I80" s="12">
        <v>0</v>
      </c>
    </row>
    <row r="81" spans="1:9" ht="28.5" hidden="1">
      <c r="A81" s="24"/>
      <c r="B81" s="136" t="s">
        <v>120</v>
      </c>
      <c r="C81" s="12"/>
      <c r="D81" s="12"/>
      <c r="E81" s="12"/>
      <c r="F81" s="12"/>
      <c r="G81" s="12"/>
      <c r="H81" s="12"/>
      <c r="I81" s="12"/>
    </row>
    <row r="82" spans="1:9" hidden="1">
      <c r="A82" s="61"/>
      <c r="B82" s="98" t="s">
        <v>121</v>
      </c>
      <c r="C82" s="137"/>
      <c r="D82" s="138"/>
      <c r="E82" s="114"/>
      <c r="F82" s="139">
        <v>1</v>
      </c>
      <c r="G82" s="139">
        <v>30235</v>
      </c>
      <c r="H82" s="140">
        <f>G82*F82/1000</f>
        <v>30.234999999999999</v>
      </c>
      <c r="I82" s="59">
        <f>G82</f>
        <v>30235</v>
      </c>
    </row>
    <row r="83" spans="1:9">
      <c r="A83" s="24"/>
      <c r="B83" s="141" t="s">
        <v>147</v>
      </c>
      <c r="C83" s="142"/>
      <c r="D83" s="143"/>
      <c r="E83" s="15"/>
      <c r="F83" s="115"/>
      <c r="G83" s="115"/>
      <c r="H83" s="29"/>
      <c r="I83" s="12"/>
    </row>
    <row r="84" spans="1:9" ht="30">
      <c r="A84" s="24">
        <v>13</v>
      </c>
      <c r="B84" s="30" t="s">
        <v>148</v>
      </c>
      <c r="C84" s="109" t="s">
        <v>149</v>
      </c>
      <c r="D84" s="30"/>
      <c r="E84" s="15"/>
      <c r="F84" s="115"/>
      <c r="G84" s="29">
        <v>2.2799999999999998</v>
      </c>
      <c r="H84" s="29"/>
      <c r="I84" s="12">
        <f>38172/12*G84</f>
        <v>7252.6799999999994</v>
      </c>
    </row>
    <row r="85" spans="1:9">
      <c r="A85" s="201" t="s">
        <v>140</v>
      </c>
      <c r="B85" s="202"/>
      <c r="C85" s="202"/>
      <c r="D85" s="202"/>
      <c r="E85" s="202"/>
      <c r="F85" s="202"/>
      <c r="G85" s="202"/>
      <c r="H85" s="202"/>
      <c r="I85" s="203"/>
    </row>
    <row r="86" spans="1:9">
      <c r="A86" s="61">
        <v>14</v>
      </c>
      <c r="B86" s="85" t="s">
        <v>123</v>
      </c>
      <c r="C86" s="106" t="s">
        <v>52</v>
      </c>
      <c r="D86" s="116"/>
      <c r="E86" s="29">
        <v>3931</v>
      </c>
      <c r="F86" s="29">
        <f>SUM(E86*12)</f>
        <v>47172</v>
      </c>
      <c r="G86" s="29">
        <v>3.1</v>
      </c>
      <c r="H86" s="75">
        <f>SUM(F86*G86/1000)</f>
        <v>146.23320000000001</v>
      </c>
      <c r="I86" s="12">
        <f>F86/12*G86</f>
        <v>12186.1</v>
      </c>
    </row>
    <row r="87" spans="1:9" ht="30">
      <c r="A87" s="24">
        <v>15</v>
      </c>
      <c r="B87" s="30" t="s">
        <v>73</v>
      </c>
      <c r="C87" s="106"/>
      <c r="D87" s="116"/>
      <c r="E87" s="87">
        <f>E86</f>
        <v>3931</v>
      </c>
      <c r="F87" s="29">
        <f>E87*12</f>
        <v>47172</v>
      </c>
      <c r="G87" s="29">
        <v>3.5</v>
      </c>
      <c r="H87" s="75">
        <f>F87*G87/1000</f>
        <v>165.102</v>
      </c>
      <c r="I87" s="12">
        <f>F87/12*G87</f>
        <v>13758.5</v>
      </c>
    </row>
    <row r="88" spans="1:9">
      <c r="A88" s="24"/>
      <c r="B88" s="31" t="s">
        <v>76</v>
      </c>
      <c r="C88" s="57"/>
      <c r="D88" s="56"/>
      <c r="E88" s="46"/>
      <c r="F88" s="46"/>
      <c r="G88" s="46"/>
      <c r="H88" s="58">
        <f>H87</f>
        <v>165.102</v>
      </c>
      <c r="I88" s="46">
        <f>I87+I86+I84+I62+I58+I41+I40+I39+I38+I37+I25+I18+I17+I16+I36</f>
        <v>61243.469815000011</v>
      </c>
    </row>
    <row r="89" spans="1:9">
      <c r="A89" s="190" t="s">
        <v>57</v>
      </c>
      <c r="B89" s="191"/>
      <c r="C89" s="191"/>
      <c r="D89" s="191"/>
      <c r="E89" s="191"/>
      <c r="F89" s="191"/>
      <c r="G89" s="191"/>
      <c r="H89" s="191"/>
      <c r="I89" s="192"/>
    </row>
    <row r="90" spans="1:9" ht="30">
      <c r="A90" s="24">
        <v>16</v>
      </c>
      <c r="B90" s="77" t="s">
        <v>162</v>
      </c>
      <c r="C90" s="78" t="s">
        <v>163</v>
      </c>
      <c r="D90" s="13"/>
      <c r="E90" s="16"/>
      <c r="F90" s="12">
        <v>31</v>
      </c>
      <c r="G90" s="29">
        <v>26095.37</v>
      </c>
      <c r="H90" s="54">
        <f>G90*F90/1000</f>
        <v>808.95646999999997</v>
      </c>
      <c r="I90" s="59">
        <f>G90*0.02</f>
        <v>521.90739999999994</v>
      </c>
    </row>
    <row r="91" spans="1:9">
      <c r="A91" s="24"/>
      <c r="B91" s="60" t="s">
        <v>49</v>
      </c>
      <c r="C91" s="32"/>
      <c r="D91" s="38"/>
      <c r="E91" s="32">
        <v>1</v>
      </c>
      <c r="F91" s="32"/>
      <c r="G91" s="32"/>
      <c r="H91" s="32"/>
      <c r="I91" s="27">
        <f>SUM(I90:I90)</f>
        <v>521.90739999999994</v>
      </c>
    </row>
    <row r="92" spans="1:9">
      <c r="A92" s="24"/>
      <c r="B92" s="37" t="s">
        <v>74</v>
      </c>
      <c r="C92" s="14"/>
      <c r="D92" s="14"/>
      <c r="E92" s="33"/>
      <c r="F92" s="33"/>
      <c r="G92" s="34"/>
      <c r="H92" s="34"/>
      <c r="I92" s="15">
        <v>0</v>
      </c>
    </row>
    <row r="93" spans="1:9">
      <c r="A93" s="39"/>
      <c r="B93" s="36" t="s">
        <v>143</v>
      </c>
      <c r="C93" s="28"/>
      <c r="D93" s="28"/>
      <c r="E93" s="28"/>
      <c r="F93" s="28"/>
      <c r="G93" s="28"/>
      <c r="H93" s="28"/>
      <c r="I93" s="35">
        <f>I88+I91</f>
        <v>61765.377215000008</v>
      </c>
    </row>
    <row r="94" spans="1:9" ht="15.75">
      <c r="A94" s="193" t="s">
        <v>232</v>
      </c>
      <c r="B94" s="193"/>
      <c r="C94" s="193"/>
      <c r="D94" s="193"/>
      <c r="E94" s="193"/>
      <c r="F94" s="193"/>
      <c r="G94" s="193"/>
      <c r="H94" s="193"/>
      <c r="I94" s="193"/>
    </row>
    <row r="95" spans="1:9" ht="15.75">
      <c r="A95" s="68"/>
      <c r="B95" s="194" t="s">
        <v>233</v>
      </c>
      <c r="C95" s="194"/>
      <c r="D95" s="194"/>
      <c r="E95" s="194"/>
      <c r="F95" s="194"/>
      <c r="G95" s="194"/>
      <c r="H95" s="43"/>
      <c r="I95" s="3"/>
    </row>
    <row r="96" spans="1:9">
      <c r="A96" s="134"/>
      <c r="B96" s="195" t="s">
        <v>6</v>
      </c>
      <c r="C96" s="195"/>
      <c r="D96" s="195"/>
      <c r="E96" s="195"/>
      <c r="F96" s="195"/>
      <c r="G96" s="195"/>
      <c r="H96" s="19"/>
      <c r="I96" s="5"/>
    </row>
    <row r="97" spans="1:9">
      <c r="A97" s="9"/>
      <c r="B97" s="9"/>
      <c r="C97" s="9"/>
      <c r="D97" s="9"/>
      <c r="E97" s="9"/>
      <c r="F97" s="9"/>
      <c r="G97" s="9"/>
      <c r="H97" s="9"/>
      <c r="I97" s="9"/>
    </row>
    <row r="98" spans="1:9" ht="15.75">
      <c r="A98" s="196" t="s">
        <v>7</v>
      </c>
      <c r="B98" s="196"/>
      <c r="C98" s="196"/>
      <c r="D98" s="196"/>
      <c r="E98" s="196"/>
      <c r="F98" s="196"/>
      <c r="G98" s="196"/>
      <c r="H98" s="196"/>
      <c r="I98" s="196"/>
    </row>
    <row r="99" spans="1:9" ht="15.75">
      <c r="A99" s="196" t="s">
        <v>8</v>
      </c>
      <c r="B99" s="196"/>
      <c r="C99" s="196"/>
      <c r="D99" s="196"/>
      <c r="E99" s="196"/>
      <c r="F99" s="196"/>
      <c r="G99" s="196"/>
      <c r="H99" s="196"/>
      <c r="I99" s="196"/>
    </row>
    <row r="100" spans="1:9" ht="15.75">
      <c r="A100" s="197" t="s">
        <v>58</v>
      </c>
      <c r="B100" s="197"/>
      <c r="C100" s="197"/>
      <c r="D100" s="197"/>
      <c r="E100" s="197"/>
      <c r="F100" s="197"/>
      <c r="G100" s="197"/>
      <c r="H100" s="197"/>
      <c r="I100" s="197"/>
    </row>
    <row r="101" spans="1:9" ht="15.75">
      <c r="A101" s="10"/>
    </row>
    <row r="102" spans="1:9" ht="15.75">
      <c r="A102" s="198" t="s">
        <v>9</v>
      </c>
      <c r="B102" s="198"/>
      <c r="C102" s="198"/>
      <c r="D102" s="198"/>
      <c r="E102" s="198"/>
      <c r="F102" s="198"/>
      <c r="G102" s="198"/>
      <c r="H102" s="198"/>
      <c r="I102" s="198"/>
    </row>
    <row r="103" spans="1:9" ht="15.75">
      <c r="A103" s="4"/>
    </row>
    <row r="104" spans="1:9" ht="15.75">
      <c r="B104" s="131" t="s">
        <v>10</v>
      </c>
      <c r="C104" s="199" t="s">
        <v>83</v>
      </c>
      <c r="D104" s="199"/>
      <c r="E104" s="199"/>
      <c r="F104" s="41"/>
      <c r="I104" s="133"/>
    </row>
    <row r="105" spans="1:9">
      <c r="A105" s="134"/>
      <c r="C105" s="195" t="s">
        <v>11</v>
      </c>
      <c r="D105" s="195"/>
      <c r="E105" s="195"/>
      <c r="F105" s="19"/>
      <c r="I105" s="132" t="s">
        <v>12</v>
      </c>
    </row>
    <row r="106" spans="1:9" ht="15.75">
      <c r="A106" s="20"/>
      <c r="C106" s="11"/>
      <c r="D106" s="11"/>
      <c r="G106" s="11"/>
      <c r="H106" s="11"/>
    </row>
    <row r="107" spans="1:9" ht="15.75">
      <c r="B107" s="131" t="s">
        <v>13</v>
      </c>
      <c r="C107" s="200"/>
      <c r="D107" s="200"/>
      <c r="E107" s="200"/>
      <c r="F107" s="42"/>
      <c r="I107" s="133"/>
    </row>
    <row r="108" spans="1:9">
      <c r="A108" s="134"/>
      <c r="C108" s="189" t="s">
        <v>11</v>
      </c>
      <c r="D108" s="189"/>
      <c r="E108" s="189"/>
      <c r="F108" s="134"/>
      <c r="I108" s="132" t="s">
        <v>12</v>
      </c>
    </row>
    <row r="109" spans="1:9" ht="15.75">
      <c r="A109" s="4" t="s">
        <v>14</v>
      </c>
    </row>
    <row r="110" spans="1:9">
      <c r="A110" s="186" t="s">
        <v>15</v>
      </c>
      <c r="B110" s="186"/>
      <c r="C110" s="186"/>
      <c r="D110" s="186"/>
      <c r="E110" s="186"/>
      <c r="F110" s="186"/>
      <c r="G110" s="186"/>
      <c r="H110" s="186"/>
      <c r="I110" s="186"/>
    </row>
    <row r="111" spans="1:9" ht="45.75" customHeight="1">
      <c r="A111" s="187" t="s">
        <v>16</v>
      </c>
      <c r="B111" s="187"/>
      <c r="C111" s="187"/>
      <c r="D111" s="187"/>
      <c r="E111" s="187"/>
      <c r="F111" s="187"/>
      <c r="G111" s="187"/>
      <c r="H111" s="187"/>
      <c r="I111" s="187"/>
    </row>
    <row r="112" spans="1:9" ht="38.25" customHeight="1">
      <c r="A112" s="187" t="s">
        <v>17</v>
      </c>
      <c r="B112" s="187"/>
      <c r="C112" s="187"/>
      <c r="D112" s="187"/>
      <c r="E112" s="187"/>
      <c r="F112" s="187"/>
      <c r="G112" s="187"/>
      <c r="H112" s="187"/>
      <c r="I112" s="187"/>
    </row>
    <row r="113" spans="1:9" ht="33.75" customHeight="1">
      <c r="A113" s="187" t="s">
        <v>21</v>
      </c>
      <c r="B113" s="187"/>
      <c r="C113" s="187"/>
      <c r="D113" s="187"/>
      <c r="E113" s="187"/>
      <c r="F113" s="187"/>
      <c r="G113" s="187"/>
      <c r="H113" s="187"/>
      <c r="I113" s="187"/>
    </row>
    <row r="114" spans="1:9" ht="15.75">
      <c r="A114" s="187" t="s">
        <v>20</v>
      </c>
      <c r="B114" s="187"/>
      <c r="C114" s="187"/>
      <c r="D114" s="187"/>
      <c r="E114" s="187"/>
      <c r="F114" s="187"/>
      <c r="G114" s="187"/>
      <c r="H114" s="187"/>
      <c r="I114" s="187"/>
    </row>
  </sheetData>
  <mergeCells count="28">
    <mergeCell ref="A14:I14"/>
    <mergeCell ref="A3:I3"/>
    <mergeCell ref="A4:I4"/>
    <mergeCell ref="A5:I5"/>
    <mergeCell ref="A8:I8"/>
    <mergeCell ref="A10:I10"/>
    <mergeCell ref="A100:I100"/>
    <mergeCell ref="A15:I15"/>
    <mergeCell ref="A26:I26"/>
    <mergeCell ref="A42:I42"/>
    <mergeCell ref="A53:I53"/>
    <mergeCell ref="A85:I85"/>
    <mergeCell ref="A89:I89"/>
    <mergeCell ref="A94:I94"/>
    <mergeCell ref="B95:G95"/>
    <mergeCell ref="B96:G96"/>
    <mergeCell ref="A98:I98"/>
    <mergeCell ref="A99:I99"/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</mergeCells>
  <pageMargins left="0.7" right="0.7" top="0.75" bottom="0.75" header="0.3" footer="0.3"/>
  <pageSetup paperSize="9" scale="6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16"/>
  <sheetViews>
    <sheetView workbookViewId="0">
      <selection activeCell="I99" sqref="I99"/>
    </sheetView>
  </sheetViews>
  <sheetFormatPr defaultRowHeight="15"/>
  <cols>
    <col min="1" max="1" width="10" customWidth="1"/>
    <col min="2" max="2" width="50.5703125" customWidth="1"/>
    <col min="3" max="3" width="18.28515625" customWidth="1"/>
    <col min="4" max="4" width="18" customWidth="1"/>
    <col min="5" max="5" width="0" hidden="1" customWidth="1"/>
    <col min="6" max="6" width="11.85546875" hidden="1" customWidth="1"/>
    <col min="7" max="7" width="18.28515625" customWidth="1"/>
    <col min="8" max="8" width="9.28515625" hidden="1" customWidth="1"/>
    <col min="9" max="9" width="18.7109375" customWidth="1"/>
  </cols>
  <sheetData>
    <row r="1" spans="1:9" ht="15.75">
      <c r="A1" s="22" t="s">
        <v>171</v>
      </c>
      <c r="I1" s="21"/>
    </row>
    <row r="2" spans="1:9" ht="15.75">
      <c r="A2" s="23" t="s">
        <v>59</v>
      </c>
    </row>
    <row r="3" spans="1:9" ht="15.75">
      <c r="A3" s="204" t="s">
        <v>166</v>
      </c>
      <c r="B3" s="204"/>
      <c r="C3" s="204"/>
      <c r="D3" s="204"/>
      <c r="E3" s="204"/>
      <c r="F3" s="204"/>
      <c r="G3" s="204"/>
      <c r="H3" s="204"/>
      <c r="I3" s="204"/>
    </row>
    <row r="4" spans="1:9" ht="32.25" customHeight="1">
      <c r="A4" s="205" t="s">
        <v>124</v>
      </c>
      <c r="B4" s="205"/>
      <c r="C4" s="205"/>
      <c r="D4" s="205"/>
      <c r="E4" s="205"/>
      <c r="F4" s="205"/>
      <c r="G4" s="205"/>
      <c r="H4" s="205"/>
      <c r="I4" s="205"/>
    </row>
    <row r="5" spans="1:9" ht="15.75">
      <c r="A5" s="204" t="s">
        <v>209</v>
      </c>
      <c r="B5" s="206"/>
      <c r="C5" s="206"/>
      <c r="D5" s="206"/>
      <c r="E5" s="206"/>
      <c r="F5" s="206"/>
      <c r="G5" s="206"/>
      <c r="H5" s="206"/>
      <c r="I5" s="206"/>
    </row>
    <row r="6" spans="1:9" ht="15.75">
      <c r="A6" s="2"/>
      <c r="B6" s="149"/>
      <c r="C6" s="149"/>
      <c r="D6" s="149"/>
      <c r="E6" s="149"/>
      <c r="F6" s="149"/>
      <c r="G6" s="149"/>
      <c r="H6" s="149"/>
      <c r="I6" s="25">
        <v>43616</v>
      </c>
    </row>
    <row r="7" spans="1:9" ht="15.75">
      <c r="B7" s="147"/>
      <c r="C7" s="147"/>
      <c r="D7" s="147"/>
      <c r="E7" s="3"/>
      <c r="F7" s="3"/>
      <c r="G7" s="3"/>
      <c r="H7" s="3"/>
    </row>
    <row r="8" spans="1:9" ht="82.5" customHeight="1">
      <c r="A8" s="207" t="s">
        <v>175</v>
      </c>
      <c r="B8" s="207"/>
      <c r="C8" s="207"/>
      <c r="D8" s="207"/>
      <c r="E8" s="207"/>
      <c r="F8" s="207"/>
      <c r="G8" s="207"/>
      <c r="H8" s="207"/>
      <c r="I8" s="207"/>
    </row>
    <row r="9" spans="1:9" ht="15.75">
      <c r="A9" s="4"/>
    </row>
    <row r="10" spans="1:9" ht="74.25" customHeight="1">
      <c r="A10" s="208" t="s">
        <v>158</v>
      </c>
      <c r="B10" s="208"/>
      <c r="C10" s="208"/>
      <c r="D10" s="208"/>
      <c r="E10" s="208"/>
      <c r="F10" s="208"/>
      <c r="G10" s="208"/>
      <c r="H10" s="208"/>
      <c r="I10" s="208"/>
    </row>
    <row r="11" spans="1:9" ht="15.75">
      <c r="A11" s="4"/>
    </row>
    <row r="12" spans="1:9" ht="76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9" t="s">
        <v>56</v>
      </c>
      <c r="B14" s="209"/>
      <c r="C14" s="209"/>
      <c r="D14" s="209"/>
      <c r="E14" s="209"/>
      <c r="F14" s="209"/>
      <c r="G14" s="209"/>
      <c r="H14" s="209"/>
      <c r="I14" s="209"/>
    </row>
    <row r="15" spans="1:9">
      <c r="A15" s="210" t="s">
        <v>4</v>
      </c>
      <c r="B15" s="210"/>
      <c r="C15" s="210"/>
      <c r="D15" s="210"/>
      <c r="E15" s="210"/>
      <c r="F15" s="210"/>
      <c r="G15" s="210"/>
      <c r="H15" s="210"/>
      <c r="I15" s="210"/>
    </row>
    <row r="16" spans="1:9" ht="18" customHeight="1">
      <c r="A16" s="24">
        <v>1</v>
      </c>
      <c r="B16" s="85" t="s">
        <v>81</v>
      </c>
      <c r="C16" s="86" t="s">
        <v>90</v>
      </c>
      <c r="D16" s="85" t="s">
        <v>217</v>
      </c>
      <c r="E16" s="87">
        <v>95.04</v>
      </c>
      <c r="F16" s="158">
        <f>SUM(E16*156/100)</f>
        <v>148.26240000000001</v>
      </c>
      <c r="G16" s="88">
        <v>230</v>
      </c>
      <c r="H16" s="89">
        <f t="shared" ref="H16:H24" si="0">SUM(F16*G16/1000)</f>
        <v>34.100352000000008</v>
      </c>
      <c r="I16" s="12">
        <f>F16/12*G16</f>
        <v>2841.6960000000004</v>
      </c>
    </row>
    <row r="17" spans="1:9" ht="21" customHeight="1">
      <c r="A17" s="24">
        <v>2</v>
      </c>
      <c r="B17" s="85" t="s">
        <v>88</v>
      </c>
      <c r="C17" s="86" t="s">
        <v>90</v>
      </c>
      <c r="D17" s="85" t="s">
        <v>218</v>
      </c>
      <c r="E17" s="87">
        <v>380.16</v>
      </c>
      <c r="F17" s="15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</row>
    <row r="18" spans="1:9" ht="18.75" customHeight="1">
      <c r="A18" s="24">
        <v>3</v>
      </c>
      <c r="B18" s="85" t="s">
        <v>89</v>
      </c>
      <c r="C18" s="86" t="s">
        <v>90</v>
      </c>
      <c r="D18" s="85" t="s">
        <v>219</v>
      </c>
      <c r="E18" s="87">
        <f>SUM(E16+E17)</f>
        <v>475.20000000000005</v>
      </c>
      <c r="F18" s="15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</row>
    <row r="19" spans="1:9" ht="19.5" customHeight="1">
      <c r="A19" s="24">
        <v>4</v>
      </c>
      <c r="B19" s="85" t="s">
        <v>91</v>
      </c>
      <c r="C19" s="86" t="s">
        <v>92</v>
      </c>
      <c r="D19" s="85" t="s">
        <v>234</v>
      </c>
      <c r="E19" s="87">
        <v>57.6</v>
      </c>
      <c r="F19" s="158">
        <f>SUM(E19/10)</f>
        <v>5.76</v>
      </c>
      <c r="G19" s="88">
        <v>223.17</v>
      </c>
      <c r="H19" s="89">
        <f t="shared" si="0"/>
        <v>1.2854591999999998</v>
      </c>
      <c r="I19" s="12">
        <f>F19*G19</f>
        <v>1285.4591999999998</v>
      </c>
    </row>
    <row r="20" spans="1:9">
      <c r="A20" s="24">
        <v>5</v>
      </c>
      <c r="B20" s="85" t="s">
        <v>94</v>
      </c>
      <c r="C20" s="86" t="s">
        <v>90</v>
      </c>
      <c r="D20" s="85" t="s">
        <v>224</v>
      </c>
      <c r="E20" s="87">
        <v>43.2</v>
      </c>
      <c r="F20" s="158">
        <f>SUM(E20*2/100)</f>
        <v>0.8640000000000001</v>
      </c>
      <c r="G20" s="88">
        <v>285.76</v>
      </c>
      <c r="H20" s="89">
        <f t="shared" si="0"/>
        <v>0.24689664000000003</v>
      </c>
      <c r="I20" s="12">
        <f>F20/2*G20</f>
        <v>123.44832000000001</v>
      </c>
    </row>
    <row r="21" spans="1:9">
      <c r="A21" s="24">
        <v>6</v>
      </c>
      <c r="B21" s="85" t="s">
        <v>95</v>
      </c>
      <c r="C21" s="86" t="s">
        <v>90</v>
      </c>
      <c r="D21" s="85" t="s">
        <v>224</v>
      </c>
      <c r="E21" s="87">
        <v>10.08</v>
      </c>
      <c r="F21" s="158">
        <f>SUM(E21*2/100)</f>
        <v>0.2016</v>
      </c>
      <c r="G21" s="88">
        <v>283.44</v>
      </c>
      <c r="H21" s="89">
        <f t="shared" si="0"/>
        <v>5.7141503999999996E-2</v>
      </c>
      <c r="I21" s="12">
        <f>F21/2*G21</f>
        <v>28.570751999999999</v>
      </c>
    </row>
    <row r="22" spans="1:9">
      <c r="A22" s="24">
        <v>7</v>
      </c>
      <c r="B22" s="85" t="s">
        <v>96</v>
      </c>
      <c r="C22" s="86" t="s">
        <v>50</v>
      </c>
      <c r="D22" s="85" t="s">
        <v>235</v>
      </c>
      <c r="E22" s="87">
        <v>642.6</v>
      </c>
      <c r="F22" s="158">
        <f>SUM(E22/100)</f>
        <v>6.4260000000000002</v>
      </c>
      <c r="G22" s="88">
        <v>353.14</v>
      </c>
      <c r="H22" s="89">
        <f t="shared" si="0"/>
        <v>2.2692776399999999</v>
      </c>
      <c r="I22" s="12">
        <f>F22*G22</f>
        <v>2269.2776399999998</v>
      </c>
    </row>
    <row r="23" spans="1:9">
      <c r="A23" s="24">
        <v>8</v>
      </c>
      <c r="B23" s="85" t="s">
        <v>97</v>
      </c>
      <c r="C23" s="86" t="s">
        <v>50</v>
      </c>
      <c r="D23" s="85" t="s">
        <v>236</v>
      </c>
      <c r="E23" s="90">
        <v>35.28</v>
      </c>
      <c r="F23" s="158">
        <f>SUM(E23/100)</f>
        <v>0.3528</v>
      </c>
      <c r="G23" s="88">
        <v>58.08</v>
      </c>
      <c r="H23" s="89">
        <f t="shared" si="0"/>
        <v>2.0490623999999999E-2</v>
      </c>
      <c r="I23" s="12">
        <f>F23*G23</f>
        <v>20.490624</v>
      </c>
    </row>
    <row r="24" spans="1:9">
      <c r="A24" s="24">
        <v>9</v>
      </c>
      <c r="B24" s="85" t="s">
        <v>98</v>
      </c>
      <c r="C24" s="86" t="s">
        <v>50</v>
      </c>
      <c r="D24" s="85" t="s">
        <v>235</v>
      </c>
      <c r="E24" s="87">
        <v>28.8</v>
      </c>
      <c r="F24" s="158">
        <f>SUM(E24/100)</f>
        <v>0.28800000000000003</v>
      </c>
      <c r="G24" s="88">
        <v>683.05</v>
      </c>
      <c r="H24" s="89">
        <f t="shared" si="0"/>
        <v>0.19671840000000002</v>
      </c>
      <c r="I24" s="12">
        <f>F24*G24</f>
        <v>196.7184</v>
      </c>
    </row>
    <row r="25" spans="1:9" ht="17.25" customHeight="1">
      <c r="A25" s="24">
        <v>10</v>
      </c>
      <c r="B25" s="85" t="s">
        <v>216</v>
      </c>
      <c r="C25" s="86" t="s">
        <v>25</v>
      </c>
      <c r="D25" s="85" t="s">
        <v>220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</row>
    <row r="26" spans="1:9">
      <c r="A26" s="211" t="s">
        <v>153</v>
      </c>
      <c r="B26" s="212"/>
      <c r="C26" s="212"/>
      <c r="D26" s="212"/>
      <c r="E26" s="212"/>
      <c r="F26" s="212"/>
      <c r="G26" s="212"/>
      <c r="H26" s="212"/>
      <c r="I26" s="213"/>
    </row>
    <row r="27" spans="1:9" ht="20.25" customHeight="1">
      <c r="A27" s="24"/>
      <c r="B27" s="119" t="s">
        <v>28</v>
      </c>
      <c r="C27" s="86"/>
      <c r="D27" s="85"/>
      <c r="E27" s="87"/>
      <c r="F27" s="88"/>
      <c r="G27" s="88"/>
      <c r="H27" s="89"/>
      <c r="I27" s="12"/>
    </row>
    <row r="28" spans="1:9" ht="18.75" customHeight="1">
      <c r="A28" s="24">
        <v>11</v>
      </c>
      <c r="B28" s="85" t="s">
        <v>99</v>
      </c>
      <c r="C28" s="86" t="s">
        <v>100</v>
      </c>
      <c r="D28" s="85" t="s">
        <v>218</v>
      </c>
      <c r="E28" s="88">
        <v>271.95</v>
      </c>
      <c r="F28" s="88">
        <f>SUM(E28*52/1000)</f>
        <v>14.141399999999999</v>
      </c>
      <c r="G28" s="88">
        <v>204.44</v>
      </c>
      <c r="H28" s="89">
        <f t="shared" ref="H28:H33" si="2">SUM(F28*G28/1000)</f>
        <v>2.8910678159999996</v>
      </c>
      <c r="I28" s="12">
        <f>F28/6*G28</f>
        <v>481.84463599999998</v>
      </c>
    </row>
    <row r="29" spans="1:9" ht="43.5" customHeight="1">
      <c r="A29" s="24">
        <v>12</v>
      </c>
      <c r="B29" s="85" t="s">
        <v>134</v>
      </c>
      <c r="C29" s="86" t="s">
        <v>100</v>
      </c>
      <c r="D29" s="85" t="s">
        <v>218</v>
      </c>
      <c r="E29" s="88">
        <v>83.7</v>
      </c>
      <c r="F29" s="88">
        <f>SUM(E29*52/1000)</f>
        <v>4.3524000000000003</v>
      </c>
      <c r="G29" s="88">
        <v>339.21</v>
      </c>
      <c r="H29" s="89">
        <f t="shared" si="2"/>
        <v>1.4763776040000001</v>
      </c>
      <c r="I29" s="12">
        <f t="shared" ref="I29:I38" si="3">F29/6*G29</f>
        <v>246.06293400000001</v>
      </c>
    </row>
    <row r="30" spans="1:9" ht="20.25" customHeight="1">
      <c r="A30" s="24">
        <v>13</v>
      </c>
      <c r="B30" s="85" t="s">
        <v>27</v>
      </c>
      <c r="C30" s="86" t="s">
        <v>100</v>
      </c>
      <c r="D30" s="85" t="s">
        <v>224</v>
      </c>
      <c r="E30" s="88">
        <v>271.95</v>
      </c>
      <c r="F30" s="88">
        <f>SUM(E30/1000)</f>
        <v>0.27194999999999997</v>
      </c>
      <c r="G30" s="88">
        <v>3961.23</v>
      </c>
      <c r="H30" s="89">
        <f t="shared" si="2"/>
        <v>1.0772564984999999</v>
      </c>
      <c r="I30" s="12">
        <f>F30*G30</f>
        <v>1077.2564984999999</v>
      </c>
    </row>
    <row r="31" spans="1:9" ht="16.5" customHeight="1">
      <c r="A31" s="24">
        <v>14</v>
      </c>
      <c r="B31" s="85" t="s">
        <v>102</v>
      </c>
      <c r="C31" s="86" t="s">
        <v>38</v>
      </c>
      <c r="D31" s="85" t="s">
        <v>218</v>
      </c>
      <c r="E31" s="88">
        <v>6</v>
      </c>
      <c r="F31" s="88">
        <f>SUM(E31*48/100)</f>
        <v>2.88</v>
      </c>
      <c r="G31" s="88">
        <v>1707.63</v>
      </c>
      <c r="H31" s="89">
        <f>G31*F31/1000</f>
        <v>4.9179744000000003</v>
      </c>
      <c r="I31" s="12">
        <f t="shared" si="3"/>
        <v>819.66240000000005</v>
      </c>
    </row>
    <row r="32" spans="1:9" ht="27.75" hidden="1" customHeight="1">
      <c r="A32" s="24">
        <v>6</v>
      </c>
      <c r="B32" s="85" t="s">
        <v>61</v>
      </c>
      <c r="C32" s="86" t="s">
        <v>32</v>
      </c>
      <c r="D32" s="85" t="s">
        <v>63</v>
      </c>
      <c r="E32" s="87"/>
      <c r="F32" s="88">
        <v>2</v>
      </c>
      <c r="G32" s="88">
        <v>250.92</v>
      </c>
      <c r="H32" s="89">
        <f t="shared" si="2"/>
        <v>0.50183999999999995</v>
      </c>
      <c r="I32" s="12">
        <v>0</v>
      </c>
    </row>
    <row r="33" spans="1:9" hidden="1">
      <c r="A33" s="24">
        <v>7</v>
      </c>
      <c r="B33" s="85" t="s">
        <v>62</v>
      </c>
      <c r="C33" s="86" t="s">
        <v>31</v>
      </c>
      <c r="D33" s="85" t="s">
        <v>63</v>
      </c>
      <c r="E33" s="87"/>
      <c r="F33" s="88">
        <v>1</v>
      </c>
      <c r="G33" s="88">
        <v>1490.33</v>
      </c>
      <c r="H33" s="89">
        <f t="shared" si="2"/>
        <v>1.4903299999999999</v>
      </c>
      <c r="I33" s="12">
        <v>0</v>
      </c>
    </row>
    <row r="34" spans="1:9" hidden="1">
      <c r="A34" s="24"/>
      <c r="B34" s="118" t="s">
        <v>5</v>
      </c>
      <c r="C34" s="86"/>
      <c r="D34" s="85"/>
      <c r="E34" s="87"/>
      <c r="F34" s="88"/>
      <c r="G34" s="88"/>
      <c r="H34" s="89" t="s">
        <v>129</v>
      </c>
      <c r="I34" s="12"/>
    </row>
    <row r="35" spans="1:9" hidden="1">
      <c r="A35" s="24">
        <v>6</v>
      </c>
      <c r="B35" s="94" t="s">
        <v>26</v>
      </c>
      <c r="C35" s="86" t="s">
        <v>31</v>
      </c>
      <c r="D35" s="85"/>
      <c r="E35" s="87"/>
      <c r="F35" s="88">
        <v>5</v>
      </c>
      <c r="G35" s="88">
        <v>2003</v>
      </c>
      <c r="H35" s="89">
        <f t="shared" ref="H35:H40" si="4">SUM(F35*G35/1000)</f>
        <v>10.015000000000001</v>
      </c>
      <c r="I35" s="12">
        <f t="shared" si="3"/>
        <v>1669.1666666666667</v>
      </c>
    </row>
    <row r="36" spans="1:9" hidden="1">
      <c r="A36" s="24">
        <v>7</v>
      </c>
      <c r="B36" s="94" t="s">
        <v>146</v>
      </c>
      <c r="C36" s="95" t="s">
        <v>29</v>
      </c>
      <c r="D36" s="85" t="s">
        <v>104</v>
      </c>
      <c r="E36" s="87">
        <v>83.7</v>
      </c>
      <c r="F36" s="96">
        <f>E36*30/1000</f>
        <v>2.5110000000000001</v>
      </c>
      <c r="G36" s="88">
        <v>2757.78</v>
      </c>
      <c r="H36" s="89">
        <f t="shared" si="4"/>
        <v>6.9247855800000009</v>
      </c>
      <c r="I36" s="12">
        <f t="shared" si="3"/>
        <v>1154.1309300000003</v>
      </c>
    </row>
    <row r="37" spans="1:9" ht="30" hidden="1">
      <c r="A37" s="24">
        <v>8</v>
      </c>
      <c r="B37" s="85" t="s">
        <v>64</v>
      </c>
      <c r="C37" s="86" t="s">
        <v>29</v>
      </c>
      <c r="D37" s="85" t="s">
        <v>105</v>
      </c>
      <c r="E37" s="88">
        <v>83.7</v>
      </c>
      <c r="F37" s="96">
        <f>SUM(E37*155/1000)</f>
        <v>12.9735</v>
      </c>
      <c r="G37" s="88">
        <v>460.02</v>
      </c>
      <c r="H37" s="89">
        <f t="shared" si="4"/>
        <v>5.9680694699999997</v>
      </c>
      <c r="I37" s="12">
        <f t="shared" si="3"/>
        <v>994.67824499999983</v>
      </c>
    </row>
    <row r="38" spans="1:9" ht="60" hidden="1">
      <c r="A38" s="24">
        <v>9</v>
      </c>
      <c r="B38" s="85" t="s">
        <v>79</v>
      </c>
      <c r="C38" s="86" t="s">
        <v>100</v>
      </c>
      <c r="D38" s="85" t="s">
        <v>104</v>
      </c>
      <c r="E38" s="88">
        <v>83.7</v>
      </c>
      <c r="F38" s="96">
        <f>SUM(E38*30/1000)</f>
        <v>2.5110000000000001</v>
      </c>
      <c r="G38" s="88">
        <v>7611.16</v>
      </c>
      <c r="H38" s="89">
        <f t="shared" si="4"/>
        <v>19.111622760000003</v>
      </c>
      <c r="I38" s="12">
        <f t="shared" si="3"/>
        <v>3185.2704600000002</v>
      </c>
    </row>
    <row r="39" spans="1:9" hidden="1">
      <c r="A39" s="24">
        <v>10</v>
      </c>
      <c r="B39" s="85" t="s">
        <v>107</v>
      </c>
      <c r="C39" s="86" t="s">
        <v>100</v>
      </c>
      <c r="D39" s="85" t="s">
        <v>106</v>
      </c>
      <c r="E39" s="88">
        <v>83.7</v>
      </c>
      <c r="F39" s="96">
        <f>SUM(E39*24/1000)</f>
        <v>2.0088000000000004</v>
      </c>
      <c r="G39" s="88">
        <v>562.25</v>
      </c>
      <c r="H39" s="89">
        <f t="shared" si="4"/>
        <v>1.1294478000000001</v>
      </c>
      <c r="I39" s="12">
        <f>(F39/7.5*1.5)*G39</f>
        <v>225.88956000000002</v>
      </c>
    </row>
    <row r="40" spans="1:9" hidden="1">
      <c r="A40" s="24">
        <v>11</v>
      </c>
      <c r="B40" s="94" t="s">
        <v>65</v>
      </c>
      <c r="C40" s="95" t="s">
        <v>32</v>
      </c>
      <c r="D40" s="94"/>
      <c r="E40" s="92"/>
      <c r="F40" s="96">
        <v>0.9</v>
      </c>
      <c r="G40" s="96">
        <v>974.83</v>
      </c>
      <c r="H40" s="89">
        <f t="shared" si="4"/>
        <v>0.8773470000000001</v>
      </c>
      <c r="I40" s="12">
        <f>(F40/7.5*1.5)*G40</f>
        <v>175.46940000000004</v>
      </c>
    </row>
    <row r="41" spans="1:9">
      <c r="A41" s="211" t="s">
        <v>135</v>
      </c>
      <c r="B41" s="212"/>
      <c r="C41" s="212"/>
      <c r="D41" s="212"/>
      <c r="E41" s="212"/>
      <c r="F41" s="212"/>
      <c r="G41" s="212"/>
      <c r="H41" s="212"/>
      <c r="I41" s="213"/>
    </row>
    <row r="42" spans="1:9" ht="17.25" customHeight="1">
      <c r="A42" s="24">
        <v>15</v>
      </c>
      <c r="B42" s="85" t="s">
        <v>108</v>
      </c>
      <c r="C42" s="86" t="s">
        <v>100</v>
      </c>
      <c r="D42" s="85" t="s">
        <v>224</v>
      </c>
      <c r="E42" s="87">
        <v>1032.5</v>
      </c>
      <c r="F42" s="88">
        <f>SUM(E42*2/1000)</f>
        <v>2.0649999999999999</v>
      </c>
      <c r="G42" s="29">
        <v>1114.1300000000001</v>
      </c>
      <c r="H42" s="89">
        <f t="shared" ref="H42:H51" si="5">SUM(F42*G42/1000)</f>
        <v>2.3006784500000004</v>
      </c>
      <c r="I42" s="12">
        <f>F42/2*G42</f>
        <v>1150.3392250000002</v>
      </c>
    </row>
    <row r="43" spans="1:9" ht="19.5" customHeight="1">
      <c r="A43" s="24">
        <v>16</v>
      </c>
      <c r="B43" s="85" t="s">
        <v>33</v>
      </c>
      <c r="C43" s="86" t="s">
        <v>100</v>
      </c>
      <c r="D43" s="85" t="s">
        <v>224</v>
      </c>
      <c r="E43" s="87">
        <v>132</v>
      </c>
      <c r="F43" s="88">
        <f>E43*2/1000</f>
        <v>0.26400000000000001</v>
      </c>
      <c r="G43" s="29">
        <v>4419.05</v>
      </c>
      <c r="H43" s="89">
        <f t="shared" si="5"/>
        <v>1.1666292</v>
      </c>
      <c r="I43" s="12">
        <f t="shared" ref="I43:I49" si="6">F43/2*G43</f>
        <v>583.31460000000004</v>
      </c>
    </row>
    <row r="44" spans="1:9" ht="18" customHeight="1">
      <c r="A44" s="24">
        <v>17</v>
      </c>
      <c r="B44" s="85" t="s">
        <v>34</v>
      </c>
      <c r="C44" s="86" t="s">
        <v>100</v>
      </c>
      <c r="D44" s="85" t="s">
        <v>224</v>
      </c>
      <c r="E44" s="87">
        <v>4248.22</v>
      </c>
      <c r="F44" s="88">
        <f>SUM(E44*2/1000)</f>
        <v>8.4964399999999998</v>
      </c>
      <c r="G44" s="29">
        <v>1803.69</v>
      </c>
      <c r="H44" s="89">
        <f t="shared" si="5"/>
        <v>15.3249438636</v>
      </c>
      <c r="I44" s="12">
        <f t="shared" si="6"/>
        <v>7662.4719317999998</v>
      </c>
    </row>
    <row r="45" spans="1:9" ht="20.25" customHeight="1">
      <c r="A45" s="24">
        <v>18</v>
      </c>
      <c r="B45" s="85" t="s">
        <v>35</v>
      </c>
      <c r="C45" s="86" t="s">
        <v>100</v>
      </c>
      <c r="D45" s="85" t="s">
        <v>224</v>
      </c>
      <c r="E45" s="87">
        <v>2163.66</v>
      </c>
      <c r="F45" s="88">
        <f>SUM(E45*2/1000)</f>
        <v>4.3273199999999994</v>
      </c>
      <c r="G45" s="29">
        <v>1243.43</v>
      </c>
      <c r="H45" s="89">
        <f t="shared" si="5"/>
        <v>5.3807195075999994</v>
      </c>
      <c r="I45" s="12">
        <f t="shared" si="6"/>
        <v>2690.3597537999999</v>
      </c>
    </row>
    <row r="46" spans="1:9" ht="17.25" customHeight="1">
      <c r="A46" s="24">
        <v>19</v>
      </c>
      <c r="B46" s="85" t="s">
        <v>53</v>
      </c>
      <c r="C46" s="86" t="s">
        <v>100</v>
      </c>
      <c r="D46" s="85" t="s">
        <v>224</v>
      </c>
      <c r="E46" s="87">
        <v>3931</v>
      </c>
      <c r="F46" s="88">
        <f>SUM(E46*5/1000)</f>
        <v>19.655000000000001</v>
      </c>
      <c r="G46" s="29">
        <v>1083.69</v>
      </c>
      <c r="H46" s="89">
        <f t="shared" si="5"/>
        <v>21.29992695</v>
      </c>
      <c r="I46" s="12">
        <f>F46/5*G46</f>
        <v>4259.9853899999998</v>
      </c>
    </row>
    <row r="47" spans="1:9" ht="48" customHeight="1">
      <c r="A47" s="24">
        <v>20</v>
      </c>
      <c r="B47" s="85" t="s">
        <v>109</v>
      </c>
      <c r="C47" s="86" t="s">
        <v>100</v>
      </c>
      <c r="D47" s="85" t="s">
        <v>224</v>
      </c>
      <c r="E47" s="87">
        <v>3931</v>
      </c>
      <c r="F47" s="88">
        <f>SUM(E47*2/1000)</f>
        <v>7.8620000000000001</v>
      </c>
      <c r="G47" s="29">
        <v>1591.6</v>
      </c>
      <c r="H47" s="89">
        <f t="shared" si="5"/>
        <v>12.5131592</v>
      </c>
      <c r="I47" s="12">
        <f t="shared" si="6"/>
        <v>6256.5796</v>
      </c>
    </row>
    <row r="48" spans="1:9" ht="36" customHeight="1">
      <c r="A48" s="24">
        <v>21</v>
      </c>
      <c r="B48" s="85" t="s">
        <v>110</v>
      </c>
      <c r="C48" s="86" t="s">
        <v>36</v>
      </c>
      <c r="D48" s="85" t="s">
        <v>224</v>
      </c>
      <c r="E48" s="87">
        <v>30</v>
      </c>
      <c r="F48" s="88">
        <f>SUM(E48*2/100)</f>
        <v>0.6</v>
      </c>
      <c r="G48" s="29">
        <v>4058.32</v>
      </c>
      <c r="H48" s="89">
        <f t="shared" si="5"/>
        <v>2.4349920000000003</v>
      </c>
      <c r="I48" s="12">
        <f t="shared" si="6"/>
        <v>1217.4960000000001</v>
      </c>
    </row>
    <row r="49" spans="1:9" ht="17.25" customHeight="1">
      <c r="A49" s="24">
        <v>22</v>
      </c>
      <c r="B49" s="85" t="s">
        <v>37</v>
      </c>
      <c r="C49" s="86" t="s">
        <v>38</v>
      </c>
      <c r="D49" s="85" t="s">
        <v>224</v>
      </c>
      <c r="E49" s="87">
        <v>1</v>
      </c>
      <c r="F49" s="88">
        <v>0.02</v>
      </c>
      <c r="G49" s="29">
        <v>7412.92</v>
      </c>
      <c r="H49" s="89">
        <f t="shared" si="5"/>
        <v>0.14825839999999998</v>
      </c>
      <c r="I49" s="12">
        <f t="shared" si="6"/>
        <v>74.129199999999997</v>
      </c>
    </row>
    <row r="50" spans="1:9" ht="16.5" customHeight="1">
      <c r="A50" s="24">
        <v>23</v>
      </c>
      <c r="B50" s="85" t="s">
        <v>111</v>
      </c>
      <c r="C50" s="86" t="s">
        <v>86</v>
      </c>
      <c r="D50" s="185">
        <v>43608</v>
      </c>
      <c r="E50" s="87">
        <v>90</v>
      </c>
      <c r="F50" s="88">
        <f>E50*3</f>
        <v>270</v>
      </c>
      <c r="G50" s="29">
        <v>185.08</v>
      </c>
      <c r="H50" s="89">
        <f t="shared" si="5"/>
        <v>49.971600000000009</v>
      </c>
      <c r="I50" s="12">
        <f>F50/3*G50</f>
        <v>16657.2</v>
      </c>
    </row>
    <row r="51" spans="1:9" ht="16.5" customHeight="1">
      <c r="A51" s="24">
        <v>24</v>
      </c>
      <c r="B51" s="85" t="s">
        <v>39</v>
      </c>
      <c r="C51" s="86" t="s">
        <v>86</v>
      </c>
      <c r="D51" s="185">
        <v>43608</v>
      </c>
      <c r="E51" s="87">
        <v>180</v>
      </c>
      <c r="F51" s="88">
        <f>SUM(E51)*3</f>
        <v>540</v>
      </c>
      <c r="G51" s="97">
        <v>86.15</v>
      </c>
      <c r="H51" s="89">
        <f t="shared" si="5"/>
        <v>46.521000000000001</v>
      </c>
      <c r="I51" s="12">
        <f>F51/3*G51</f>
        <v>15507.000000000002</v>
      </c>
    </row>
    <row r="52" spans="1:9">
      <c r="A52" s="211" t="s">
        <v>136</v>
      </c>
      <c r="B52" s="212"/>
      <c r="C52" s="212"/>
      <c r="D52" s="212"/>
      <c r="E52" s="212"/>
      <c r="F52" s="212"/>
      <c r="G52" s="212"/>
      <c r="H52" s="212"/>
      <c r="I52" s="213"/>
    </row>
    <row r="53" spans="1:9" hidden="1">
      <c r="A53" s="24"/>
      <c r="B53" s="119" t="s">
        <v>41</v>
      </c>
      <c r="C53" s="86"/>
      <c r="D53" s="85"/>
      <c r="E53" s="87"/>
      <c r="F53" s="88"/>
      <c r="G53" s="88"/>
      <c r="H53" s="89"/>
      <c r="I53" s="12"/>
    </row>
    <row r="54" spans="1:9" ht="30" hidden="1">
      <c r="A54" s="24">
        <v>15</v>
      </c>
      <c r="B54" s="85" t="s">
        <v>125</v>
      </c>
      <c r="C54" s="86" t="s">
        <v>90</v>
      </c>
      <c r="D54" s="151" t="s">
        <v>164</v>
      </c>
      <c r="E54" s="87">
        <v>30.6</v>
      </c>
      <c r="F54" s="88">
        <f>SUM(E54*6/100)</f>
        <v>1.8360000000000003</v>
      </c>
      <c r="G54" s="29">
        <v>2029.3</v>
      </c>
      <c r="H54" s="89">
        <f>SUM(F54*G54/1000)</f>
        <v>3.7257948000000005</v>
      </c>
      <c r="I54" s="12">
        <f>G54*0.48</f>
        <v>974.06399999999996</v>
      </c>
    </row>
    <row r="55" spans="1:9" ht="30" hidden="1">
      <c r="A55" s="24">
        <v>16</v>
      </c>
      <c r="B55" s="85" t="s">
        <v>84</v>
      </c>
      <c r="C55" s="86" t="s">
        <v>90</v>
      </c>
      <c r="D55" s="85" t="s">
        <v>85</v>
      </c>
      <c r="E55" s="87">
        <v>39.69</v>
      </c>
      <c r="F55" s="88">
        <f>SUM(E55*12/100)</f>
        <v>4.7627999999999995</v>
      </c>
      <c r="G55" s="29">
        <v>2029.3</v>
      </c>
      <c r="H55" s="89">
        <f>SUM(F55*G55/1000)</f>
        <v>9.6651500399999986</v>
      </c>
      <c r="I55" s="12">
        <f t="shared" ref="I55:I57" si="7">F55/6*G55</f>
        <v>1610.8583399999998</v>
      </c>
    </row>
    <row r="56" spans="1:9" hidden="1">
      <c r="A56" s="24">
        <v>20</v>
      </c>
      <c r="B56" s="98" t="s">
        <v>113</v>
      </c>
      <c r="C56" s="99" t="s">
        <v>114</v>
      </c>
      <c r="D56" s="98" t="s">
        <v>40</v>
      </c>
      <c r="E56" s="100">
        <v>8</v>
      </c>
      <c r="F56" s="101">
        <v>16</v>
      </c>
      <c r="G56" s="29">
        <v>237.1</v>
      </c>
      <c r="H56" s="89">
        <f>SUM(F56*G56/1000)</f>
        <v>3.7936000000000001</v>
      </c>
      <c r="I56" s="12">
        <v>0</v>
      </c>
    </row>
    <row r="57" spans="1:9" hidden="1">
      <c r="A57" s="24">
        <v>17</v>
      </c>
      <c r="B57" s="85" t="s">
        <v>115</v>
      </c>
      <c r="C57" s="86" t="s">
        <v>90</v>
      </c>
      <c r="D57" s="85" t="s">
        <v>112</v>
      </c>
      <c r="E57" s="87">
        <v>41.73</v>
      </c>
      <c r="F57" s="88">
        <f>SUM(E57*6/100)</f>
        <v>2.5038</v>
      </c>
      <c r="G57" s="29">
        <v>2029.3</v>
      </c>
      <c r="H57" s="89">
        <f>SUM(F57*G57/1000)</f>
        <v>5.08096134</v>
      </c>
      <c r="I57" s="12">
        <f t="shared" si="7"/>
        <v>846.82688999999993</v>
      </c>
    </row>
    <row r="58" spans="1:9" ht="19.5" hidden="1" customHeight="1">
      <c r="A58" s="24">
        <v>24</v>
      </c>
      <c r="B58" s="98" t="s">
        <v>133</v>
      </c>
      <c r="C58" s="99" t="s">
        <v>31</v>
      </c>
      <c r="D58" s="161" t="s">
        <v>165</v>
      </c>
      <c r="E58" s="100"/>
      <c r="F58" s="101">
        <v>4</v>
      </c>
      <c r="G58" s="29">
        <v>1582.05</v>
      </c>
      <c r="H58" s="89">
        <f>SUM(F58*G58/1000)</f>
        <v>6.3281999999999998</v>
      </c>
      <c r="I58" s="12">
        <f>G58*9</f>
        <v>14238.449999999999</v>
      </c>
    </row>
    <row r="59" spans="1:9" ht="16.5" customHeight="1">
      <c r="A59" s="24"/>
      <c r="B59" s="120" t="s">
        <v>42</v>
      </c>
      <c r="C59" s="99"/>
      <c r="D59" s="98"/>
      <c r="E59" s="100"/>
      <c r="F59" s="101"/>
      <c r="G59" s="29"/>
      <c r="H59" s="102"/>
      <c r="I59" s="12"/>
    </row>
    <row r="60" spans="1:9" hidden="1">
      <c r="A60" s="24">
        <v>14</v>
      </c>
      <c r="B60" s="98" t="s">
        <v>130</v>
      </c>
      <c r="C60" s="99" t="s">
        <v>50</v>
      </c>
      <c r="D60" s="98" t="s">
        <v>51</v>
      </c>
      <c r="E60" s="100">
        <v>508.73</v>
      </c>
      <c r="F60" s="88">
        <f>SUM(E60/100)</f>
        <v>5.0872999999999999</v>
      </c>
      <c r="G60" s="29">
        <v>1040.8399999999999</v>
      </c>
      <c r="H60" s="102">
        <f>F60*G60/1000</f>
        <v>5.2950653319999992</v>
      </c>
      <c r="I60" s="12">
        <v>0</v>
      </c>
    </row>
    <row r="61" spans="1:9" ht="18" customHeight="1">
      <c r="A61" s="24">
        <v>25</v>
      </c>
      <c r="B61" s="47" t="s">
        <v>87</v>
      </c>
      <c r="C61" s="48" t="s">
        <v>25</v>
      </c>
      <c r="D61" s="47" t="s">
        <v>225</v>
      </c>
      <c r="E61" s="49">
        <v>200</v>
      </c>
      <c r="F61" s="130">
        <f>E61*12</f>
        <v>2400</v>
      </c>
      <c r="G61" s="40">
        <v>1.4</v>
      </c>
      <c r="H61" s="50">
        <f>F61*G61/1000</f>
        <v>3.36</v>
      </c>
      <c r="I61" s="12">
        <f>F61/12*G61</f>
        <v>280</v>
      </c>
    </row>
    <row r="62" spans="1:9" ht="18" customHeight="1">
      <c r="A62" s="24"/>
      <c r="B62" s="121" t="s">
        <v>43</v>
      </c>
      <c r="C62" s="99"/>
      <c r="D62" s="98"/>
      <c r="E62" s="100"/>
      <c r="F62" s="103"/>
      <c r="G62" s="103"/>
      <c r="H62" s="101" t="s">
        <v>129</v>
      </c>
      <c r="I62" s="12"/>
    </row>
    <row r="63" spans="1:9" ht="18" customHeight="1">
      <c r="A63" s="24">
        <v>26</v>
      </c>
      <c r="B63" s="105" t="s">
        <v>44</v>
      </c>
      <c r="C63" s="106" t="s">
        <v>86</v>
      </c>
      <c r="D63" s="30" t="s">
        <v>219</v>
      </c>
      <c r="E63" s="15">
        <v>10</v>
      </c>
      <c r="F63" s="88">
        <f>E63</f>
        <v>10</v>
      </c>
      <c r="G63" s="29">
        <v>291.68</v>
      </c>
      <c r="H63" s="75">
        <f t="shared" ref="H63:H79" si="8">SUM(F63*G63/1000)</f>
        <v>2.9168000000000003</v>
      </c>
      <c r="I63" s="12">
        <f>G63*2</f>
        <v>583.36</v>
      </c>
    </row>
    <row r="64" spans="1:9" ht="15.75" hidden="1" customHeight="1">
      <c r="A64" s="61"/>
      <c r="B64" s="105" t="s">
        <v>45</v>
      </c>
      <c r="C64" s="106" t="s">
        <v>86</v>
      </c>
      <c r="D64" s="30" t="s">
        <v>154</v>
      </c>
      <c r="E64" s="15">
        <v>10</v>
      </c>
      <c r="F64" s="88">
        <f>E64</f>
        <v>10</v>
      </c>
      <c r="G64" s="29">
        <v>100.01</v>
      </c>
      <c r="H64" s="75">
        <f t="shared" si="8"/>
        <v>1.0001</v>
      </c>
      <c r="I64" s="12">
        <v>0</v>
      </c>
    </row>
    <row r="65" spans="1:9" hidden="1">
      <c r="A65" s="24">
        <v>26</v>
      </c>
      <c r="B65" s="105" t="s">
        <v>46</v>
      </c>
      <c r="C65" s="107" t="s">
        <v>116</v>
      </c>
      <c r="D65" s="30" t="s">
        <v>51</v>
      </c>
      <c r="E65" s="87">
        <v>14347</v>
      </c>
      <c r="F65" s="97">
        <f>SUM(E65/100)</f>
        <v>143.47</v>
      </c>
      <c r="G65" s="29">
        <v>278.24</v>
      </c>
      <c r="H65" s="75">
        <f t="shared" si="8"/>
        <v>39.919092800000001</v>
      </c>
      <c r="I65" s="12">
        <f t="shared" ref="I65:I70" si="9">F65*G65</f>
        <v>39919.092799999999</v>
      </c>
    </row>
    <row r="66" spans="1:9" ht="19.5" hidden="1" customHeight="1">
      <c r="A66" s="62">
        <v>27</v>
      </c>
      <c r="B66" s="105" t="s">
        <v>47</v>
      </c>
      <c r="C66" s="106" t="s">
        <v>117</v>
      </c>
      <c r="D66" s="30"/>
      <c r="E66" s="87">
        <v>14347</v>
      </c>
      <c r="F66" s="29">
        <f>SUM(E66/1000)</f>
        <v>14.347</v>
      </c>
      <c r="G66" s="29">
        <v>216.68</v>
      </c>
      <c r="H66" s="75">
        <f t="shared" si="8"/>
        <v>3.1087079600000003</v>
      </c>
      <c r="I66" s="12">
        <f t="shared" si="9"/>
        <v>3108.7079600000002</v>
      </c>
    </row>
    <row r="67" spans="1:9" ht="17.25" hidden="1" customHeight="1">
      <c r="A67" s="24">
        <v>28</v>
      </c>
      <c r="B67" s="105" t="s">
        <v>48</v>
      </c>
      <c r="C67" s="106" t="s">
        <v>72</v>
      </c>
      <c r="D67" s="30" t="s">
        <v>51</v>
      </c>
      <c r="E67" s="87">
        <v>2244</v>
      </c>
      <c r="F67" s="29">
        <f>SUM(E67/100)</f>
        <v>22.44</v>
      </c>
      <c r="G67" s="29">
        <v>2720.94</v>
      </c>
      <c r="H67" s="75">
        <f t="shared" si="8"/>
        <v>61.0578936</v>
      </c>
      <c r="I67" s="12">
        <f t="shared" si="9"/>
        <v>61057.893600000003</v>
      </c>
    </row>
    <row r="68" spans="1:9" ht="20.25" hidden="1" customHeight="1">
      <c r="A68" s="24">
        <v>29</v>
      </c>
      <c r="B68" s="108" t="s">
        <v>118</v>
      </c>
      <c r="C68" s="106" t="s">
        <v>32</v>
      </c>
      <c r="D68" s="30"/>
      <c r="E68" s="87">
        <v>12.8</v>
      </c>
      <c r="F68" s="29">
        <f>SUM(E68)</f>
        <v>12.8</v>
      </c>
      <c r="G68" s="29">
        <v>42.61</v>
      </c>
      <c r="H68" s="75">
        <f t="shared" si="8"/>
        <v>0.545408</v>
      </c>
      <c r="I68" s="12">
        <f t="shared" si="9"/>
        <v>545.40800000000002</v>
      </c>
    </row>
    <row r="69" spans="1:9" ht="18.75" hidden="1" customHeight="1">
      <c r="A69" s="24">
        <v>30</v>
      </c>
      <c r="B69" s="108" t="s">
        <v>119</v>
      </c>
      <c r="C69" s="106" t="s">
        <v>32</v>
      </c>
      <c r="D69" s="30"/>
      <c r="E69" s="87">
        <v>12.8</v>
      </c>
      <c r="F69" s="29">
        <f>SUM(E69)</f>
        <v>12.8</v>
      </c>
      <c r="G69" s="29">
        <v>46.04</v>
      </c>
      <c r="H69" s="75">
        <f t="shared" si="8"/>
        <v>0.58931200000000006</v>
      </c>
      <c r="I69" s="12">
        <f t="shared" si="9"/>
        <v>589.31200000000001</v>
      </c>
    </row>
    <row r="70" spans="1:9" ht="18.75" hidden="1" customHeight="1">
      <c r="A70" s="24">
        <v>20</v>
      </c>
      <c r="B70" s="30" t="s">
        <v>54</v>
      </c>
      <c r="C70" s="106" t="s">
        <v>55</v>
      </c>
      <c r="D70" s="30" t="s">
        <v>51</v>
      </c>
      <c r="E70" s="15">
        <v>6</v>
      </c>
      <c r="F70" s="29">
        <f>SUM(E70)</f>
        <v>6</v>
      </c>
      <c r="G70" s="29">
        <v>65.42</v>
      </c>
      <c r="H70" s="75">
        <f t="shared" si="8"/>
        <v>0.39251999999999998</v>
      </c>
      <c r="I70" s="12">
        <f t="shared" si="9"/>
        <v>392.52</v>
      </c>
    </row>
    <row r="71" spans="1:9" ht="19.5" customHeight="1">
      <c r="A71" s="24"/>
      <c r="B71" s="122" t="s">
        <v>147</v>
      </c>
      <c r="C71" s="106"/>
      <c r="D71" s="30"/>
      <c r="E71" s="15"/>
      <c r="F71" s="104"/>
      <c r="G71" s="29"/>
      <c r="H71" s="75"/>
      <c r="I71" s="12"/>
    </row>
    <row r="72" spans="1:9" ht="33.75" customHeight="1">
      <c r="A72" s="24">
        <v>27</v>
      </c>
      <c r="B72" s="30" t="s">
        <v>148</v>
      </c>
      <c r="C72" s="109" t="s">
        <v>149</v>
      </c>
      <c r="D72" s="30"/>
      <c r="E72" s="15">
        <v>3181</v>
      </c>
      <c r="F72" s="88">
        <f>SUM(E72)*12</f>
        <v>38172</v>
      </c>
      <c r="G72" s="29">
        <v>2.2799999999999998</v>
      </c>
      <c r="H72" s="75">
        <f t="shared" ref="H72" si="10">SUM(F72*G72/1000)</f>
        <v>87.03215999999999</v>
      </c>
      <c r="I72" s="12">
        <f>F72/12*G72</f>
        <v>7252.6799999999994</v>
      </c>
    </row>
    <row r="73" spans="1:9" ht="16.5" hidden="1" customHeight="1">
      <c r="A73" s="24"/>
      <c r="B73" s="122" t="s">
        <v>67</v>
      </c>
      <c r="C73" s="106"/>
      <c r="D73" s="30"/>
      <c r="E73" s="15"/>
      <c r="F73" s="29"/>
      <c r="G73" s="29"/>
      <c r="H73" s="75" t="s">
        <v>129</v>
      </c>
      <c r="I73" s="12"/>
    </row>
    <row r="74" spans="1:9" ht="21" hidden="1" customHeight="1">
      <c r="A74" s="24">
        <v>20</v>
      </c>
      <c r="B74" s="30" t="s">
        <v>150</v>
      </c>
      <c r="C74" s="106" t="s">
        <v>30</v>
      </c>
      <c r="D74" s="30" t="s">
        <v>63</v>
      </c>
      <c r="E74" s="15">
        <v>1</v>
      </c>
      <c r="F74" s="88">
        <f t="shared" ref="F74" si="11">E74</f>
        <v>1</v>
      </c>
      <c r="G74" s="29">
        <v>1029.1199999999999</v>
      </c>
      <c r="H74" s="75">
        <f>G74*F74/1000</f>
        <v>1.0291199999999998</v>
      </c>
      <c r="I74" s="12">
        <f>G74*2</f>
        <v>2058.2399999999998</v>
      </c>
    </row>
    <row r="75" spans="1:9" ht="60.75" hidden="1" customHeight="1">
      <c r="A75" s="24">
        <v>21</v>
      </c>
      <c r="B75" s="30" t="s">
        <v>151</v>
      </c>
      <c r="C75" s="106" t="s">
        <v>152</v>
      </c>
      <c r="D75" s="30" t="s">
        <v>63</v>
      </c>
      <c r="E75" s="15">
        <v>1</v>
      </c>
      <c r="F75" s="29">
        <v>1</v>
      </c>
      <c r="G75" s="29">
        <v>735</v>
      </c>
      <c r="H75" s="75">
        <f t="shared" ref="H75:H77" si="12">SUM(F75*G75/1000)</f>
        <v>0.73499999999999999</v>
      </c>
      <c r="I75" s="12">
        <f>G75*2</f>
        <v>1470</v>
      </c>
    </row>
    <row r="76" spans="1:9" hidden="1">
      <c r="A76" s="24"/>
      <c r="B76" s="30" t="s">
        <v>68</v>
      </c>
      <c r="C76" s="106" t="s">
        <v>70</v>
      </c>
      <c r="D76" s="30" t="s">
        <v>63</v>
      </c>
      <c r="E76" s="15">
        <v>8</v>
      </c>
      <c r="F76" s="29">
        <f>E76/10</f>
        <v>0.8</v>
      </c>
      <c r="G76" s="29">
        <v>657.87</v>
      </c>
      <c r="H76" s="75">
        <f t="shared" si="12"/>
        <v>0.5262960000000001</v>
      </c>
      <c r="I76" s="12">
        <v>0</v>
      </c>
    </row>
    <row r="77" spans="1:9" hidden="1">
      <c r="A77" s="24">
        <v>22</v>
      </c>
      <c r="B77" s="30" t="s">
        <v>69</v>
      </c>
      <c r="C77" s="106" t="s">
        <v>30</v>
      </c>
      <c r="D77" s="30" t="s">
        <v>63</v>
      </c>
      <c r="E77" s="15">
        <v>1</v>
      </c>
      <c r="F77" s="104">
        <v>1</v>
      </c>
      <c r="G77" s="29">
        <v>1118.72</v>
      </c>
      <c r="H77" s="75">
        <f t="shared" si="12"/>
        <v>1.1187199999999999</v>
      </c>
      <c r="I77" s="12">
        <f>G77*10</f>
        <v>11187.2</v>
      </c>
    </row>
    <row r="78" spans="1:9" hidden="1">
      <c r="A78" s="24"/>
      <c r="B78" s="123" t="s">
        <v>71</v>
      </c>
      <c r="C78" s="106"/>
      <c r="D78" s="30"/>
      <c r="E78" s="15"/>
      <c r="F78" s="29"/>
      <c r="G78" s="29" t="s">
        <v>129</v>
      </c>
      <c r="H78" s="75" t="s">
        <v>129</v>
      </c>
      <c r="I78" s="12" t="str">
        <f>G78</f>
        <v xml:space="preserve"> </v>
      </c>
    </row>
    <row r="79" spans="1:9" hidden="1">
      <c r="A79" s="24"/>
      <c r="B79" s="110" t="s">
        <v>122</v>
      </c>
      <c r="C79" s="107" t="s">
        <v>72</v>
      </c>
      <c r="D79" s="105"/>
      <c r="E79" s="111"/>
      <c r="F79" s="97">
        <v>0.6</v>
      </c>
      <c r="G79" s="97">
        <v>3619.09</v>
      </c>
      <c r="H79" s="75">
        <f t="shared" si="8"/>
        <v>2.1714540000000002</v>
      </c>
      <c r="I79" s="12">
        <v>0</v>
      </c>
    </row>
    <row r="80" spans="1:9" ht="28.5" hidden="1">
      <c r="A80" s="24"/>
      <c r="B80" s="150" t="s">
        <v>120</v>
      </c>
      <c r="C80" s="12"/>
      <c r="D80" s="12"/>
      <c r="E80" s="12"/>
      <c r="F80" s="12"/>
      <c r="G80" s="12"/>
      <c r="H80" s="12"/>
      <c r="I80" s="12"/>
    </row>
    <row r="81" spans="1:9" hidden="1">
      <c r="A81" s="61"/>
      <c r="B81" s="98" t="s">
        <v>121</v>
      </c>
      <c r="C81" s="137"/>
      <c r="D81" s="138"/>
      <c r="E81" s="114"/>
      <c r="F81" s="139">
        <v>1</v>
      </c>
      <c r="G81" s="139">
        <v>30235</v>
      </c>
      <c r="H81" s="140">
        <f>G81*F81/1000</f>
        <v>30.234999999999999</v>
      </c>
      <c r="I81" s="59">
        <f>G81</f>
        <v>30235</v>
      </c>
    </row>
    <row r="82" spans="1:9" hidden="1">
      <c r="A82" s="24"/>
      <c r="B82" s="141" t="s">
        <v>147</v>
      </c>
      <c r="C82" s="142"/>
      <c r="D82" s="143"/>
      <c r="E82" s="15"/>
      <c r="F82" s="115"/>
      <c r="G82" s="115"/>
      <c r="H82" s="29"/>
      <c r="I82" s="12"/>
    </row>
    <row r="83" spans="1:9" ht="30" hidden="1">
      <c r="A83" s="24">
        <v>19</v>
      </c>
      <c r="B83" s="30" t="s">
        <v>148</v>
      </c>
      <c r="C83" s="109" t="s">
        <v>149</v>
      </c>
      <c r="D83" s="30" t="s">
        <v>63</v>
      </c>
      <c r="E83" s="15"/>
      <c r="F83" s="115"/>
      <c r="G83" s="29">
        <v>2.2799999999999998</v>
      </c>
      <c r="H83" s="29"/>
      <c r="I83" s="12">
        <f>38172/12*G83</f>
        <v>7252.6799999999994</v>
      </c>
    </row>
    <row r="84" spans="1:9">
      <c r="A84" s="201" t="s">
        <v>137</v>
      </c>
      <c r="B84" s="202"/>
      <c r="C84" s="202"/>
      <c r="D84" s="202"/>
      <c r="E84" s="202"/>
      <c r="F84" s="202"/>
      <c r="G84" s="202"/>
      <c r="H84" s="202"/>
      <c r="I84" s="203"/>
    </row>
    <row r="85" spans="1:9" ht="21" customHeight="1">
      <c r="A85" s="61">
        <v>28</v>
      </c>
      <c r="B85" s="85" t="s">
        <v>123</v>
      </c>
      <c r="C85" s="106" t="s">
        <v>52</v>
      </c>
      <c r="D85" s="116"/>
      <c r="E85" s="29">
        <v>3931</v>
      </c>
      <c r="F85" s="29">
        <f>SUM(E85*12)</f>
        <v>47172</v>
      </c>
      <c r="G85" s="29">
        <v>3.1</v>
      </c>
      <c r="H85" s="75">
        <f>SUM(F85*G85/1000)</f>
        <v>146.23320000000001</v>
      </c>
      <c r="I85" s="12">
        <f>F85/12*G85</f>
        <v>12186.1</v>
      </c>
    </row>
    <row r="86" spans="1:9" ht="35.25" customHeight="1">
      <c r="A86" s="24">
        <v>29</v>
      </c>
      <c r="B86" s="30" t="s">
        <v>73</v>
      </c>
      <c r="C86" s="106"/>
      <c r="D86" s="116"/>
      <c r="E86" s="87">
        <f>E85</f>
        <v>3931</v>
      </c>
      <c r="F86" s="29">
        <f>E86*12</f>
        <v>47172</v>
      </c>
      <c r="G86" s="29">
        <v>3.5</v>
      </c>
      <c r="H86" s="75">
        <f>F86*G86/1000</f>
        <v>165.102</v>
      </c>
      <c r="I86" s="12">
        <f>F86/12*G86</f>
        <v>13758.5</v>
      </c>
    </row>
    <row r="87" spans="1:9">
      <c r="A87" s="24"/>
      <c r="B87" s="31" t="s">
        <v>76</v>
      </c>
      <c r="C87" s="57"/>
      <c r="D87" s="56"/>
      <c r="E87" s="46"/>
      <c r="F87" s="46"/>
      <c r="G87" s="46"/>
      <c r="H87" s="58">
        <f>H86</f>
        <v>165.102</v>
      </c>
      <c r="I87" s="46">
        <f>I86+I85+I72+I63+I61+I51+I50+I49+I48+I47+I46+I45++I44+I43+I42+I31+I30+I29+I28+I25+I24+I23+I22+I21+I20+I19+I18+I17+I16</f>
        <v>114647.43143509998</v>
      </c>
    </row>
    <row r="88" spans="1:9">
      <c r="A88" s="190" t="s">
        <v>57</v>
      </c>
      <c r="B88" s="191"/>
      <c r="C88" s="191"/>
      <c r="D88" s="191"/>
      <c r="E88" s="191"/>
      <c r="F88" s="191"/>
      <c r="G88" s="191"/>
      <c r="H88" s="191"/>
      <c r="I88" s="192"/>
    </row>
    <row r="89" spans="1:9" ht="18.75" customHeight="1">
      <c r="A89" s="24">
        <v>30</v>
      </c>
      <c r="B89" s="77" t="s">
        <v>210</v>
      </c>
      <c r="C89" s="78" t="s">
        <v>211</v>
      </c>
      <c r="D89" s="24"/>
      <c r="E89" s="16"/>
      <c r="F89" s="12"/>
      <c r="G89" s="29">
        <v>724.3</v>
      </c>
      <c r="H89" s="54">
        <f>G89*F89/1000</f>
        <v>0</v>
      </c>
      <c r="I89" s="59">
        <f>G89*0.05</f>
        <v>36.214999999999996</v>
      </c>
    </row>
    <row r="90" spans="1:9" ht="30">
      <c r="A90" s="24">
        <v>31</v>
      </c>
      <c r="B90" s="77" t="s">
        <v>185</v>
      </c>
      <c r="C90" s="78" t="s">
        <v>36</v>
      </c>
      <c r="D90" s="13"/>
      <c r="E90" s="16"/>
      <c r="F90" s="12"/>
      <c r="G90" s="29">
        <v>3914.31</v>
      </c>
      <c r="H90" s="54">
        <f t="shared" ref="H90" si="13">G90*F90/1000</f>
        <v>0</v>
      </c>
      <c r="I90" s="59">
        <f>G90*0.01</f>
        <v>39.143099999999997</v>
      </c>
    </row>
    <row r="91" spans="1:9" ht="32.25" customHeight="1">
      <c r="A91" s="24">
        <v>32</v>
      </c>
      <c r="B91" s="77" t="s">
        <v>162</v>
      </c>
      <c r="C91" s="78" t="s">
        <v>163</v>
      </c>
      <c r="D91" s="13"/>
      <c r="E91" s="16"/>
      <c r="F91" s="12">
        <v>0.04</v>
      </c>
      <c r="G91" s="29">
        <v>26095.37</v>
      </c>
      <c r="H91" s="54">
        <f>G91*F91/1000</f>
        <v>1.0438147999999998</v>
      </c>
      <c r="I91" s="59">
        <f>G91*0.01</f>
        <v>260.95369999999997</v>
      </c>
    </row>
    <row r="92" spans="1:9" hidden="1">
      <c r="A92" s="24"/>
      <c r="B92" s="160"/>
      <c r="C92" s="159"/>
      <c r="D92" s="13"/>
      <c r="E92" s="16"/>
      <c r="F92" s="12"/>
      <c r="G92" s="144"/>
      <c r="H92" s="54"/>
      <c r="I92" s="59"/>
    </row>
    <row r="93" spans="1:9" ht="17.25" customHeight="1">
      <c r="A93" s="24"/>
      <c r="B93" s="60" t="s">
        <v>49</v>
      </c>
      <c r="C93" s="32"/>
      <c r="D93" s="38"/>
      <c r="E93" s="32">
        <v>1</v>
      </c>
      <c r="F93" s="32"/>
      <c r="G93" s="32"/>
      <c r="H93" s="32"/>
      <c r="I93" s="27">
        <f>SUM(I89:I92)</f>
        <v>336.31179999999995</v>
      </c>
    </row>
    <row r="94" spans="1:9">
      <c r="A94" s="24"/>
      <c r="B94" s="37" t="s">
        <v>74</v>
      </c>
      <c r="C94" s="14"/>
      <c r="D94" s="14"/>
      <c r="E94" s="33"/>
      <c r="F94" s="33"/>
      <c r="G94" s="34"/>
      <c r="H94" s="34"/>
      <c r="I94" s="15">
        <v>0</v>
      </c>
    </row>
    <row r="95" spans="1:9">
      <c r="A95" s="39"/>
      <c r="B95" s="36" t="s">
        <v>143</v>
      </c>
      <c r="C95" s="28"/>
      <c r="D95" s="28"/>
      <c r="E95" s="28"/>
      <c r="F95" s="28"/>
      <c r="G95" s="28"/>
      <c r="H95" s="28"/>
      <c r="I95" s="35">
        <f>I87+I93</f>
        <v>114983.74323509997</v>
      </c>
    </row>
    <row r="96" spans="1:9" ht="15.75">
      <c r="A96" s="193" t="s">
        <v>237</v>
      </c>
      <c r="B96" s="193"/>
      <c r="C96" s="193"/>
      <c r="D96" s="193"/>
      <c r="E96" s="193"/>
      <c r="F96" s="193"/>
      <c r="G96" s="193"/>
      <c r="H96" s="193"/>
      <c r="I96" s="193"/>
    </row>
    <row r="97" spans="1:9" ht="15.75">
      <c r="A97" s="68"/>
      <c r="B97" s="194" t="s">
        <v>238</v>
      </c>
      <c r="C97" s="194"/>
      <c r="D97" s="194"/>
      <c r="E97" s="194"/>
      <c r="F97" s="194"/>
      <c r="G97" s="194"/>
      <c r="H97" s="43"/>
      <c r="I97" s="3"/>
    </row>
    <row r="98" spans="1:9">
      <c r="A98" s="145"/>
      <c r="B98" s="195" t="s">
        <v>6</v>
      </c>
      <c r="C98" s="195"/>
      <c r="D98" s="195"/>
      <c r="E98" s="195"/>
      <c r="F98" s="195"/>
      <c r="G98" s="195"/>
      <c r="H98" s="19"/>
      <c r="I98" s="5"/>
    </row>
    <row r="99" spans="1:9">
      <c r="A99" s="9"/>
      <c r="B99" s="9"/>
      <c r="C99" s="9"/>
      <c r="D99" s="9"/>
      <c r="E99" s="9"/>
      <c r="F99" s="9"/>
      <c r="G99" s="9"/>
      <c r="H99" s="9"/>
      <c r="I99" s="9"/>
    </row>
    <row r="100" spans="1:9" ht="15.75">
      <c r="A100" s="196" t="s">
        <v>7</v>
      </c>
      <c r="B100" s="196"/>
      <c r="C100" s="196"/>
      <c r="D100" s="196"/>
      <c r="E100" s="196"/>
      <c r="F100" s="196"/>
      <c r="G100" s="196"/>
      <c r="H100" s="196"/>
      <c r="I100" s="196"/>
    </row>
    <row r="101" spans="1:9" ht="15.75">
      <c r="A101" s="196" t="s">
        <v>8</v>
      </c>
      <c r="B101" s="196"/>
      <c r="C101" s="196"/>
      <c r="D101" s="196"/>
      <c r="E101" s="196"/>
      <c r="F101" s="196"/>
      <c r="G101" s="196"/>
      <c r="H101" s="196"/>
      <c r="I101" s="196"/>
    </row>
    <row r="102" spans="1:9" ht="15.75">
      <c r="A102" s="197" t="s">
        <v>58</v>
      </c>
      <c r="B102" s="197"/>
      <c r="C102" s="197"/>
      <c r="D102" s="197"/>
      <c r="E102" s="197"/>
      <c r="F102" s="197"/>
      <c r="G102" s="197"/>
      <c r="H102" s="197"/>
      <c r="I102" s="197"/>
    </row>
    <row r="103" spans="1:9" ht="15.75">
      <c r="A103" s="10"/>
    </row>
    <row r="104" spans="1:9" ht="15.75">
      <c r="A104" s="198" t="s">
        <v>9</v>
      </c>
      <c r="B104" s="198"/>
      <c r="C104" s="198"/>
      <c r="D104" s="198"/>
      <c r="E104" s="198"/>
      <c r="F104" s="198"/>
      <c r="G104" s="198"/>
      <c r="H104" s="198"/>
      <c r="I104" s="198"/>
    </row>
    <row r="105" spans="1:9" ht="15.75">
      <c r="A105" s="4"/>
    </row>
    <row r="106" spans="1:9" ht="15.75">
      <c r="B106" s="147" t="s">
        <v>10</v>
      </c>
      <c r="C106" s="199" t="s">
        <v>83</v>
      </c>
      <c r="D106" s="199"/>
      <c r="E106" s="199"/>
      <c r="F106" s="41"/>
      <c r="I106" s="148"/>
    </row>
    <row r="107" spans="1:9">
      <c r="A107" s="145"/>
      <c r="C107" s="195" t="s">
        <v>11</v>
      </c>
      <c r="D107" s="195"/>
      <c r="E107" s="195"/>
      <c r="F107" s="19"/>
      <c r="I107" s="146" t="s">
        <v>12</v>
      </c>
    </row>
    <row r="108" spans="1:9" ht="15.75">
      <c r="A108" s="20"/>
      <c r="C108" s="11"/>
      <c r="D108" s="11"/>
      <c r="G108" s="11"/>
      <c r="H108" s="11"/>
    </row>
    <row r="109" spans="1:9" ht="15.75">
      <c r="B109" s="147" t="s">
        <v>13</v>
      </c>
      <c r="C109" s="200"/>
      <c r="D109" s="200"/>
      <c r="E109" s="200"/>
      <c r="F109" s="42"/>
      <c r="I109" s="148"/>
    </row>
    <row r="110" spans="1:9">
      <c r="A110" s="145"/>
      <c r="C110" s="189" t="s">
        <v>11</v>
      </c>
      <c r="D110" s="189"/>
      <c r="E110" s="189"/>
      <c r="F110" s="145"/>
      <c r="I110" s="146" t="s">
        <v>12</v>
      </c>
    </row>
    <row r="111" spans="1:9" ht="15.75">
      <c r="A111" s="4" t="s">
        <v>14</v>
      </c>
    </row>
    <row r="112" spans="1:9">
      <c r="A112" s="186" t="s">
        <v>15</v>
      </c>
      <c r="B112" s="186"/>
      <c r="C112" s="186"/>
      <c r="D112" s="186"/>
      <c r="E112" s="186"/>
      <c r="F112" s="186"/>
      <c r="G112" s="186"/>
      <c r="H112" s="186"/>
      <c r="I112" s="186"/>
    </row>
    <row r="113" spans="1:9" ht="49.5" customHeight="1">
      <c r="A113" s="187" t="s">
        <v>16</v>
      </c>
      <c r="B113" s="187"/>
      <c r="C113" s="187"/>
      <c r="D113" s="187"/>
      <c r="E113" s="187"/>
      <c r="F113" s="187"/>
      <c r="G113" s="187"/>
      <c r="H113" s="187"/>
      <c r="I113" s="187"/>
    </row>
    <row r="114" spans="1:9" ht="44.25" customHeight="1">
      <c r="A114" s="187" t="s">
        <v>17</v>
      </c>
      <c r="B114" s="187"/>
      <c r="C114" s="187"/>
      <c r="D114" s="187"/>
      <c r="E114" s="187"/>
      <c r="F114" s="187"/>
      <c r="G114" s="187"/>
      <c r="H114" s="187"/>
      <c r="I114" s="187"/>
    </row>
    <row r="115" spans="1:9" ht="33" customHeight="1">
      <c r="A115" s="187" t="s">
        <v>21</v>
      </c>
      <c r="B115" s="187"/>
      <c r="C115" s="187"/>
      <c r="D115" s="187"/>
      <c r="E115" s="187"/>
      <c r="F115" s="187"/>
      <c r="G115" s="187"/>
      <c r="H115" s="187"/>
      <c r="I115" s="187"/>
    </row>
    <row r="116" spans="1:9" ht="15.75">
      <c r="A116" s="187" t="s">
        <v>20</v>
      </c>
      <c r="B116" s="187"/>
      <c r="C116" s="187"/>
      <c r="D116" s="187"/>
      <c r="E116" s="187"/>
      <c r="F116" s="187"/>
      <c r="G116" s="187"/>
      <c r="H116" s="187"/>
      <c r="I116" s="187"/>
    </row>
  </sheetData>
  <mergeCells count="28">
    <mergeCell ref="A14:I14"/>
    <mergeCell ref="A3:I3"/>
    <mergeCell ref="A4:I4"/>
    <mergeCell ref="A5:I5"/>
    <mergeCell ref="A8:I8"/>
    <mergeCell ref="A10:I10"/>
    <mergeCell ref="A102:I102"/>
    <mergeCell ref="A15:I15"/>
    <mergeCell ref="A26:I26"/>
    <mergeCell ref="A41:I41"/>
    <mergeCell ref="A52:I52"/>
    <mergeCell ref="A84:I84"/>
    <mergeCell ref="A88:I88"/>
    <mergeCell ref="A96:I96"/>
    <mergeCell ref="B97:G97"/>
    <mergeCell ref="B98:G98"/>
    <mergeCell ref="A100:I100"/>
    <mergeCell ref="A101:I101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" right="0.7" top="0.75" bottom="0.75" header="0.3" footer="0.3"/>
  <pageSetup paperSize="9" scale="6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19"/>
  <sheetViews>
    <sheetView view="pageBreakPreview" topLeftCell="A90" zoomScale="60" workbookViewId="0">
      <selection activeCell="I106" sqref="I106"/>
    </sheetView>
  </sheetViews>
  <sheetFormatPr defaultRowHeight="15"/>
  <cols>
    <col min="1" max="1" width="13.28515625" customWidth="1"/>
    <col min="2" max="2" width="46.140625" customWidth="1"/>
    <col min="3" max="4" width="18.42578125" customWidth="1"/>
    <col min="5" max="6" width="0" hidden="1" customWidth="1"/>
    <col min="7" max="7" width="18.140625" customWidth="1"/>
    <col min="8" max="8" width="0" hidden="1" customWidth="1"/>
    <col min="9" max="9" width="17.85546875" customWidth="1"/>
  </cols>
  <sheetData>
    <row r="1" spans="1:9" ht="15.75">
      <c r="A1" s="22" t="s">
        <v>171</v>
      </c>
      <c r="I1" s="21"/>
    </row>
    <row r="2" spans="1:9" ht="15.75">
      <c r="A2" s="23" t="s">
        <v>59</v>
      </c>
    </row>
    <row r="3" spans="1:9" ht="15.75">
      <c r="A3" s="204" t="s">
        <v>167</v>
      </c>
      <c r="B3" s="204"/>
      <c r="C3" s="204"/>
      <c r="D3" s="204"/>
      <c r="E3" s="204"/>
      <c r="F3" s="204"/>
      <c r="G3" s="204"/>
      <c r="H3" s="204"/>
      <c r="I3" s="204"/>
    </row>
    <row r="4" spans="1:9" ht="31.5" customHeight="1">
      <c r="A4" s="205" t="s">
        <v>124</v>
      </c>
      <c r="B4" s="205"/>
      <c r="C4" s="205"/>
      <c r="D4" s="205"/>
      <c r="E4" s="205"/>
      <c r="F4" s="205"/>
      <c r="G4" s="205"/>
      <c r="H4" s="205"/>
      <c r="I4" s="205"/>
    </row>
    <row r="5" spans="1:9" ht="15.75">
      <c r="A5" s="204" t="s">
        <v>212</v>
      </c>
      <c r="B5" s="206"/>
      <c r="C5" s="206"/>
      <c r="D5" s="206"/>
      <c r="E5" s="206"/>
      <c r="F5" s="206"/>
      <c r="G5" s="206"/>
      <c r="H5" s="206"/>
      <c r="I5" s="206"/>
    </row>
    <row r="6" spans="1:9" ht="15.75">
      <c r="A6" s="2"/>
      <c r="B6" s="153"/>
      <c r="C6" s="153"/>
      <c r="D6" s="153"/>
      <c r="E6" s="153"/>
      <c r="F6" s="153"/>
      <c r="G6" s="153"/>
      <c r="H6" s="153"/>
      <c r="I6" s="25">
        <v>43646</v>
      </c>
    </row>
    <row r="7" spans="1:9" ht="15.75">
      <c r="B7" s="156"/>
      <c r="C7" s="156"/>
      <c r="D7" s="156"/>
      <c r="E7" s="3"/>
      <c r="F7" s="3"/>
      <c r="G7" s="3"/>
      <c r="H7" s="3"/>
    </row>
    <row r="8" spans="1:9" ht="85.5" customHeight="1">
      <c r="A8" s="207" t="s">
        <v>175</v>
      </c>
      <c r="B8" s="207"/>
      <c r="C8" s="207"/>
      <c r="D8" s="207"/>
      <c r="E8" s="207"/>
      <c r="F8" s="207"/>
      <c r="G8" s="207"/>
      <c r="H8" s="207"/>
      <c r="I8" s="207"/>
    </row>
    <row r="9" spans="1:9" ht="15.75">
      <c r="A9" s="4"/>
    </row>
    <row r="10" spans="1:9" ht="69" customHeight="1">
      <c r="A10" s="208" t="s">
        <v>158</v>
      </c>
      <c r="B10" s="208"/>
      <c r="C10" s="208"/>
      <c r="D10" s="208"/>
      <c r="E10" s="208"/>
      <c r="F10" s="208"/>
      <c r="G10" s="208"/>
      <c r="H10" s="208"/>
      <c r="I10" s="208"/>
    </row>
    <row r="11" spans="1:9" ht="15.75">
      <c r="A11" s="4"/>
    </row>
    <row r="12" spans="1:9" ht="52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9" t="s">
        <v>56</v>
      </c>
      <c r="B14" s="209"/>
      <c r="C14" s="209"/>
      <c r="D14" s="209"/>
      <c r="E14" s="209"/>
      <c r="F14" s="209"/>
      <c r="G14" s="209"/>
      <c r="H14" s="209"/>
      <c r="I14" s="209"/>
    </row>
    <row r="15" spans="1:9">
      <c r="A15" s="210" t="s">
        <v>4</v>
      </c>
      <c r="B15" s="210"/>
      <c r="C15" s="210"/>
      <c r="D15" s="210"/>
      <c r="E15" s="210"/>
      <c r="F15" s="210"/>
      <c r="G15" s="210"/>
      <c r="H15" s="210"/>
      <c r="I15" s="210"/>
    </row>
    <row r="16" spans="1:9" ht="18.75" customHeight="1">
      <c r="A16" s="24">
        <v>1</v>
      </c>
      <c r="B16" s="85" t="s">
        <v>81</v>
      </c>
      <c r="C16" s="86" t="s">
        <v>90</v>
      </c>
      <c r="D16" s="85" t="s">
        <v>217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24" si="0">SUM(F16*G16/1000)</f>
        <v>34.100352000000008</v>
      </c>
      <c r="I16" s="12">
        <f>F16/12*G16</f>
        <v>2841.6960000000004</v>
      </c>
    </row>
    <row r="17" spans="1:9" ht="18.75" customHeight="1">
      <c r="A17" s="24">
        <v>2</v>
      </c>
      <c r="B17" s="85" t="s">
        <v>88</v>
      </c>
      <c r="C17" s="86" t="s">
        <v>90</v>
      </c>
      <c r="D17" s="85" t="s">
        <v>218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</row>
    <row r="18" spans="1:9" ht="18" customHeight="1">
      <c r="A18" s="24">
        <v>3</v>
      </c>
      <c r="B18" s="85" t="s">
        <v>89</v>
      </c>
      <c r="C18" s="86" t="s">
        <v>90</v>
      </c>
      <c r="D18" s="85" t="s">
        <v>219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</row>
    <row r="19" spans="1:9" ht="16.5" hidden="1" customHeight="1">
      <c r="A19" s="24">
        <v>4</v>
      </c>
      <c r="B19" s="85" t="s">
        <v>91</v>
      </c>
      <c r="C19" s="86" t="s">
        <v>92</v>
      </c>
      <c r="D19" s="85" t="s">
        <v>93</v>
      </c>
      <c r="E19" s="87">
        <v>57.6</v>
      </c>
      <c r="F19" s="88">
        <f>SUM(E19/10)</f>
        <v>5.76</v>
      </c>
      <c r="G19" s="88">
        <v>223.17</v>
      </c>
      <c r="H19" s="89">
        <f t="shared" si="0"/>
        <v>1.2854591999999998</v>
      </c>
      <c r="I19" s="12">
        <v>0</v>
      </c>
    </row>
    <row r="20" spans="1:9" ht="18.75" hidden="1" customHeight="1">
      <c r="A20" s="24">
        <v>5</v>
      </c>
      <c r="B20" s="85" t="s">
        <v>94</v>
      </c>
      <c r="C20" s="86" t="s">
        <v>90</v>
      </c>
      <c r="D20" s="85" t="s">
        <v>40</v>
      </c>
      <c r="E20" s="87">
        <v>43.2</v>
      </c>
      <c r="F20" s="88">
        <f>SUM(E20*2/100)</f>
        <v>0.8640000000000001</v>
      </c>
      <c r="G20" s="88">
        <v>285.76</v>
      </c>
      <c r="H20" s="89">
        <f t="shared" si="0"/>
        <v>0.24689664000000003</v>
      </c>
      <c r="I20" s="12">
        <v>0</v>
      </c>
    </row>
    <row r="21" spans="1:9" ht="18.75" hidden="1" customHeight="1">
      <c r="A21" s="24">
        <v>6</v>
      </c>
      <c r="B21" s="85" t="s">
        <v>95</v>
      </c>
      <c r="C21" s="86" t="s">
        <v>90</v>
      </c>
      <c r="D21" s="85" t="s">
        <v>40</v>
      </c>
      <c r="E21" s="87">
        <v>10.08</v>
      </c>
      <c r="F21" s="88">
        <f>SUM(E21*2/100)</f>
        <v>0.2016</v>
      </c>
      <c r="G21" s="88">
        <v>283.44</v>
      </c>
      <c r="H21" s="89">
        <f t="shared" si="0"/>
        <v>5.7141503999999996E-2</v>
      </c>
      <c r="I21" s="12">
        <v>0</v>
      </c>
    </row>
    <row r="22" spans="1:9" ht="14.25" hidden="1" customHeight="1">
      <c r="A22" s="24">
        <v>7</v>
      </c>
      <c r="B22" s="85" t="s">
        <v>96</v>
      </c>
      <c r="C22" s="86" t="s">
        <v>50</v>
      </c>
      <c r="D22" s="85" t="s">
        <v>93</v>
      </c>
      <c r="E22" s="87">
        <v>642.6</v>
      </c>
      <c r="F22" s="88">
        <f>SUM(E22/100)</f>
        <v>6.4260000000000002</v>
      </c>
      <c r="G22" s="88">
        <v>353.14</v>
      </c>
      <c r="H22" s="89">
        <f t="shared" si="0"/>
        <v>2.2692776399999999</v>
      </c>
      <c r="I22" s="12">
        <v>0</v>
      </c>
    </row>
    <row r="23" spans="1:9" ht="15.75" hidden="1" customHeight="1">
      <c r="A23" s="24">
        <v>8</v>
      </c>
      <c r="B23" s="85" t="s">
        <v>97</v>
      </c>
      <c r="C23" s="86" t="s">
        <v>50</v>
      </c>
      <c r="D23" s="85" t="s">
        <v>93</v>
      </c>
      <c r="E23" s="90">
        <v>35.28</v>
      </c>
      <c r="F23" s="88">
        <f>SUM(E23/100)</f>
        <v>0.3528</v>
      </c>
      <c r="G23" s="88">
        <v>58.08</v>
      </c>
      <c r="H23" s="89">
        <f t="shared" si="0"/>
        <v>2.0490623999999999E-2</v>
      </c>
      <c r="I23" s="12">
        <v>0</v>
      </c>
    </row>
    <row r="24" spans="1:9" ht="12.75" hidden="1" customHeight="1">
      <c r="A24" s="24">
        <v>9</v>
      </c>
      <c r="B24" s="85" t="s">
        <v>98</v>
      </c>
      <c r="C24" s="86" t="s">
        <v>50</v>
      </c>
      <c r="D24" s="85" t="s">
        <v>93</v>
      </c>
      <c r="E24" s="87">
        <v>28.8</v>
      </c>
      <c r="F24" s="88">
        <f>SUM(E24/100)</f>
        <v>0.28800000000000003</v>
      </c>
      <c r="G24" s="88">
        <v>683.05</v>
      </c>
      <c r="H24" s="89">
        <f t="shared" si="0"/>
        <v>0.19671840000000002</v>
      </c>
      <c r="I24" s="12">
        <v>0</v>
      </c>
    </row>
    <row r="25" spans="1:9" ht="18" customHeight="1">
      <c r="A25" s="24">
        <v>4</v>
      </c>
      <c r="B25" s="85" t="s">
        <v>216</v>
      </c>
      <c r="C25" s="86" t="s">
        <v>25</v>
      </c>
      <c r="D25" s="85" t="s">
        <v>220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</row>
    <row r="26" spans="1:9">
      <c r="A26" s="211" t="s">
        <v>153</v>
      </c>
      <c r="B26" s="212"/>
      <c r="C26" s="212"/>
      <c r="D26" s="212"/>
      <c r="E26" s="212"/>
      <c r="F26" s="212"/>
      <c r="G26" s="212"/>
      <c r="H26" s="212"/>
      <c r="I26" s="213"/>
    </row>
    <row r="27" spans="1:9" ht="15.75" customHeight="1">
      <c r="A27" s="24"/>
      <c r="B27" s="119" t="s">
        <v>28</v>
      </c>
      <c r="C27" s="86"/>
      <c r="D27" s="85"/>
      <c r="E27" s="87"/>
      <c r="F27" s="88"/>
      <c r="G27" s="88"/>
      <c r="H27" s="89"/>
      <c r="I27" s="12"/>
    </row>
    <row r="28" spans="1:9" ht="18" customHeight="1">
      <c r="A28" s="24">
        <v>5</v>
      </c>
      <c r="B28" s="85" t="s">
        <v>99</v>
      </c>
      <c r="C28" s="86" t="s">
        <v>100</v>
      </c>
      <c r="D28" s="85" t="s">
        <v>218</v>
      </c>
      <c r="E28" s="88">
        <v>271.95</v>
      </c>
      <c r="F28" s="88">
        <f>SUM(E28*52/1000)</f>
        <v>14.141399999999999</v>
      </c>
      <c r="G28" s="88">
        <v>204.44</v>
      </c>
      <c r="H28" s="89">
        <f t="shared" ref="H28:H33" si="2">SUM(F28*G28/1000)</f>
        <v>2.8910678159999996</v>
      </c>
      <c r="I28" s="12">
        <f>F28/6*G28</f>
        <v>481.84463599999998</v>
      </c>
    </row>
    <row r="29" spans="1:9" ht="49.5" customHeight="1">
      <c r="A29" s="24">
        <v>6</v>
      </c>
      <c r="B29" s="85" t="s">
        <v>134</v>
      </c>
      <c r="C29" s="86" t="s">
        <v>100</v>
      </c>
      <c r="D29" s="85" t="s">
        <v>218</v>
      </c>
      <c r="E29" s="88">
        <v>83.7</v>
      </c>
      <c r="F29" s="88">
        <f>SUM(E29*52/1000)</f>
        <v>4.3524000000000003</v>
      </c>
      <c r="G29" s="88">
        <v>339.21</v>
      </c>
      <c r="H29" s="89">
        <f t="shared" si="2"/>
        <v>1.4763776040000001</v>
      </c>
      <c r="I29" s="12">
        <f t="shared" ref="I29:I38" si="3">F29/6*G29</f>
        <v>246.06293400000001</v>
      </c>
    </row>
    <row r="30" spans="1:9" hidden="1">
      <c r="A30" s="24">
        <v>14</v>
      </c>
      <c r="B30" s="85" t="s">
        <v>27</v>
      </c>
      <c r="C30" s="86" t="s">
        <v>100</v>
      </c>
      <c r="D30" s="85" t="s">
        <v>51</v>
      </c>
      <c r="E30" s="88">
        <v>271.95</v>
      </c>
      <c r="F30" s="88">
        <f>SUM(E30/1000)</f>
        <v>0.27194999999999997</v>
      </c>
      <c r="G30" s="88">
        <v>3961.23</v>
      </c>
      <c r="H30" s="89">
        <f t="shared" si="2"/>
        <v>1.0772564984999999</v>
      </c>
      <c r="I30" s="12">
        <f>F30*G30</f>
        <v>1077.2564984999999</v>
      </c>
    </row>
    <row r="31" spans="1:9" ht="15" customHeight="1">
      <c r="A31" s="24">
        <v>7</v>
      </c>
      <c r="B31" s="85" t="s">
        <v>102</v>
      </c>
      <c r="C31" s="86" t="s">
        <v>38</v>
      </c>
      <c r="D31" s="85" t="s">
        <v>218</v>
      </c>
      <c r="E31" s="88">
        <v>6</v>
      </c>
      <c r="F31" s="88">
        <f>SUM(E31*48/100)</f>
        <v>2.88</v>
      </c>
      <c r="G31" s="88">
        <v>1707.63</v>
      </c>
      <c r="H31" s="89">
        <f>G31*F31/1000</f>
        <v>4.9179744000000003</v>
      </c>
      <c r="I31" s="12">
        <f t="shared" si="3"/>
        <v>819.66240000000005</v>
      </c>
    </row>
    <row r="32" spans="1:9" hidden="1">
      <c r="A32" s="24">
        <v>6</v>
      </c>
      <c r="B32" s="85" t="s">
        <v>61</v>
      </c>
      <c r="C32" s="86" t="s">
        <v>32</v>
      </c>
      <c r="D32" s="85" t="s">
        <v>63</v>
      </c>
      <c r="E32" s="87"/>
      <c r="F32" s="88">
        <v>2</v>
      </c>
      <c r="G32" s="88">
        <v>250.92</v>
      </c>
      <c r="H32" s="89">
        <f t="shared" si="2"/>
        <v>0.50183999999999995</v>
      </c>
      <c r="I32" s="12">
        <v>0</v>
      </c>
    </row>
    <row r="33" spans="1:9" hidden="1">
      <c r="A33" s="24">
        <v>7</v>
      </c>
      <c r="B33" s="85" t="s">
        <v>62</v>
      </c>
      <c r="C33" s="86" t="s">
        <v>31</v>
      </c>
      <c r="D33" s="85" t="s">
        <v>63</v>
      </c>
      <c r="E33" s="87"/>
      <c r="F33" s="88">
        <v>1</v>
      </c>
      <c r="G33" s="88">
        <v>1490.33</v>
      </c>
      <c r="H33" s="89">
        <f t="shared" si="2"/>
        <v>1.4903299999999999</v>
      </c>
      <c r="I33" s="12">
        <v>0</v>
      </c>
    </row>
    <row r="34" spans="1:9" hidden="1">
      <c r="A34" s="24"/>
      <c r="B34" s="118" t="s">
        <v>5</v>
      </c>
      <c r="C34" s="86"/>
      <c r="D34" s="85"/>
      <c r="E34" s="87"/>
      <c r="F34" s="88"/>
      <c r="G34" s="88"/>
      <c r="H34" s="89" t="s">
        <v>129</v>
      </c>
      <c r="I34" s="12"/>
    </row>
    <row r="35" spans="1:9" hidden="1">
      <c r="A35" s="24">
        <v>6</v>
      </c>
      <c r="B35" s="94" t="s">
        <v>26</v>
      </c>
      <c r="C35" s="86" t="s">
        <v>31</v>
      </c>
      <c r="D35" s="85"/>
      <c r="E35" s="87"/>
      <c r="F35" s="88">
        <v>5</v>
      </c>
      <c r="G35" s="88">
        <v>2003</v>
      </c>
      <c r="H35" s="89">
        <f t="shared" ref="H35:H40" si="4">SUM(F35*G35/1000)</f>
        <v>10.015000000000001</v>
      </c>
      <c r="I35" s="12">
        <f t="shared" si="3"/>
        <v>1669.1666666666667</v>
      </c>
    </row>
    <row r="36" spans="1:9" hidden="1">
      <c r="A36" s="24">
        <v>7</v>
      </c>
      <c r="B36" s="94" t="s">
        <v>146</v>
      </c>
      <c r="C36" s="95" t="s">
        <v>29</v>
      </c>
      <c r="D36" s="85" t="s">
        <v>104</v>
      </c>
      <c r="E36" s="87">
        <v>83.7</v>
      </c>
      <c r="F36" s="96">
        <f>E36*30/1000</f>
        <v>2.5110000000000001</v>
      </c>
      <c r="G36" s="88">
        <v>2757.78</v>
      </c>
      <c r="H36" s="89">
        <f t="shared" si="4"/>
        <v>6.9247855800000009</v>
      </c>
      <c r="I36" s="12">
        <f t="shared" si="3"/>
        <v>1154.1309300000003</v>
      </c>
    </row>
    <row r="37" spans="1:9" ht="30" hidden="1">
      <c r="A37" s="24">
        <v>8</v>
      </c>
      <c r="B37" s="85" t="s">
        <v>64</v>
      </c>
      <c r="C37" s="86" t="s">
        <v>29</v>
      </c>
      <c r="D37" s="85" t="s">
        <v>105</v>
      </c>
      <c r="E37" s="88">
        <v>83.7</v>
      </c>
      <c r="F37" s="96">
        <f>SUM(E37*155/1000)</f>
        <v>12.9735</v>
      </c>
      <c r="G37" s="88">
        <v>460.02</v>
      </c>
      <c r="H37" s="89">
        <f t="shared" si="4"/>
        <v>5.9680694699999997</v>
      </c>
      <c r="I37" s="12">
        <f t="shared" si="3"/>
        <v>994.67824499999983</v>
      </c>
    </row>
    <row r="38" spans="1:9" ht="60" hidden="1">
      <c r="A38" s="24">
        <v>9</v>
      </c>
      <c r="B38" s="85" t="s">
        <v>79</v>
      </c>
      <c r="C38" s="86" t="s">
        <v>100</v>
      </c>
      <c r="D38" s="85" t="s">
        <v>104</v>
      </c>
      <c r="E38" s="88">
        <v>83.7</v>
      </c>
      <c r="F38" s="96">
        <f>SUM(E38*30/1000)</f>
        <v>2.5110000000000001</v>
      </c>
      <c r="G38" s="88">
        <v>7611.16</v>
      </c>
      <c r="H38" s="89">
        <f t="shared" si="4"/>
        <v>19.111622760000003</v>
      </c>
      <c r="I38" s="12">
        <f t="shared" si="3"/>
        <v>3185.2704600000002</v>
      </c>
    </row>
    <row r="39" spans="1:9" hidden="1">
      <c r="A39" s="24">
        <v>10</v>
      </c>
      <c r="B39" s="85" t="s">
        <v>107</v>
      </c>
      <c r="C39" s="86" t="s">
        <v>100</v>
      </c>
      <c r="D39" s="85" t="s">
        <v>106</v>
      </c>
      <c r="E39" s="88">
        <v>83.7</v>
      </c>
      <c r="F39" s="96">
        <f>SUM(E39*24/1000)</f>
        <v>2.0088000000000004</v>
      </c>
      <c r="G39" s="88">
        <v>562.25</v>
      </c>
      <c r="H39" s="89">
        <f t="shared" si="4"/>
        <v>1.1294478000000001</v>
      </c>
      <c r="I39" s="12">
        <f>(F39/7.5*1.5)*G39</f>
        <v>225.88956000000002</v>
      </c>
    </row>
    <row r="40" spans="1:9" hidden="1">
      <c r="A40" s="24">
        <v>11</v>
      </c>
      <c r="B40" s="94" t="s">
        <v>65</v>
      </c>
      <c r="C40" s="95" t="s">
        <v>32</v>
      </c>
      <c r="D40" s="94"/>
      <c r="E40" s="92"/>
      <c r="F40" s="96">
        <v>0.9</v>
      </c>
      <c r="G40" s="96">
        <v>974.83</v>
      </c>
      <c r="H40" s="89">
        <f t="shared" si="4"/>
        <v>0.8773470000000001</v>
      </c>
      <c r="I40" s="12">
        <f>(F40/7.5*1.5)*G40</f>
        <v>175.46940000000004</v>
      </c>
    </row>
    <row r="41" spans="1:9" hidden="1">
      <c r="A41" s="211" t="s">
        <v>135</v>
      </c>
      <c r="B41" s="212"/>
      <c r="C41" s="212"/>
      <c r="D41" s="212"/>
      <c r="E41" s="212"/>
      <c r="F41" s="212"/>
      <c r="G41" s="212"/>
      <c r="H41" s="212"/>
      <c r="I41" s="213"/>
    </row>
    <row r="42" spans="1:9" hidden="1">
      <c r="A42" s="24">
        <v>17</v>
      </c>
      <c r="B42" s="85" t="s">
        <v>108</v>
      </c>
      <c r="C42" s="86" t="s">
        <v>100</v>
      </c>
      <c r="D42" s="85" t="s">
        <v>40</v>
      </c>
      <c r="E42" s="87">
        <v>1032.5</v>
      </c>
      <c r="F42" s="88">
        <f>SUM(E42*2/1000)</f>
        <v>2.0649999999999999</v>
      </c>
      <c r="G42" s="29">
        <v>1114.1300000000001</v>
      </c>
      <c r="H42" s="89">
        <f t="shared" ref="H42:H51" si="5">SUM(F42*G42/1000)</f>
        <v>2.3006784500000004</v>
      </c>
      <c r="I42" s="12">
        <f>F42/2*G42</f>
        <v>1150.3392250000002</v>
      </c>
    </row>
    <row r="43" spans="1:9" hidden="1">
      <c r="A43" s="24">
        <v>18</v>
      </c>
      <c r="B43" s="85" t="s">
        <v>33</v>
      </c>
      <c r="C43" s="86" t="s">
        <v>100</v>
      </c>
      <c r="D43" s="85" t="s">
        <v>40</v>
      </c>
      <c r="E43" s="87">
        <v>132</v>
      </c>
      <c r="F43" s="88">
        <f>E43*2/1000</f>
        <v>0.26400000000000001</v>
      </c>
      <c r="G43" s="29">
        <v>4419.05</v>
      </c>
      <c r="H43" s="89">
        <f t="shared" si="5"/>
        <v>1.1666292</v>
      </c>
      <c r="I43" s="12">
        <f t="shared" ref="I43:I49" si="6">F43/2*G43</f>
        <v>583.31460000000004</v>
      </c>
    </row>
    <row r="44" spans="1:9" hidden="1">
      <c r="A44" s="24">
        <v>19</v>
      </c>
      <c r="B44" s="85" t="s">
        <v>34</v>
      </c>
      <c r="C44" s="86" t="s">
        <v>100</v>
      </c>
      <c r="D44" s="85" t="s">
        <v>40</v>
      </c>
      <c r="E44" s="87">
        <v>4248.22</v>
      </c>
      <c r="F44" s="88">
        <f>SUM(E44*2/1000)</f>
        <v>8.4964399999999998</v>
      </c>
      <c r="G44" s="29">
        <v>1803.69</v>
      </c>
      <c r="H44" s="89">
        <f t="shared" si="5"/>
        <v>15.3249438636</v>
      </c>
      <c r="I44" s="12">
        <f t="shared" si="6"/>
        <v>7662.4719317999998</v>
      </c>
    </row>
    <row r="45" spans="1:9" hidden="1">
      <c r="A45" s="24">
        <v>20</v>
      </c>
      <c r="B45" s="85" t="s">
        <v>35</v>
      </c>
      <c r="C45" s="86" t="s">
        <v>100</v>
      </c>
      <c r="D45" s="85" t="s">
        <v>40</v>
      </c>
      <c r="E45" s="87">
        <v>2163.66</v>
      </c>
      <c r="F45" s="88">
        <f>SUM(E45*2/1000)</f>
        <v>4.3273199999999994</v>
      </c>
      <c r="G45" s="29">
        <v>1243.43</v>
      </c>
      <c r="H45" s="89">
        <f t="shared" si="5"/>
        <v>5.3807195075999994</v>
      </c>
      <c r="I45" s="12">
        <f t="shared" si="6"/>
        <v>2690.3597537999999</v>
      </c>
    </row>
    <row r="46" spans="1:9" hidden="1">
      <c r="A46" s="24">
        <v>21</v>
      </c>
      <c r="B46" s="85" t="s">
        <v>53</v>
      </c>
      <c r="C46" s="86" t="s">
        <v>100</v>
      </c>
      <c r="D46" s="85" t="s">
        <v>142</v>
      </c>
      <c r="E46" s="87">
        <v>3931</v>
      </c>
      <c r="F46" s="88">
        <f>SUM(E46*5/1000)</f>
        <v>19.655000000000001</v>
      </c>
      <c r="G46" s="29">
        <v>1083.69</v>
      </c>
      <c r="H46" s="89">
        <f t="shared" si="5"/>
        <v>21.29992695</v>
      </c>
      <c r="I46" s="12">
        <f>F46/5*G46</f>
        <v>4259.9853899999998</v>
      </c>
    </row>
    <row r="47" spans="1:9" ht="45" hidden="1">
      <c r="A47" s="24">
        <v>12</v>
      </c>
      <c r="B47" s="85" t="s">
        <v>109</v>
      </c>
      <c r="C47" s="86" t="s">
        <v>100</v>
      </c>
      <c r="D47" s="85" t="s">
        <v>40</v>
      </c>
      <c r="E47" s="87">
        <v>3931</v>
      </c>
      <c r="F47" s="88">
        <f>SUM(E47*2/1000)</f>
        <v>7.8620000000000001</v>
      </c>
      <c r="G47" s="29">
        <v>1591.6</v>
      </c>
      <c r="H47" s="89">
        <f t="shared" si="5"/>
        <v>12.5131592</v>
      </c>
      <c r="I47" s="12">
        <f t="shared" si="6"/>
        <v>6256.5796</v>
      </c>
    </row>
    <row r="48" spans="1:9" ht="30" hidden="1">
      <c r="A48" s="24">
        <v>13</v>
      </c>
      <c r="B48" s="85" t="s">
        <v>110</v>
      </c>
      <c r="C48" s="86" t="s">
        <v>36</v>
      </c>
      <c r="D48" s="85" t="s">
        <v>40</v>
      </c>
      <c r="E48" s="87">
        <v>30</v>
      </c>
      <c r="F48" s="88">
        <f>SUM(E48*2/100)</f>
        <v>0.6</v>
      </c>
      <c r="G48" s="29">
        <v>4058.32</v>
      </c>
      <c r="H48" s="89">
        <f t="shared" si="5"/>
        <v>2.4349920000000003</v>
      </c>
      <c r="I48" s="12">
        <f t="shared" si="6"/>
        <v>1217.4960000000001</v>
      </c>
    </row>
    <row r="49" spans="1:9" hidden="1">
      <c r="A49" s="24">
        <v>14</v>
      </c>
      <c r="B49" s="85" t="s">
        <v>37</v>
      </c>
      <c r="C49" s="86" t="s">
        <v>38</v>
      </c>
      <c r="D49" s="85" t="s">
        <v>40</v>
      </c>
      <c r="E49" s="87">
        <v>1</v>
      </c>
      <c r="F49" s="88">
        <v>0.02</v>
      </c>
      <c r="G49" s="29">
        <v>7412.92</v>
      </c>
      <c r="H49" s="89">
        <f t="shared" si="5"/>
        <v>0.14825839999999998</v>
      </c>
      <c r="I49" s="12">
        <f t="shared" si="6"/>
        <v>74.129199999999997</v>
      </c>
    </row>
    <row r="50" spans="1:9" hidden="1">
      <c r="A50" s="24">
        <v>22</v>
      </c>
      <c r="B50" s="85" t="s">
        <v>111</v>
      </c>
      <c r="C50" s="86" t="s">
        <v>86</v>
      </c>
      <c r="D50" s="85" t="s">
        <v>66</v>
      </c>
      <c r="E50" s="87">
        <v>90</v>
      </c>
      <c r="F50" s="88">
        <f>E50*3</f>
        <v>270</v>
      </c>
      <c r="G50" s="29">
        <v>185.08</v>
      </c>
      <c r="H50" s="89">
        <f t="shared" si="5"/>
        <v>49.971600000000009</v>
      </c>
      <c r="I50" s="12">
        <f>F50/3*G50</f>
        <v>16657.2</v>
      </c>
    </row>
    <row r="51" spans="1:9" hidden="1">
      <c r="A51" s="24">
        <v>23</v>
      </c>
      <c r="B51" s="85" t="s">
        <v>39</v>
      </c>
      <c r="C51" s="86" t="s">
        <v>86</v>
      </c>
      <c r="D51" s="85" t="s">
        <v>66</v>
      </c>
      <c r="E51" s="87">
        <v>180</v>
      </c>
      <c r="F51" s="88">
        <f>SUM(E51)*3</f>
        <v>540</v>
      </c>
      <c r="G51" s="97">
        <v>86.15</v>
      </c>
      <c r="H51" s="89">
        <f t="shared" si="5"/>
        <v>46.521000000000001</v>
      </c>
      <c r="I51" s="12">
        <f>F51/3*G51</f>
        <v>15507.000000000002</v>
      </c>
    </row>
    <row r="52" spans="1:9">
      <c r="A52" s="211" t="s">
        <v>139</v>
      </c>
      <c r="B52" s="212"/>
      <c r="C52" s="212"/>
      <c r="D52" s="212"/>
      <c r="E52" s="212"/>
      <c r="F52" s="212"/>
      <c r="G52" s="212"/>
      <c r="H52" s="212"/>
      <c r="I52" s="213"/>
    </row>
    <row r="53" spans="1:9" hidden="1">
      <c r="A53" s="24"/>
      <c r="B53" s="119" t="s">
        <v>41</v>
      </c>
      <c r="C53" s="86"/>
      <c r="D53" s="85"/>
      <c r="E53" s="87"/>
      <c r="F53" s="88"/>
      <c r="G53" s="88"/>
      <c r="H53" s="89"/>
      <c r="I53" s="12"/>
    </row>
    <row r="54" spans="1:9" ht="45" hidden="1">
      <c r="A54" s="24">
        <v>15</v>
      </c>
      <c r="B54" s="85" t="s">
        <v>125</v>
      </c>
      <c r="C54" s="86" t="s">
        <v>90</v>
      </c>
      <c r="D54" s="151" t="s">
        <v>164</v>
      </c>
      <c r="E54" s="87">
        <v>30.6</v>
      </c>
      <c r="F54" s="88">
        <f>SUM(E54*6/100)</f>
        <v>1.8360000000000003</v>
      </c>
      <c r="G54" s="29">
        <v>2029.3</v>
      </c>
      <c r="H54" s="89">
        <f>SUM(F54*G54/1000)</f>
        <v>3.7257948000000005</v>
      </c>
      <c r="I54" s="12">
        <f>G54*0.48</f>
        <v>974.06399999999996</v>
      </c>
    </row>
    <row r="55" spans="1:9" ht="30" hidden="1">
      <c r="A55" s="24">
        <v>16</v>
      </c>
      <c r="B55" s="85" t="s">
        <v>84</v>
      </c>
      <c r="C55" s="86" t="s">
        <v>90</v>
      </c>
      <c r="D55" s="85" t="s">
        <v>85</v>
      </c>
      <c r="E55" s="87">
        <v>39.69</v>
      </c>
      <c r="F55" s="88">
        <f>SUM(E55*12/100)</f>
        <v>4.7627999999999995</v>
      </c>
      <c r="G55" s="29">
        <v>2029.3</v>
      </c>
      <c r="H55" s="89">
        <f>SUM(F55*G55/1000)</f>
        <v>9.6651500399999986</v>
      </c>
      <c r="I55" s="12">
        <f t="shared" ref="I55:I57" si="7">F55/6*G55</f>
        <v>1610.8583399999998</v>
      </c>
    </row>
    <row r="56" spans="1:9" hidden="1">
      <c r="A56" s="24">
        <v>20</v>
      </c>
      <c r="B56" s="98" t="s">
        <v>113</v>
      </c>
      <c r="C56" s="99" t="s">
        <v>114</v>
      </c>
      <c r="D56" s="98" t="s">
        <v>40</v>
      </c>
      <c r="E56" s="100">
        <v>8</v>
      </c>
      <c r="F56" s="101">
        <v>16</v>
      </c>
      <c r="G56" s="29">
        <v>237.1</v>
      </c>
      <c r="H56" s="89">
        <f>SUM(F56*G56/1000)</f>
        <v>3.7936000000000001</v>
      </c>
      <c r="I56" s="12">
        <v>0</v>
      </c>
    </row>
    <row r="57" spans="1:9" hidden="1">
      <c r="A57" s="24">
        <v>17</v>
      </c>
      <c r="B57" s="85" t="s">
        <v>115</v>
      </c>
      <c r="C57" s="86" t="s">
        <v>90</v>
      </c>
      <c r="D57" s="85" t="s">
        <v>112</v>
      </c>
      <c r="E57" s="87">
        <v>41.73</v>
      </c>
      <c r="F57" s="88">
        <f>SUM(E57*6/100)</f>
        <v>2.5038</v>
      </c>
      <c r="G57" s="29">
        <v>2029.3</v>
      </c>
      <c r="H57" s="89">
        <f>SUM(F57*G57/1000)</f>
        <v>5.08096134</v>
      </c>
      <c r="I57" s="12">
        <f t="shared" si="7"/>
        <v>846.82688999999993</v>
      </c>
    </row>
    <row r="58" spans="1:9" hidden="1">
      <c r="A58" s="24">
        <v>24</v>
      </c>
      <c r="B58" s="98" t="s">
        <v>133</v>
      </c>
      <c r="C58" s="99" t="s">
        <v>31</v>
      </c>
      <c r="D58" s="161" t="s">
        <v>165</v>
      </c>
      <c r="E58" s="100"/>
      <c r="F58" s="101">
        <v>4</v>
      </c>
      <c r="G58" s="29">
        <v>1582.05</v>
      </c>
      <c r="H58" s="89">
        <f>SUM(F58*G58/1000)</f>
        <v>6.3281999999999998</v>
      </c>
      <c r="I58" s="12">
        <f>G58*9</f>
        <v>14238.449999999999</v>
      </c>
    </row>
    <row r="59" spans="1:9" ht="18" customHeight="1">
      <c r="A59" s="24"/>
      <c r="B59" s="120" t="s">
        <v>42</v>
      </c>
      <c r="C59" s="99"/>
      <c r="D59" s="98"/>
      <c r="E59" s="100"/>
      <c r="F59" s="101"/>
      <c r="G59" s="29"/>
      <c r="H59" s="102"/>
      <c r="I59" s="12"/>
    </row>
    <row r="60" spans="1:9" hidden="1">
      <c r="A60" s="24">
        <v>14</v>
      </c>
      <c r="B60" s="98" t="s">
        <v>130</v>
      </c>
      <c r="C60" s="99" t="s">
        <v>50</v>
      </c>
      <c r="D60" s="98" t="s">
        <v>51</v>
      </c>
      <c r="E60" s="100">
        <v>508.73</v>
      </c>
      <c r="F60" s="88">
        <f>SUM(E60/100)</f>
        <v>5.0872999999999999</v>
      </c>
      <c r="G60" s="29">
        <v>1040.8399999999999</v>
      </c>
      <c r="H60" s="102">
        <f>F60*G60/1000</f>
        <v>5.2950653319999992</v>
      </c>
      <c r="I60" s="12">
        <v>0</v>
      </c>
    </row>
    <row r="61" spans="1:9" ht="20.25" customHeight="1">
      <c r="A61" s="24">
        <v>9</v>
      </c>
      <c r="B61" s="47" t="s">
        <v>87</v>
      </c>
      <c r="C61" s="48" t="s">
        <v>25</v>
      </c>
      <c r="D61" s="47" t="s">
        <v>225</v>
      </c>
      <c r="E61" s="49">
        <v>200</v>
      </c>
      <c r="F61" s="130">
        <f>E61*12</f>
        <v>2400</v>
      </c>
      <c r="G61" s="40">
        <v>1.4</v>
      </c>
      <c r="H61" s="50">
        <f>F61*G61/1000</f>
        <v>3.36</v>
      </c>
      <c r="I61" s="12">
        <f>F61/12*G61</f>
        <v>280</v>
      </c>
    </row>
    <row r="62" spans="1:9" hidden="1">
      <c r="A62" s="24"/>
      <c r="B62" s="121" t="s">
        <v>43</v>
      </c>
      <c r="C62" s="99"/>
      <c r="D62" s="98"/>
      <c r="E62" s="100"/>
      <c r="F62" s="103"/>
      <c r="G62" s="103"/>
      <c r="H62" s="101" t="s">
        <v>129</v>
      </c>
      <c r="I62" s="12"/>
    </row>
    <row r="63" spans="1:9" hidden="1">
      <c r="A63" s="24"/>
      <c r="B63" s="105" t="s">
        <v>44</v>
      </c>
      <c r="C63" s="106" t="s">
        <v>86</v>
      </c>
      <c r="D63" s="30" t="s">
        <v>154</v>
      </c>
      <c r="E63" s="15">
        <v>10</v>
      </c>
      <c r="F63" s="88">
        <f>E63</f>
        <v>10</v>
      </c>
      <c r="G63" s="29">
        <v>291.68</v>
      </c>
      <c r="H63" s="75">
        <f t="shared" ref="H63:H79" si="8">SUM(F63*G63/1000)</f>
        <v>2.9168000000000003</v>
      </c>
      <c r="I63" s="12">
        <v>0</v>
      </c>
    </row>
    <row r="64" spans="1:9" hidden="1">
      <c r="A64" s="61"/>
      <c r="B64" s="105" t="s">
        <v>45</v>
      </c>
      <c r="C64" s="106" t="s">
        <v>86</v>
      </c>
      <c r="D64" s="30" t="s">
        <v>154</v>
      </c>
      <c r="E64" s="15">
        <v>10</v>
      </c>
      <c r="F64" s="88">
        <f>E64</f>
        <v>10</v>
      </c>
      <c r="G64" s="29">
        <v>100.01</v>
      </c>
      <c r="H64" s="75">
        <f t="shared" si="8"/>
        <v>1.0001</v>
      </c>
      <c r="I64" s="12">
        <v>0</v>
      </c>
    </row>
    <row r="65" spans="1:9" hidden="1">
      <c r="A65" s="24">
        <v>26</v>
      </c>
      <c r="B65" s="105" t="s">
        <v>46</v>
      </c>
      <c r="C65" s="107" t="s">
        <v>116</v>
      </c>
      <c r="D65" s="30" t="s">
        <v>51</v>
      </c>
      <c r="E65" s="87">
        <v>14347</v>
      </c>
      <c r="F65" s="97">
        <f>SUM(E65/100)</f>
        <v>143.47</v>
      </c>
      <c r="G65" s="29">
        <v>278.24</v>
      </c>
      <c r="H65" s="75">
        <f t="shared" si="8"/>
        <v>39.919092800000001</v>
      </c>
      <c r="I65" s="12">
        <f t="shared" ref="I65:I70" si="9">F65*G65</f>
        <v>39919.092799999999</v>
      </c>
    </row>
    <row r="66" spans="1:9" hidden="1">
      <c r="A66" s="62">
        <v>27</v>
      </c>
      <c r="B66" s="105" t="s">
        <v>47</v>
      </c>
      <c r="C66" s="106" t="s">
        <v>117</v>
      </c>
      <c r="D66" s="30"/>
      <c r="E66" s="87">
        <v>14347</v>
      </c>
      <c r="F66" s="29">
        <f>SUM(E66/1000)</f>
        <v>14.347</v>
      </c>
      <c r="G66" s="29">
        <v>216.68</v>
      </c>
      <c r="H66" s="75">
        <f t="shared" si="8"/>
        <v>3.1087079600000003</v>
      </c>
      <c r="I66" s="12">
        <f t="shared" si="9"/>
        <v>3108.7079600000002</v>
      </c>
    </row>
    <row r="67" spans="1:9" hidden="1">
      <c r="A67" s="24">
        <v>28</v>
      </c>
      <c r="B67" s="105" t="s">
        <v>48</v>
      </c>
      <c r="C67" s="106" t="s">
        <v>72</v>
      </c>
      <c r="D67" s="30" t="s">
        <v>51</v>
      </c>
      <c r="E67" s="87">
        <v>2244</v>
      </c>
      <c r="F67" s="29">
        <f>SUM(E67/100)</f>
        <v>22.44</v>
      </c>
      <c r="G67" s="29">
        <v>2720.94</v>
      </c>
      <c r="H67" s="75">
        <f t="shared" si="8"/>
        <v>61.0578936</v>
      </c>
      <c r="I67" s="12">
        <f t="shared" si="9"/>
        <v>61057.893600000003</v>
      </c>
    </row>
    <row r="68" spans="1:9" hidden="1">
      <c r="A68" s="24">
        <v>29</v>
      </c>
      <c r="B68" s="108" t="s">
        <v>118</v>
      </c>
      <c r="C68" s="106" t="s">
        <v>32</v>
      </c>
      <c r="D68" s="30"/>
      <c r="E68" s="87">
        <v>12.8</v>
      </c>
      <c r="F68" s="29">
        <f>SUM(E68)</f>
        <v>12.8</v>
      </c>
      <c r="G68" s="29">
        <v>42.61</v>
      </c>
      <c r="H68" s="75">
        <f t="shared" si="8"/>
        <v>0.545408</v>
      </c>
      <c r="I68" s="12">
        <f t="shared" si="9"/>
        <v>545.40800000000002</v>
      </c>
    </row>
    <row r="69" spans="1:9" hidden="1">
      <c r="A69" s="24">
        <v>30</v>
      </c>
      <c r="B69" s="108" t="s">
        <v>119</v>
      </c>
      <c r="C69" s="106" t="s">
        <v>32</v>
      </c>
      <c r="D69" s="30"/>
      <c r="E69" s="87">
        <v>12.8</v>
      </c>
      <c r="F69" s="29">
        <f>SUM(E69)</f>
        <v>12.8</v>
      </c>
      <c r="G69" s="29">
        <v>46.04</v>
      </c>
      <c r="H69" s="75">
        <f t="shared" si="8"/>
        <v>0.58931200000000006</v>
      </c>
      <c r="I69" s="12">
        <f t="shared" si="9"/>
        <v>589.31200000000001</v>
      </c>
    </row>
    <row r="70" spans="1:9" hidden="1">
      <c r="A70" s="24">
        <v>20</v>
      </c>
      <c r="B70" s="30" t="s">
        <v>54</v>
      </c>
      <c r="C70" s="106" t="s">
        <v>55</v>
      </c>
      <c r="D70" s="30" t="s">
        <v>51</v>
      </c>
      <c r="E70" s="15">
        <v>6</v>
      </c>
      <c r="F70" s="29">
        <f>SUM(E70)</f>
        <v>6</v>
      </c>
      <c r="G70" s="29">
        <v>65.42</v>
      </c>
      <c r="H70" s="75">
        <f t="shared" si="8"/>
        <v>0.39251999999999998</v>
      </c>
      <c r="I70" s="12">
        <f t="shared" si="9"/>
        <v>392.52</v>
      </c>
    </row>
    <row r="71" spans="1:9" ht="20.25" customHeight="1">
      <c r="A71" s="24"/>
      <c r="B71" s="122" t="s">
        <v>147</v>
      </c>
      <c r="C71" s="106"/>
      <c r="D71" s="30"/>
      <c r="E71" s="15"/>
      <c r="F71" s="104"/>
      <c r="G71" s="29"/>
      <c r="H71" s="75"/>
      <c r="I71" s="12"/>
    </row>
    <row r="72" spans="1:9" ht="31.5" customHeight="1">
      <c r="A72" s="24">
        <v>10</v>
      </c>
      <c r="B72" s="30" t="s">
        <v>148</v>
      </c>
      <c r="C72" s="109" t="s">
        <v>149</v>
      </c>
      <c r="D72" s="30"/>
      <c r="E72" s="15">
        <v>3181</v>
      </c>
      <c r="F72" s="88">
        <f>SUM(E72)*12</f>
        <v>38172</v>
      </c>
      <c r="G72" s="29">
        <v>2.2799999999999998</v>
      </c>
      <c r="H72" s="75">
        <f t="shared" ref="H72" si="10">SUM(F72*G72/1000)</f>
        <v>87.03215999999999</v>
      </c>
      <c r="I72" s="12">
        <f>F72/12*G72</f>
        <v>7252.6799999999994</v>
      </c>
    </row>
    <row r="73" spans="1:9" hidden="1">
      <c r="A73" s="24"/>
      <c r="B73" s="122" t="s">
        <v>67</v>
      </c>
      <c r="C73" s="106"/>
      <c r="D73" s="30"/>
      <c r="E73" s="15"/>
      <c r="F73" s="29"/>
      <c r="G73" s="29"/>
      <c r="H73" s="75" t="s">
        <v>129</v>
      </c>
      <c r="I73" s="12"/>
    </row>
    <row r="74" spans="1:9" hidden="1">
      <c r="A74" s="24">
        <v>20</v>
      </c>
      <c r="B74" s="30" t="s">
        <v>150</v>
      </c>
      <c r="C74" s="106" t="s">
        <v>30</v>
      </c>
      <c r="D74" s="30" t="s">
        <v>63</v>
      </c>
      <c r="E74" s="15">
        <v>1</v>
      </c>
      <c r="F74" s="88">
        <f t="shared" ref="F74" si="11">E74</f>
        <v>1</v>
      </c>
      <c r="G74" s="29">
        <v>1029.1199999999999</v>
      </c>
      <c r="H74" s="75">
        <f>G74*F74/1000</f>
        <v>1.0291199999999998</v>
      </c>
      <c r="I74" s="12">
        <f>G74*2</f>
        <v>2058.2399999999998</v>
      </c>
    </row>
    <row r="75" spans="1:9" hidden="1">
      <c r="A75" s="24">
        <v>21</v>
      </c>
      <c r="B75" s="30" t="s">
        <v>151</v>
      </c>
      <c r="C75" s="106" t="s">
        <v>152</v>
      </c>
      <c r="D75" s="30" t="s">
        <v>63</v>
      </c>
      <c r="E75" s="15">
        <v>1</v>
      </c>
      <c r="F75" s="29">
        <v>1</v>
      </c>
      <c r="G75" s="29">
        <v>735</v>
      </c>
      <c r="H75" s="75">
        <f t="shared" ref="H75:H77" si="12">SUM(F75*G75/1000)</f>
        <v>0.73499999999999999</v>
      </c>
      <c r="I75" s="12">
        <f>G75*2</f>
        <v>1470</v>
      </c>
    </row>
    <row r="76" spans="1:9" hidden="1">
      <c r="A76" s="24"/>
      <c r="B76" s="30" t="s">
        <v>68</v>
      </c>
      <c r="C76" s="106" t="s">
        <v>70</v>
      </c>
      <c r="D76" s="30" t="s">
        <v>63</v>
      </c>
      <c r="E76" s="15">
        <v>8</v>
      </c>
      <c r="F76" s="29">
        <f>E76/10</f>
        <v>0.8</v>
      </c>
      <c r="G76" s="29">
        <v>657.87</v>
      </c>
      <c r="H76" s="75">
        <f t="shared" si="12"/>
        <v>0.5262960000000001</v>
      </c>
      <c r="I76" s="12">
        <v>0</v>
      </c>
    </row>
    <row r="77" spans="1:9" hidden="1">
      <c r="A77" s="24">
        <v>22</v>
      </c>
      <c r="B77" s="30" t="s">
        <v>69</v>
      </c>
      <c r="C77" s="106" t="s">
        <v>30</v>
      </c>
      <c r="D77" s="30" t="s">
        <v>63</v>
      </c>
      <c r="E77" s="15">
        <v>1</v>
      </c>
      <c r="F77" s="104">
        <v>1</v>
      </c>
      <c r="G77" s="29">
        <v>1118.72</v>
      </c>
      <c r="H77" s="75">
        <f t="shared" si="12"/>
        <v>1.1187199999999999</v>
      </c>
      <c r="I77" s="12">
        <f>G77*10</f>
        <v>11187.2</v>
      </c>
    </row>
    <row r="78" spans="1:9" hidden="1">
      <c r="A78" s="24"/>
      <c r="B78" s="123" t="s">
        <v>71</v>
      </c>
      <c r="C78" s="106"/>
      <c r="D78" s="30"/>
      <c r="E78" s="15"/>
      <c r="F78" s="29"/>
      <c r="G78" s="29" t="s">
        <v>129</v>
      </c>
      <c r="H78" s="75" t="s">
        <v>129</v>
      </c>
      <c r="I78" s="12" t="str">
        <f>G78</f>
        <v xml:space="preserve"> </v>
      </c>
    </row>
    <row r="79" spans="1:9" hidden="1">
      <c r="A79" s="24"/>
      <c r="B79" s="110" t="s">
        <v>122</v>
      </c>
      <c r="C79" s="107" t="s">
        <v>72</v>
      </c>
      <c r="D79" s="105"/>
      <c r="E79" s="111"/>
      <c r="F79" s="97">
        <v>0.6</v>
      </c>
      <c r="G79" s="97">
        <v>3619.09</v>
      </c>
      <c r="H79" s="75">
        <f t="shared" si="8"/>
        <v>2.1714540000000002</v>
      </c>
      <c r="I79" s="12">
        <v>0</v>
      </c>
    </row>
    <row r="80" spans="1:9" ht="28.5" hidden="1">
      <c r="A80" s="24"/>
      <c r="B80" s="152" t="s">
        <v>120</v>
      </c>
      <c r="C80" s="12"/>
      <c r="D80" s="12"/>
      <c r="E80" s="12"/>
      <c r="F80" s="12"/>
      <c r="G80" s="12"/>
      <c r="H80" s="12"/>
      <c r="I80" s="12"/>
    </row>
    <row r="81" spans="1:9" hidden="1">
      <c r="A81" s="61"/>
      <c r="B81" s="98" t="s">
        <v>121</v>
      </c>
      <c r="C81" s="137"/>
      <c r="D81" s="138"/>
      <c r="E81" s="114"/>
      <c r="F81" s="139">
        <v>1</v>
      </c>
      <c r="G81" s="139">
        <v>30235</v>
      </c>
      <c r="H81" s="140">
        <f>G81*F81/1000</f>
        <v>30.234999999999999</v>
      </c>
      <c r="I81" s="59">
        <f>G81</f>
        <v>30235</v>
      </c>
    </row>
    <row r="82" spans="1:9" hidden="1">
      <c r="A82" s="24"/>
      <c r="B82" s="141" t="s">
        <v>147</v>
      </c>
      <c r="C82" s="142"/>
      <c r="D82" s="143"/>
      <c r="E82" s="15"/>
      <c r="F82" s="115"/>
      <c r="G82" s="115"/>
      <c r="H82" s="29"/>
      <c r="I82" s="12"/>
    </row>
    <row r="83" spans="1:9" ht="30" hidden="1">
      <c r="A83" s="24">
        <v>19</v>
      </c>
      <c r="B83" s="30" t="s">
        <v>148</v>
      </c>
      <c r="C83" s="109" t="s">
        <v>149</v>
      </c>
      <c r="D83" s="30" t="s">
        <v>63</v>
      </c>
      <c r="E83" s="15"/>
      <c r="F83" s="115"/>
      <c r="G83" s="29">
        <v>2.2799999999999998</v>
      </c>
      <c r="H83" s="29"/>
      <c r="I83" s="12">
        <f>38172/12*G83</f>
        <v>7252.6799999999994</v>
      </c>
    </row>
    <row r="84" spans="1:9">
      <c r="A84" s="201" t="s">
        <v>140</v>
      </c>
      <c r="B84" s="202"/>
      <c r="C84" s="202"/>
      <c r="D84" s="202"/>
      <c r="E84" s="202"/>
      <c r="F84" s="202"/>
      <c r="G84" s="202"/>
      <c r="H84" s="202"/>
      <c r="I84" s="203"/>
    </row>
    <row r="85" spans="1:9" ht="18" customHeight="1">
      <c r="A85" s="61">
        <v>11</v>
      </c>
      <c r="B85" s="85" t="s">
        <v>123</v>
      </c>
      <c r="C85" s="106" t="s">
        <v>52</v>
      </c>
      <c r="D85" s="116"/>
      <c r="E85" s="29">
        <v>3931</v>
      </c>
      <c r="F85" s="29">
        <f>SUM(E85*12)</f>
        <v>47172</v>
      </c>
      <c r="G85" s="29">
        <v>3.1</v>
      </c>
      <c r="H85" s="75">
        <f>SUM(F85*G85/1000)</f>
        <v>146.23320000000001</v>
      </c>
      <c r="I85" s="12">
        <f>F85/12*G85</f>
        <v>12186.1</v>
      </c>
    </row>
    <row r="86" spans="1:9" ht="38.25" customHeight="1">
      <c r="A86" s="24">
        <v>12</v>
      </c>
      <c r="B86" s="30" t="s">
        <v>73</v>
      </c>
      <c r="C86" s="106"/>
      <c r="D86" s="116"/>
      <c r="E86" s="87">
        <f>E85</f>
        <v>3931</v>
      </c>
      <c r="F86" s="29">
        <f>E86*12</f>
        <v>47172</v>
      </c>
      <c r="G86" s="29">
        <v>3.5</v>
      </c>
      <c r="H86" s="75">
        <f>F86*G86/1000</f>
        <v>165.102</v>
      </c>
      <c r="I86" s="12">
        <f>F86/12*G86</f>
        <v>13758.5</v>
      </c>
    </row>
    <row r="87" spans="1:9">
      <c r="A87" s="24"/>
      <c r="B87" s="31" t="s">
        <v>76</v>
      </c>
      <c r="C87" s="57"/>
      <c r="D87" s="56"/>
      <c r="E87" s="46"/>
      <c r="F87" s="46"/>
      <c r="G87" s="46"/>
      <c r="H87" s="58">
        <f>H86</f>
        <v>165.102</v>
      </c>
      <c r="I87" s="46">
        <f>I86+I85+I72+I61+I31+I29+I28+I25+I18+I17+I16</f>
        <v>53003.974300000009</v>
      </c>
    </row>
    <row r="88" spans="1:9">
      <c r="A88" s="190" t="s">
        <v>57</v>
      </c>
      <c r="B88" s="191"/>
      <c r="C88" s="191"/>
      <c r="D88" s="191"/>
      <c r="E88" s="191"/>
      <c r="F88" s="191"/>
      <c r="G88" s="191"/>
      <c r="H88" s="191"/>
      <c r="I88" s="192"/>
    </row>
    <row r="89" spans="1:9" ht="15.75" customHeight="1">
      <c r="A89" s="24">
        <v>13</v>
      </c>
      <c r="B89" s="77" t="s">
        <v>78</v>
      </c>
      <c r="C89" s="78" t="s">
        <v>86</v>
      </c>
      <c r="D89" s="24"/>
      <c r="E89" s="16"/>
      <c r="F89" s="12"/>
      <c r="G89" s="29">
        <v>207.55</v>
      </c>
      <c r="H89" s="54">
        <f>G89*F89/1000</f>
        <v>0</v>
      </c>
      <c r="I89" s="59">
        <f>G89*1</f>
        <v>207.55</v>
      </c>
    </row>
    <row r="90" spans="1:9" ht="30">
      <c r="A90" s="24">
        <v>14</v>
      </c>
      <c r="B90" s="77" t="s">
        <v>185</v>
      </c>
      <c r="C90" s="78" t="s">
        <v>36</v>
      </c>
      <c r="D90" s="13"/>
      <c r="E90" s="16"/>
      <c r="F90" s="12"/>
      <c r="G90" s="29">
        <v>3914.31</v>
      </c>
      <c r="H90" s="54">
        <f t="shared" ref="H90" si="13">G90*F90/1000</f>
        <v>0</v>
      </c>
      <c r="I90" s="59">
        <f>G90*0.01</f>
        <v>39.143099999999997</v>
      </c>
    </row>
    <row r="91" spans="1:9">
      <c r="A91" s="24">
        <v>15</v>
      </c>
      <c r="B91" s="77" t="s">
        <v>159</v>
      </c>
      <c r="C91" s="78" t="s">
        <v>186</v>
      </c>
      <c r="D91" s="13"/>
      <c r="E91" s="16"/>
      <c r="F91" s="12">
        <v>0.04</v>
      </c>
      <c r="G91" s="29">
        <v>273</v>
      </c>
      <c r="H91" s="54">
        <f>G91*F91/1000</f>
        <v>1.0919999999999999E-2</v>
      </c>
      <c r="I91" s="59">
        <f>G91*3</f>
        <v>819</v>
      </c>
    </row>
    <row r="92" spans="1:9">
      <c r="A92" s="24">
        <v>16</v>
      </c>
      <c r="B92" s="77" t="s">
        <v>213</v>
      </c>
      <c r="C92" s="78" t="s">
        <v>38</v>
      </c>
      <c r="D92" s="13"/>
      <c r="E92" s="16"/>
      <c r="F92" s="12"/>
      <c r="G92" s="29">
        <v>26095.37</v>
      </c>
      <c r="H92" s="54"/>
      <c r="I92" s="59">
        <f>G92*0.02</f>
        <v>521.90739999999994</v>
      </c>
    </row>
    <row r="93" spans="1:9">
      <c r="A93" s="24">
        <v>17</v>
      </c>
      <c r="B93" s="183" t="s">
        <v>214</v>
      </c>
      <c r="C93" s="162" t="s">
        <v>86</v>
      </c>
      <c r="D93" s="24"/>
      <c r="E93" s="16"/>
      <c r="F93" s="12"/>
      <c r="G93" s="29">
        <v>159.47</v>
      </c>
      <c r="H93" s="54"/>
      <c r="I93" s="59">
        <f>G93*3</f>
        <v>478.40999999999997</v>
      </c>
    </row>
    <row r="94" spans="1:9">
      <c r="A94" s="24">
        <v>18</v>
      </c>
      <c r="B94" s="77" t="s">
        <v>215</v>
      </c>
      <c r="C94" s="78" t="s">
        <v>86</v>
      </c>
      <c r="D94" s="24"/>
      <c r="E94" s="16"/>
      <c r="F94" s="12"/>
      <c r="G94" s="29">
        <v>1451</v>
      </c>
      <c r="H94" s="54"/>
      <c r="I94" s="59">
        <f>G94*3</f>
        <v>4353</v>
      </c>
    </row>
    <row r="95" spans="1:9">
      <c r="A95" s="24">
        <v>19</v>
      </c>
      <c r="B95" s="77" t="s">
        <v>249</v>
      </c>
      <c r="C95" s="78" t="s">
        <v>241</v>
      </c>
      <c r="D95" s="24"/>
      <c r="E95" s="16"/>
      <c r="F95" s="12"/>
      <c r="G95" s="144">
        <v>343013.28</v>
      </c>
      <c r="H95" s="54"/>
      <c r="I95" s="59">
        <f>G95*1</f>
        <v>343013.28</v>
      </c>
    </row>
    <row r="96" spans="1:9" ht="15" customHeight="1">
      <c r="A96" s="24"/>
      <c r="B96" s="60" t="s">
        <v>49</v>
      </c>
      <c r="C96" s="32"/>
      <c r="D96" s="38"/>
      <c r="E96" s="32">
        <v>1</v>
      </c>
      <c r="F96" s="32"/>
      <c r="G96" s="32"/>
      <c r="H96" s="32"/>
      <c r="I96" s="27">
        <f>SUM(I89:I95)</f>
        <v>349432.2905</v>
      </c>
    </row>
    <row r="97" spans="1:9">
      <c r="A97" s="24"/>
      <c r="B97" s="37" t="s">
        <v>74</v>
      </c>
      <c r="C97" s="14"/>
      <c r="D97" s="14"/>
      <c r="E97" s="33"/>
      <c r="F97" s="33"/>
      <c r="G97" s="34"/>
      <c r="H97" s="34"/>
      <c r="I97" s="15">
        <v>0</v>
      </c>
    </row>
    <row r="98" spans="1:9">
      <c r="A98" s="39"/>
      <c r="B98" s="36" t="s">
        <v>143</v>
      </c>
      <c r="C98" s="28"/>
      <c r="D98" s="28"/>
      <c r="E98" s="28"/>
      <c r="F98" s="28"/>
      <c r="G98" s="28"/>
      <c r="H98" s="28"/>
      <c r="I98" s="35">
        <f>I87+I96</f>
        <v>402436.2648</v>
      </c>
    </row>
    <row r="99" spans="1:9" ht="15.75">
      <c r="A99" s="193" t="s">
        <v>250</v>
      </c>
      <c r="B99" s="193"/>
      <c r="C99" s="193"/>
      <c r="D99" s="193"/>
      <c r="E99" s="193"/>
      <c r="F99" s="193"/>
      <c r="G99" s="193"/>
      <c r="H99" s="193"/>
      <c r="I99" s="193"/>
    </row>
    <row r="100" spans="1:9" ht="15.75">
      <c r="A100" s="68"/>
      <c r="B100" s="194" t="s">
        <v>251</v>
      </c>
      <c r="C100" s="194"/>
      <c r="D100" s="194"/>
      <c r="E100" s="194"/>
      <c r="F100" s="194"/>
      <c r="G100" s="194"/>
      <c r="H100" s="43"/>
      <c r="I100" s="3"/>
    </row>
    <row r="101" spans="1:9">
      <c r="A101" s="154"/>
      <c r="B101" s="195" t="s">
        <v>6</v>
      </c>
      <c r="C101" s="195"/>
      <c r="D101" s="195"/>
      <c r="E101" s="195"/>
      <c r="F101" s="195"/>
      <c r="G101" s="195"/>
      <c r="H101" s="19"/>
      <c r="I101" s="5"/>
    </row>
    <row r="102" spans="1:9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5.75">
      <c r="A103" s="196" t="s">
        <v>7</v>
      </c>
      <c r="B103" s="196"/>
      <c r="C103" s="196"/>
      <c r="D103" s="196"/>
      <c r="E103" s="196"/>
      <c r="F103" s="196"/>
      <c r="G103" s="196"/>
      <c r="H103" s="196"/>
      <c r="I103" s="196"/>
    </row>
    <row r="104" spans="1:9" ht="15.75">
      <c r="A104" s="196" t="s">
        <v>8</v>
      </c>
      <c r="B104" s="196"/>
      <c r="C104" s="196"/>
      <c r="D104" s="196"/>
      <c r="E104" s="196"/>
      <c r="F104" s="196"/>
      <c r="G104" s="196"/>
      <c r="H104" s="196"/>
      <c r="I104" s="196"/>
    </row>
    <row r="105" spans="1:9" ht="15.75">
      <c r="A105" s="197" t="s">
        <v>58</v>
      </c>
      <c r="B105" s="197"/>
      <c r="C105" s="197"/>
      <c r="D105" s="197"/>
      <c r="E105" s="197"/>
      <c r="F105" s="197"/>
      <c r="G105" s="197"/>
      <c r="H105" s="197"/>
      <c r="I105" s="197"/>
    </row>
    <row r="106" spans="1:9" ht="15.75">
      <c r="A106" s="10"/>
    </row>
    <row r="107" spans="1:9" ht="15.75">
      <c r="A107" s="198" t="s">
        <v>9</v>
      </c>
      <c r="B107" s="198"/>
      <c r="C107" s="198"/>
      <c r="D107" s="198"/>
      <c r="E107" s="198"/>
      <c r="F107" s="198"/>
      <c r="G107" s="198"/>
      <c r="H107" s="198"/>
      <c r="I107" s="198"/>
    </row>
    <row r="108" spans="1:9" ht="15.75">
      <c r="A108" s="4"/>
    </row>
    <row r="109" spans="1:9" ht="15.75">
      <c r="B109" s="156" t="s">
        <v>10</v>
      </c>
      <c r="C109" s="199" t="s">
        <v>83</v>
      </c>
      <c r="D109" s="199"/>
      <c r="E109" s="199"/>
      <c r="F109" s="41"/>
      <c r="I109" s="157"/>
    </row>
    <row r="110" spans="1:9">
      <c r="A110" s="154"/>
      <c r="C110" s="195" t="s">
        <v>11</v>
      </c>
      <c r="D110" s="195"/>
      <c r="E110" s="195"/>
      <c r="F110" s="19"/>
      <c r="I110" s="155" t="s">
        <v>12</v>
      </c>
    </row>
    <row r="111" spans="1:9" ht="15.75">
      <c r="A111" s="20"/>
      <c r="C111" s="11"/>
      <c r="D111" s="11"/>
      <c r="G111" s="11"/>
      <c r="H111" s="11"/>
    </row>
    <row r="112" spans="1:9" ht="15.75">
      <c r="B112" s="156" t="s">
        <v>13</v>
      </c>
      <c r="C112" s="200"/>
      <c r="D112" s="200"/>
      <c r="E112" s="200"/>
      <c r="F112" s="42"/>
      <c r="I112" s="157"/>
    </row>
    <row r="113" spans="1:9">
      <c r="A113" s="154"/>
      <c r="C113" s="189" t="s">
        <v>11</v>
      </c>
      <c r="D113" s="189"/>
      <c r="E113" s="189"/>
      <c r="F113" s="154"/>
      <c r="I113" s="155" t="s">
        <v>12</v>
      </c>
    </row>
    <row r="114" spans="1:9" ht="15.75">
      <c r="A114" s="4" t="s">
        <v>14</v>
      </c>
    </row>
    <row r="115" spans="1:9">
      <c r="A115" s="186" t="s">
        <v>15</v>
      </c>
      <c r="B115" s="186"/>
      <c r="C115" s="186"/>
      <c r="D115" s="186"/>
      <c r="E115" s="186"/>
      <c r="F115" s="186"/>
      <c r="G115" s="186"/>
      <c r="H115" s="186"/>
      <c r="I115" s="186"/>
    </row>
    <row r="116" spans="1:9" ht="50.25" customHeight="1">
      <c r="A116" s="187" t="s">
        <v>16</v>
      </c>
      <c r="B116" s="187"/>
      <c r="C116" s="187"/>
      <c r="D116" s="187"/>
      <c r="E116" s="187"/>
      <c r="F116" s="187"/>
      <c r="G116" s="187"/>
      <c r="H116" s="187"/>
      <c r="I116" s="187"/>
    </row>
    <row r="117" spans="1:9" ht="30.75" customHeight="1">
      <c r="A117" s="187" t="s">
        <v>17</v>
      </c>
      <c r="B117" s="187"/>
      <c r="C117" s="187"/>
      <c r="D117" s="187"/>
      <c r="E117" s="187"/>
      <c r="F117" s="187"/>
      <c r="G117" s="187"/>
      <c r="H117" s="187"/>
      <c r="I117" s="187"/>
    </row>
    <row r="118" spans="1:9" ht="35.25" customHeight="1">
      <c r="A118" s="187" t="s">
        <v>21</v>
      </c>
      <c r="B118" s="187"/>
      <c r="C118" s="187"/>
      <c r="D118" s="187"/>
      <c r="E118" s="187"/>
      <c r="F118" s="187"/>
      <c r="G118" s="187"/>
      <c r="H118" s="187"/>
      <c r="I118" s="187"/>
    </row>
    <row r="119" spans="1:9" ht="15.75">
      <c r="A119" s="187" t="s">
        <v>20</v>
      </c>
      <c r="B119" s="187"/>
      <c r="C119" s="187"/>
      <c r="D119" s="187"/>
      <c r="E119" s="187"/>
      <c r="F119" s="187"/>
      <c r="G119" s="187"/>
      <c r="H119" s="187"/>
      <c r="I119" s="187"/>
    </row>
  </sheetData>
  <mergeCells count="28"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  <mergeCell ref="A105:I105"/>
    <mergeCell ref="A15:I15"/>
    <mergeCell ref="A26:I26"/>
    <mergeCell ref="A41:I41"/>
    <mergeCell ref="A52:I52"/>
    <mergeCell ref="A84:I84"/>
    <mergeCell ref="A88:I88"/>
    <mergeCell ref="A99:I99"/>
    <mergeCell ref="B100:G100"/>
    <mergeCell ref="B101:G101"/>
    <mergeCell ref="A103:I103"/>
    <mergeCell ref="A104:I104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3" orientation="portrait" horizontalDpi="0" verticalDpi="0" r:id="rId1"/>
  <rowBreaks count="1" manualBreakCount="1">
    <brk id="11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123"/>
  <sheetViews>
    <sheetView view="pageBreakPreview" topLeftCell="A93" zoomScale="60" workbookViewId="0">
      <selection activeCell="B28" sqref="B28:I31"/>
    </sheetView>
  </sheetViews>
  <sheetFormatPr defaultRowHeight="15"/>
  <cols>
    <col min="1" max="1" width="11.85546875" customWidth="1"/>
    <col min="2" max="2" width="47.28515625" customWidth="1"/>
    <col min="3" max="3" width="17.7109375" customWidth="1"/>
    <col min="4" max="4" width="19.140625" customWidth="1"/>
    <col min="5" max="6" width="0" hidden="1" customWidth="1"/>
    <col min="7" max="7" width="17.7109375" customWidth="1"/>
    <col min="8" max="8" width="0" hidden="1" customWidth="1"/>
    <col min="9" max="9" width="17.85546875" customWidth="1"/>
  </cols>
  <sheetData>
    <row r="1" spans="1:9" ht="15.75">
      <c r="A1" s="22" t="s">
        <v>171</v>
      </c>
      <c r="I1" s="21"/>
    </row>
    <row r="2" spans="1:9" ht="15.75">
      <c r="A2" s="23" t="s">
        <v>59</v>
      </c>
    </row>
    <row r="3" spans="1:9" ht="15.75">
      <c r="A3" s="204" t="s">
        <v>172</v>
      </c>
      <c r="B3" s="204"/>
      <c r="C3" s="204"/>
      <c r="D3" s="204"/>
      <c r="E3" s="204"/>
      <c r="F3" s="204"/>
      <c r="G3" s="204"/>
      <c r="H3" s="204"/>
      <c r="I3" s="204"/>
    </row>
    <row r="4" spans="1:9" ht="30" customHeight="1">
      <c r="A4" s="205" t="s">
        <v>124</v>
      </c>
      <c r="B4" s="205"/>
      <c r="C4" s="205"/>
      <c r="D4" s="205"/>
      <c r="E4" s="205"/>
      <c r="F4" s="205"/>
      <c r="G4" s="205"/>
      <c r="H4" s="205"/>
      <c r="I4" s="205"/>
    </row>
    <row r="5" spans="1:9" ht="15.75">
      <c r="A5" s="204" t="s">
        <v>239</v>
      </c>
      <c r="B5" s="206"/>
      <c r="C5" s="206"/>
      <c r="D5" s="206"/>
      <c r="E5" s="206"/>
      <c r="F5" s="206"/>
      <c r="G5" s="206"/>
      <c r="H5" s="206"/>
      <c r="I5" s="206"/>
    </row>
    <row r="6" spans="1:9" ht="15.75">
      <c r="A6" s="2"/>
      <c r="B6" s="167"/>
      <c r="C6" s="167"/>
      <c r="D6" s="167"/>
      <c r="E6" s="167"/>
      <c r="F6" s="167"/>
      <c r="G6" s="167"/>
      <c r="H6" s="167"/>
      <c r="I6" s="25">
        <v>43677</v>
      </c>
    </row>
    <row r="7" spans="1:9" ht="0.75" customHeight="1">
      <c r="B7" s="165"/>
      <c r="C7" s="165"/>
      <c r="D7" s="165"/>
      <c r="E7" s="3"/>
      <c r="F7" s="3"/>
      <c r="G7" s="3"/>
      <c r="H7" s="3"/>
    </row>
    <row r="8" spans="1:9" ht="81.75" customHeight="1">
      <c r="A8" s="207" t="s">
        <v>175</v>
      </c>
      <c r="B8" s="207"/>
      <c r="C8" s="207"/>
      <c r="D8" s="207"/>
      <c r="E8" s="207"/>
      <c r="F8" s="207"/>
      <c r="G8" s="207"/>
      <c r="H8" s="207"/>
      <c r="I8" s="207"/>
    </row>
    <row r="9" spans="1:9" ht="15.75">
      <c r="A9" s="4"/>
    </row>
    <row r="10" spans="1:9" ht="60.75" customHeight="1">
      <c r="A10" s="208" t="s">
        <v>158</v>
      </c>
      <c r="B10" s="208"/>
      <c r="C10" s="208"/>
      <c r="D10" s="208"/>
      <c r="E10" s="208"/>
      <c r="F10" s="208"/>
      <c r="G10" s="208"/>
      <c r="H10" s="208"/>
      <c r="I10" s="208"/>
    </row>
    <row r="11" spans="1:9" ht="15.75">
      <c r="A11" s="4"/>
    </row>
    <row r="12" spans="1:9" ht="69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9" t="s">
        <v>56</v>
      </c>
      <c r="B14" s="209"/>
      <c r="C14" s="209"/>
      <c r="D14" s="209"/>
      <c r="E14" s="209"/>
      <c r="F14" s="209"/>
      <c r="G14" s="209"/>
      <c r="H14" s="209"/>
      <c r="I14" s="209"/>
    </row>
    <row r="15" spans="1:9">
      <c r="A15" s="210" t="s">
        <v>4</v>
      </c>
      <c r="B15" s="210"/>
      <c r="C15" s="210"/>
      <c r="D15" s="210"/>
      <c r="E15" s="210"/>
      <c r="F15" s="210"/>
      <c r="G15" s="210"/>
      <c r="H15" s="210"/>
      <c r="I15" s="210"/>
    </row>
    <row r="16" spans="1:9" ht="15" customHeight="1">
      <c r="A16" s="24">
        <v>1</v>
      </c>
      <c r="B16" s="85" t="s">
        <v>81</v>
      </c>
      <c r="C16" s="86" t="s">
        <v>90</v>
      </c>
      <c r="D16" s="85" t="s">
        <v>217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24" si="0">SUM(F16*G16/1000)</f>
        <v>34.100352000000008</v>
      </c>
      <c r="I16" s="12">
        <f>F16/12*G16</f>
        <v>2841.6960000000004</v>
      </c>
    </row>
    <row r="17" spans="1:9" ht="14.25" customHeight="1">
      <c r="A17" s="24">
        <v>2</v>
      </c>
      <c r="B17" s="85" t="s">
        <v>88</v>
      </c>
      <c r="C17" s="86" t="s">
        <v>90</v>
      </c>
      <c r="D17" s="85" t="s">
        <v>218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</row>
    <row r="18" spans="1:9" ht="16.5" customHeight="1">
      <c r="A18" s="24">
        <v>3</v>
      </c>
      <c r="B18" s="85" t="s">
        <v>89</v>
      </c>
      <c r="C18" s="86" t="s">
        <v>90</v>
      </c>
      <c r="D18" s="85" t="s">
        <v>219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</row>
    <row r="19" spans="1:9" hidden="1">
      <c r="A19" s="24">
        <v>4</v>
      </c>
      <c r="B19" s="85" t="s">
        <v>91</v>
      </c>
      <c r="C19" s="86" t="s">
        <v>92</v>
      </c>
      <c r="D19" s="85" t="s">
        <v>93</v>
      </c>
      <c r="E19" s="87">
        <v>57.6</v>
      </c>
      <c r="F19" s="88">
        <f>SUM(E19/10)</f>
        <v>5.76</v>
      </c>
      <c r="G19" s="88">
        <v>223.17</v>
      </c>
      <c r="H19" s="89">
        <f t="shared" si="0"/>
        <v>1.2854591999999998</v>
      </c>
      <c r="I19" s="12">
        <v>0</v>
      </c>
    </row>
    <row r="20" spans="1:9" hidden="1">
      <c r="A20" s="24">
        <v>5</v>
      </c>
      <c r="B20" s="85" t="s">
        <v>94</v>
      </c>
      <c r="C20" s="86" t="s">
        <v>90</v>
      </c>
      <c r="D20" s="85" t="s">
        <v>40</v>
      </c>
      <c r="E20" s="87">
        <v>43.2</v>
      </c>
      <c r="F20" s="88">
        <f>SUM(E20*2/100)</f>
        <v>0.8640000000000001</v>
      </c>
      <c r="G20" s="88">
        <v>285.76</v>
      </c>
      <c r="H20" s="89">
        <f t="shared" si="0"/>
        <v>0.24689664000000003</v>
      </c>
      <c r="I20" s="12">
        <v>0</v>
      </c>
    </row>
    <row r="21" spans="1:9" hidden="1">
      <c r="A21" s="24">
        <v>6</v>
      </c>
      <c r="B21" s="85" t="s">
        <v>95</v>
      </c>
      <c r="C21" s="86" t="s">
        <v>90</v>
      </c>
      <c r="D21" s="85" t="s">
        <v>40</v>
      </c>
      <c r="E21" s="87">
        <v>10.08</v>
      </c>
      <c r="F21" s="88">
        <f>SUM(E21*2/100)</f>
        <v>0.2016</v>
      </c>
      <c r="G21" s="88">
        <v>283.44</v>
      </c>
      <c r="H21" s="89">
        <f t="shared" si="0"/>
        <v>5.7141503999999996E-2</v>
      </c>
      <c r="I21" s="12">
        <v>0</v>
      </c>
    </row>
    <row r="22" spans="1:9" hidden="1">
      <c r="A22" s="24">
        <v>7</v>
      </c>
      <c r="B22" s="85" t="s">
        <v>96</v>
      </c>
      <c r="C22" s="86" t="s">
        <v>50</v>
      </c>
      <c r="D22" s="85" t="s">
        <v>93</v>
      </c>
      <c r="E22" s="87">
        <v>642.6</v>
      </c>
      <c r="F22" s="88">
        <f>SUM(E22/100)</f>
        <v>6.4260000000000002</v>
      </c>
      <c r="G22" s="88">
        <v>353.14</v>
      </c>
      <c r="H22" s="89">
        <f t="shared" si="0"/>
        <v>2.2692776399999999</v>
      </c>
      <c r="I22" s="12">
        <v>0</v>
      </c>
    </row>
    <row r="23" spans="1:9" hidden="1">
      <c r="A23" s="24">
        <v>8</v>
      </c>
      <c r="B23" s="85" t="s">
        <v>97</v>
      </c>
      <c r="C23" s="86" t="s">
        <v>50</v>
      </c>
      <c r="D23" s="85" t="s">
        <v>93</v>
      </c>
      <c r="E23" s="90">
        <v>35.28</v>
      </c>
      <c r="F23" s="88">
        <f>SUM(E23/100)</f>
        <v>0.3528</v>
      </c>
      <c r="G23" s="88">
        <v>58.08</v>
      </c>
      <c r="H23" s="89">
        <f t="shared" si="0"/>
        <v>2.0490623999999999E-2</v>
      </c>
      <c r="I23" s="12">
        <v>0</v>
      </c>
    </row>
    <row r="24" spans="1:9" hidden="1">
      <c r="A24" s="24">
        <v>9</v>
      </c>
      <c r="B24" s="85" t="s">
        <v>98</v>
      </c>
      <c r="C24" s="86" t="s">
        <v>50</v>
      </c>
      <c r="D24" s="85" t="s">
        <v>93</v>
      </c>
      <c r="E24" s="87">
        <v>28.8</v>
      </c>
      <c r="F24" s="88">
        <f>SUM(E24/100)</f>
        <v>0.28800000000000003</v>
      </c>
      <c r="G24" s="88">
        <v>683.05</v>
      </c>
      <c r="H24" s="89">
        <f t="shared" si="0"/>
        <v>0.19671840000000002</v>
      </c>
      <c r="I24" s="12">
        <v>0</v>
      </c>
    </row>
    <row r="25" spans="1:9" ht="16.5" customHeight="1">
      <c r="A25" s="24">
        <v>4</v>
      </c>
      <c r="B25" s="85" t="s">
        <v>216</v>
      </c>
      <c r="C25" s="86" t="s">
        <v>25</v>
      </c>
      <c r="D25" s="85" t="s">
        <v>220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</row>
    <row r="26" spans="1:9">
      <c r="A26" s="211" t="s">
        <v>153</v>
      </c>
      <c r="B26" s="212"/>
      <c r="C26" s="212"/>
      <c r="D26" s="212"/>
      <c r="E26" s="212"/>
      <c r="F26" s="212"/>
      <c r="G26" s="212"/>
      <c r="H26" s="212"/>
      <c r="I26" s="213"/>
    </row>
    <row r="27" spans="1:9" ht="21.75" customHeight="1">
      <c r="A27" s="24"/>
      <c r="B27" s="119" t="s">
        <v>28</v>
      </c>
      <c r="C27" s="86"/>
      <c r="D27" s="85"/>
      <c r="E27" s="87"/>
      <c r="F27" s="88"/>
      <c r="G27" s="88"/>
      <c r="H27" s="89"/>
      <c r="I27" s="12"/>
    </row>
    <row r="28" spans="1:9" ht="15" customHeight="1">
      <c r="A28" s="24">
        <v>5</v>
      </c>
      <c r="B28" s="85" t="s">
        <v>99</v>
      </c>
      <c r="C28" s="86" t="s">
        <v>100</v>
      </c>
      <c r="D28" s="85" t="s">
        <v>218</v>
      </c>
      <c r="E28" s="88">
        <v>271.95</v>
      </c>
      <c r="F28" s="88">
        <f>SUM(E28*52/1000)</f>
        <v>14.141399999999999</v>
      </c>
      <c r="G28" s="88">
        <v>204.44</v>
      </c>
      <c r="H28" s="89">
        <f t="shared" ref="H28:H33" si="2">SUM(F28*G28/1000)</f>
        <v>2.8910678159999996</v>
      </c>
      <c r="I28" s="12">
        <f>F28/6*G28</f>
        <v>481.84463599999998</v>
      </c>
    </row>
    <row r="29" spans="1:9" ht="45" customHeight="1">
      <c r="A29" s="24">
        <v>6</v>
      </c>
      <c r="B29" s="85" t="s">
        <v>134</v>
      </c>
      <c r="C29" s="86" t="s">
        <v>100</v>
      </c>
      <c r="D29" s="85" t="s">
        <v>218</v>
      </c>
      <c r="E29" s="88">
        <v>83.7</v>
      </c>
      <c r="F29" s="88">
        <f>SUM(E29*52/1000)</f>
        <v>4.3524000000000003</v>
      </c>
      <c r="G29" s="88">
        <v>339.21</v>
      </c>
      <c r="H29" s="89">
        <f t="shared" si="2"/>
        <v>1.4763776040000001</v>
      </c>
      <c r="I29" s="12">
        <f t="shared" ref="I29:I38" si="3">F29/6*G29</f>
        <v>246.06293400000001</v>
      </c>
    </row>
    <row r="30" spans="1:9" hidden="1">
      <c r="A30" s="24">
        <v>14</v>
      </c>
      <c r="B30" s="85" t="s">
        <v>27</v>
      </c>
      <c r="C30" s="86" t="s">
        <v>100</v>
      </c>
      <c r="D30" s="85" t="s">
        <v>51</v>
      </c>
      <c r="E30" s="88">
        <v>271.95</v>
      </c>
      <c r="F30" s="88">
        <f>SUM(E30/1000)</f>
        <v>0.27194999999999997</v>
      </c>
      <c r="G30" s="88">
        <v>3961.23</v>
      </c>
      <c r="H30" s="89">
        <f t="shared" si="2"/>
        <v>1.0772564984999999</v>
      </c>
      <c r="I30" s="12">
        <f>F30*G30</f>
        <v>1077.2564984999999</v>
      </c>
    </row>
    <row r="31" spans="1:9" ht="21" customHeight="1">
      <c r="A31" s="24">
        <v>7</v>
      </c>
      <c r="B31" s="85" t="s">
        <v>102</v>
      </c>
      <c r="C31" s="86" t="s">
        <v>38</v>
      </c>
      <c r="D31" s="85" t="s">
        <v>218</v>
      </c>
      <c r="E31" s="88">
        <v>6</v>
      </c>
      <c r="F31" s="88">
        <f>SUM(E31*48/100)</f>
        <v>2.88</v>
      </c>
      <c r="G31" s="88">
        <v>1707.63</v>
      </c>
      <c r="H31" s="89">
        <f>G31*F31/1000</f>
        <v>4.9179744000000003</v>
      </c>
      <c r="I31" s="12">
        <f t="shared" si="3"/>
        <v>819.66240000000005</v>
      </c>
    </row>
    <row r="32" spans="1:9" hidden="1">
      <c r="A32" s="24">
        <v>6</v>
      </c>
      <c r="B32" s="85" t="s">
        <v>61</v>
      </c>
      <c r="C32" s="86" t="s">
        <v>32</v>
      </c>
      <c r="D32" s="85" t="s">
        <v>63</v>
      </c>
      <c r="E32" s="87"/>
      <c r="F32" s="88">
        <v>2</v>
      </c>
      <c r="G32" s="88">
        <v>250.92</v>
      </c>
      <c r="H32" s="89">
        <f t="shared" si="2"/>
        <v>0.50183999999999995</v>
      </c>
      <c r="I32" s="12">
        <v>0</v>
      </c>
    </row>
    <row r="33" spans="1:9" hidden="1">
      <c r="A33" s="24">
        <v>7</v>
      </c>
      <c r="B33" s="85" t="s">
        <v>62</v>
      </c>
      <c r="C33" s="86" t="s">
        <v>31</v>
      </c>
      <c r="D33" s="85" t="s">
        <v>63</v>
      </c>
      <c r="E33" s="87"/>
      <c r="F33" s="88">
        <v>1</v>
      </c>
      <c r="G33" s="88">
        <v>1490.33</v>
      </c>
      <c r="H33" s="89">
        <f t="shared" si="2"/>
        <v>1.4903299999999999</v>
      </c>
      <c r="I33" s="12">
        <v>0</v>
      </c>
    </row>
    <row r="34" spans="1:9" hidden="1">
      <c r="A34" s="24"/>
      <c r="B34" s="118" t="s">
        <v>5</v>
      </c>
      <c r="C34" s="86"/>
      <c r="D34" s="85"/>
      <c r="E34" s="87"/>
      <c r="F34" s="88"/>
      <c r="G34" s="88"/>
      <c r="H34" s="89" t="s">
        <v>129</v>
      </c>
      <c r="I34" s="12"/>
    </row>
    <row r="35" spans="1:9" hidden="1">
      <c r="A35" s="24">
        <v>6</v>
      </c>
      <c r="B35" s="94" t="s">
        <v>26</v>
      </c>
      <c r="C35" s="86" t="s">
        <v>31</v>
      </c>
      <c r="D35" s="85"/>
      <c r="E35" s="87"/>
      <c r="F35" s="88">
        <v>5</v>
      </c>
      <c r="G35" s="88">
        <v>2003</v>
      </c>
      <c r="H35" s="89">
        <f t="shared" ref="H35:H40" si="4">SUM(F35*G35/1000)</f>
        <v>10.015000000000001</v>
      </c>
      <c r="I35" s="12">
        <f t="shared" si="3"/>
        <v>1669.1666666666667</v>
      </c>
    </row>
    <row r="36" spans="1:9" hidden="1">
      <c r="A36" s="24">
        <v>7</v>
      </c>
      <c r="B36" s="94" t="s">
        <v>146</v>
      </c>
      <c r="C36" s="95" t="s">
        <v>29</v>
      </c>
      <c r="D36" s="85" t="s">
        <v>104</v>
      </c>
      <c r="E36" s="87">
        <v>83.7</v>
      </c>
      <c r="F36" s="96">
        <f>E36*30/1000</f>
        <v>2.5110000000000001</v>
      </c>
      <c r="G36" s="88">
        <v>2757.78</v>
      </c>
      <c r="H36" s="89">
        <f t="shared" si="4"/>
        <v>6.9247855800000009</v>
      </c>
      <c r="I36" s="12">
        <f t="shared" si="3"/>
        <v>1154.1309300000003</v>
      </c>
    </row>
    <row r="37" spans="1:9" ht="30" hidden="1">
      <c r="A37" s="24">
        <v>8</v>
      </c>
      <c r="B37" s="85" t="s">
        <v>64</v>
      </c>
      <c r="C37" s="86" t="s">
        <v>29</v>
      </c>
      <c r="D37" s="85" t="s">
        <v>105</v>
      </c>
      <c r="E37" s="88">
        <v>83.7</v>
      </c>
      <c r="F37" s="96">
        <f>SUM(E37*155/1000)</f>
        <v>12.9735</v>
      </c>
      <c r="G37" s="88">
        <v>460.02</v>
      </c>
      <c r="H37" s="89">
        <f t="shared" si="4"/>
        <v>5.9680694699999997</v>
      </c>
      <c r="I37" s="12">
        <f t="shared" si="3"/>
        <v>994.67824499999983</v>
      </c>
    </row>
    <row r="38" spans="1:9" ht="60" hidden="1">
      <c r="A38" s="24">
        <v>9</v>
      </c>
      <c r="B38" s="85" t="s">
        <v>79</v>
      </c>
      <c r="C38" s="86" t="s">
        <v>100</v>
      </c>
      <c r="D38" s="85" t="s">
        <v>104</v>
      </c>
      <c r="E38" s="88">
        <v>83.7</v>
      </c>
      <c r="F38" s="96">
        <f>SUM(E38*30/1000)</f>
        <v>2.5110000000000001</v>
      </c>
      <c r="G38" s="88">
        <v>7611.16</v>
      </c>
      <c r="H38" s="89">
        <f t="shared" si="4"/>
        <v>19.111622760000003</v>
      </c>
      <c r="I38" s="12">
        <f t="shared" si="3"/>
        <v>3185.2704600000002</v>
      </c>
    </row>
    <row r="39" spans="1:9" hidden="1">
      <c r="A39" s="24">
        <v>10</v>
      </c>
      <c r="B39" s="85" t="s">
        <v>107</v>
      </c>
      <c r="C39" s="86" t="s">
        <v>100</v>
      </c>
      <c r="D39" s="85" t="s">
        <v>106</v>
      </c>
      <c r="E39" s="88">
        <v>83.7</v>
      </c>
      <c r="F39" s="96">
        <f>SUM(E39*24/1000)</f>
        <v>2.0088000000000004</v>
      </c>
      <c r="G39" s="88">
        <v>562.25</v>
      </c>
      <c r="H39" s="89">
        <f t="shared" si="4"/>
        <v>1.1294478000000001</v>
      </c>
      <c r="I39" s="12">
        <f>(F39/7.5*1.5)*G39</f>
        <v>225.88956000000002</v>
      </c>
    </row>
    <row r="40" spans="1:9" hidden="1">
      <c r="A40" s="24">
        <v>11</v>
      </c>
      <c r="B40" s="94" t="s">
        <v>65</v>
      </c>
      <c r="C40" s="95" t="s">
        <v>32</v>
      </c>
      <c r="D40" s="94"/>
      <c r="E40" s="92"/>
      <c r="F40" s="96">
        <v>0.9</v>
      </c>
      <c r="G40" s="96">
        <v>974.83</v>
      </c>
      <c r="H40" s="89">
        <f t="shared" si="4"/>
        <v>0.8773470000000001</v>
      </c>
      <c r="I40" s="12">
        <f>(F40/7.5*1.5)*G40</f>
        <v>175.46940000000004</v>
      </c>
    </row>
    <row r="41" spans="1:9" hidden="1">
      <c r="A41" s="211" t="s">
        <v>135</v>
      </c>
      <c r="B41" s="212"/>
      <c r="C41" s="212"/>
      <c r="D41" s="212"/>
      <c r="E41" s="212"/>
      <c r="F41" s="212"/>
      <c r="G41" s="212"/>
      <c r="H41" s="212"/>
      <c r="I41" s="213"/>
    </row>
    <row r="42" spans="1:9" hidden="1">
      <c r="A42" s="24">
        <v>17</v>
      </c>
      <c r="B42" s="85" t="s">
        <v>108</v>
      </c>
      <c r="C42" s="86" t="s">
        <v>100</v>
      </c>
      <c r="D42" s="85" t="s">
        <v>40</v>
      </c>
      <c r="E42" s="87">
        <v>1032.5</v>
      </c>
      <c r="F42" s="88">
        <f>SUM(E42*2/1000)</f>
        <v>2.0649999999999999</v>
      </c>
      <c r="G42" s="29">
        <v>1114.1300000000001</v>
      </c>
      <c r="H42" s="89">
        <f t="shared" ref="H42:H51" si="5">SUM(F42*G42/1000)</f>
        <v>2.3006784500000004</v>
      </c>
      <c r="I42" s="12">
        <f>F42/2*G42</f>
        <v>1150.3392250000002</v>
      </c>
    </row>
    <row r="43" spans="1:9" hidden="1">
      <c r="A43" s="24">
        <v>18</v>
      </c>
      <c r="B43" s="85" t="s">
        <v>33</v>
      </c>
      <c r="C43" s="86" t="s">
        <v>100</v>
      </c>
      <c r="D43" s="85" t="s">
        <v>40</v>
      </c>
      <c r="E43" s="87">
        <v>132</v>
      </c>
      <c r="F43" s="88">
        <f>E43*2/1000</f>
        <v>0.26400000000000001</v>
      </c>
      <c r="G43" s="29">
        <v>4419.05</v>
      </c>
      <c r="H43" s="89">
        <f t="shared" si="5"/>
        <v>1.1666292</v>
      </c>
      <c r="I43" s="12">
        <f t="shared" ref="I43:I49" si="6">F43/2*G43</f>
        <v>583.31460000000004</v>
      </c>
    </row>
    <row r="44" spans="1:9" hidden="1">
      <c r="A44" s="24">
        <v>19</v>
      </c>
      <c r="B44" s="85" t="s">
        <v>34</v>
      </c>
      <c r="C44" s="86" t="s">
        <v>100</v>
      </c>
      <c r="D44" s="85" t="s">
        <v>40</v>
      </c>
      <c r="E44" s="87">
        <v>4248.22</v>
      </c>
      <c r="F44" s="88">
        <f>SUM(E44*2/1000)</f>
        <v>8.4964399999999998</v>
      </c>
      <c r="G44" s="29">
        <v>1803.69</v>
      </c>
      <c r="H44" s="89">
        <f t="shared" si="5"/>
        <v>15.3249438636</v>
      </c>
      <c r="I44" s="12">
        <f t="shared" si="6"/>
        <v>7662.4719317999998</v>
      </c>
    </row>
    <row r="45" spans="1:9" hidden="1">
      <c r="A45" s="24">
        <v>20</v>
      </c>
      <c r="B45" s="85" t="s">
        <v>35</v>
      </c>
      <c r="C45" s="86" t="s">
        <v>100</v>
      </c>
      <c r="D45" s="85" t="s">
        <v>40</v>
      </c>
      <c r="E45" s="87">
        <v>2163.66</v>
      </c>
      <c r="F45" s="88">
        <f>SUM(E45*2/1000)</f>
        <v>4.3273199999999994</v>
      </c>
      <c r="G45" s="29">
        <v>1243.43</v>
      </c>
      <c r="H45" s="89">
        <f t="shared" si="5"/>
        <v>5.3807195075999994</v>
      </c>
      <c r="I45" s="12">
        <f t="shared" si="6"/>
        <v>2690.3597537999999</v>
      </c>
    </row>
    <row r="46" spans="1:9" hidden="1">
      <c r="A46" s="24">
        <v>21</v>
      </c>
      <c r="B46" s="85" t="s">
        <v>53</v>
      </c>
      <c r="C46" s="86" t="s">
        <v>100</v>
      </c>
      <c r="D46" s="85" t="s">
        <v>142</v>
      </c>
      <c r="E46" s="87">
        <v>3931</v>
      </c>
      <c r="F46" s="88">
        <f>SUM(E46*5/1000)</f>
        <v>19.655000000000001</v>
      </c>
      <c r="G46" s="29">
        <v>1083.69</v>
      </c>
      <c r="H46" s="89">
        <f t="shared" si="5"/>
        <v>21.29992695</v>
      </c>
      <c r="I46" s="12">
        <f>F46/5*G46</f>
        <v>4259.9853899999998</v>
      </c>
    </row>
    <row r="47" spans="1:9" ht="45" hidden="1">
      <c r="A47" s="24">
        <v>12</v>
      </c>
      <c r="B47" s="85" t="s">
        <v>109</v>
      </c>
      <c r="C47" s="86" t="s">
        <v>100</v>
      </c>
      <c r="D47" s="85" t="s">
        <v>40</v>
      </c>
      <c r="E47" s="87">
        <v>3931</v>
      </c>
      <c r="F47" s="88">
        <f>SUM(E47*2/1000)</f>
        <v>7.8620000000000001</v>
      </c>
      <c r="G47" s="29">
        <v>1591.6</v>
      </c>
      <c r="H47" s="89">
        <f t="shared" si="5"/>
        <v>12.5131592</v>
      </c>
      <c r="I47" s="12">
        <f t="shared" si="6"/>
        <v>6256.5796</v>
      </c>
    </row>
    <row r="48" spans="1:9" ht="30" hidden="1">
      <c r="A48" s="24">
        <v>13</v>
      </c>
      <c r="B48" s="85" t="s">
        <v>110</v>
      </c>
      <c r="C48" s="86" t="s">
        <v>36</v>
      </c>
      <c r="D48" s="85" t="s">
        <v>40</v>
      </c>
      <c r="E48" s="87">
        <v>30</v>
      </c>
      <c r="F48" s="88">
        <f>SUM(E48*2/100)</f>
        <v>0.6</v>
      </c>
      <c r="G48" s="29">
        <v>4058.32</v>
      </c>
      <c r="H48" s="89">
        <f t="shared" si="5"/>
        <v>2.4349920000000003</v>
      </c>
      <c r="I48" s="12">
        <f t="shared" si="6"/>
        <v>1217.4960000000001</v>
      </c>
    </row>
    <row r="49" spans="1:9" hidden="1">
      <c r="A49" s="24">
        <v>14</v>
      </c>
      <c r="B49" s="85" t="s">
        <v>37</v>
      </c>
      <c r="C49" s="86" t="s">
        <v>38</v>
      </c>
      <c r="D49" s="85" t="s">
        <v>40</v>
      </c>
      <c r="E49" s="87">
        <v>1</v>
      </c>
      <c r="F49" s="88">
        <v>0.02</v>
      </c>
      <c r="G49" s="29">
        <v>7412.92</v>
      </c>
      <c r="H49" s="89">
        <f t="shared" si="5"/>
        <v>0.14825839999999998</v>
      </c>
      <c r="I49" s="12">
        <f t="shared" si="6"/>
        <v>74.129199999999997</v>
      </c>
    </row>
    <row r="50" spans="1:9" hidden="1">
      <c r="A50" s="24">
        <v>22</v>
      </c>
      <c r="B50" s="85" t="s">
        <v>111</v>
      </c>
      <c r="C50" s="86" t="s">
        <v>86</v>
      </c>
      <c r="D50" s="85" t="s">
        <v>66</v>
      </c>
      <c r="E50" s="87">
        <v>90</v>
      </c>
      <c r="F50" s="88">
        <f>E50*3</f>
        <v>270</v>
      </c>
      <c r="G50" s="29">
        <v>185.08</v>
      </c>
      <c r="H50" s="89">
        <f t="shared" si="5"/>
        <v>49.971600000000009</v>
      </c>
      <c r="I50" s="12">
        <f>F50/3*G50</f>
        <v>16657.2</v>
      </c>
    </row>
    <row r="51" spans="1:9" hidden="1">
      <c r="A51" s="24">
        <v>23</v>
      </c>
      <c r="B51" s="85" t="s">
        <v>39</v>
      </c>
      <c r="C51" s="86" t="s">
        <v>86</v>
      </c>
      <c r="D51" s="85" t="s">
        <v>66</v>
      </c>
      <c r="E51" s="87">
        <v>180</v>
      </c>
      <c r="F51" s="88">
        <f>SUM(E51)*3</f>
        <v>540</v>
      </c>
      <c r="G51" s="97">
        <v>86.15</v>
      </c>
      <c r="H51" s="89">
        <f t="shared" si="5"/>
        <v>46.521000000000001</v>
      </c>
      <c r="I51" s="12">
        <f>F51/3*G51</f>
        <v>15507.000000000002</v>
      </c>
    </row>
    <row r="52" spans="1:9">
      <c r="A52" s="211" t="s">
        <v>139</v>
      </c>
      <c r="B52" s="212"/>
      <c r="C52" s="212"/>
      <c r="D52" s="212"/>
      <c r="E52" s="212"/>
      <c r="F52" s="212"/>
      <c r="G52" s="212"/>
      <c r="H52" s="212"/>
      <c r="I52" s="213"/>
    </row>
    <row r="53" spans="1:9" hidden="1">
      <c r="A53" s="24"/>
      <c r="B53" s="119" t="s">
        <v>41</v>
      </c>
      <c r="C53" s="86"/>
      <c r="D53" s="85"/>
      <c r="E53" s="87"/>
      <c r="F53" s="88"/>
      <c r="G53" s="88"/>
      <c r="H53" s="89"/>
      <c r="I53" s="12"/>
    </row>
    <row r="54" spans="1:9" ht="45" hidden="1">
      <c r="A54" s="24">
        <v>15</v>
      </c>
      <c r="B54" s="85" t="s">
        <v>125</v>
      </c>
      <c r="C54" s="86" t="s">
        <v>90</v>
      </c>
      <c r="D54" s="151" t="s">
        <v>164</v>
      </c>
      <c r="E54" s="87">
        <v>30.6</v>
      </c>
      <c r="F54" s="88">
        <f>SUM(E54*6/100)</f>
        <v>1.8360000000000003</v>
      </c>
      <c r="G54" s="29">
        <v>2029.3</v>
      </c>
      <c r="H54" s="89">
        <f>SUM(F54*G54/1000)</f>
        <v>3.7257948000000005</v>
      </c>
      <c r="I54" s="12">
        <f>G54*0.48</f>
        <v>974.06399999999996</v>
      </c>
    </row>
    <row r="55" spans="1:9" ht="30" hidden="1">
      <c r="A55" s="24">
        <v>16</v>
      </c>
      <c r="B55" s="85" t="s">
        <v>84</v>
      </c>
      <c r="C55" s="86" t="s">
        <v>90</v>
      </c>
      <c r="D55" s="85" t="s">
        <v>85</v>
      </c>
      <c r="E55" s="87">
        <v>39.69</v>
      </c>
      <c r="F55" s="88">
        <f>SUM(E55*12/100)</f>
        <v>4.7627999999999995</v>
      </c>
      <c r="G55" s="29">
        <v>2029.3</v>
      </c>
      <c r="H55" s="89">
        <f>SUM(F55*G55/1000)</f>
        <v>9.6651500399999986</v>
      </c>
      <c r="I55" s="12">
        <f t="shared" ref="I55:I57" si="7">F55/6*G55</f>
        <v>1610.8583399999998</v>
      </c>
    </row>
    <row r="56" spans="1:9" hidden="1">
      <c r="A56" s="24">
        <v>20</v>
      </c>
      <c r="B56" s="98" t="s">
        <v>113</v>
      </c>
      <c r="C56" s="99" t="s">
        <v>114</v>
      </c>
      <c r="D56" s="98" t="s">
        <v>40</v>
      </c>
      <c r="E56" s="100">
        <v>8</v>
      </c>
      <c r="F56" s="101">
        <v>16</v>
      </c>
      <c r="G56" s="29">
        <v>237.1</v>
      </c>
      <c r="H56" s="89">
        <f>SUM(F56*G56/1000)</f>
        <v>3.7936000000000001</v>
      </c>
      <c r="I56" s="12">
        <v>0</v>
      </c>
    </row>
    <row r="57" spans="1:9" hidden="1">
      <c r="A57" s="24">
        <v>17</v>
      </c>
      <c r="B57" s="85" t="s">
        <v>115</v>
      </c>
      <c r="C57" s="86" t="s">
        <v>90</v>
      </c>
      <c r="D57" s="85" t="s">
        <v>112</v>
      </c>
      <c r="E57" s="87">
        <v>41.73</v>
      </c>
      <c r="F57" s="88">
        <f>SUM(E57*6/100)</f>
        <v>2.5038</v>
      </c>
      <c r="G57" s="29">
        <v>2029.3</v>
      </c>
      <c r="H57" s="89">
        <f>SUM(F57*G57/1000)</f>
        <v>5.08096134</v>
      </c>
      <c r="I57" s="12">
        <f t="shared" si="7"/>
        <v>846.82688999999993</v>
      </c>
    </row>
    <row r="58" spans="1:9" hidden="1">
      <c r="A58" s="24">
        <v>24</v>
      </c>
      <c r="B58" s="98" t="s">
        <v>133</v>
      </c>
      <c r="C58" s="99" t="s">
        <v>31</v>
      </c>
      <c r="D58" s="161" t="s">
        <v>165</v>
      </c>
      <c r="E58" s="100"/>
      <c r="F58" s="101">
        <v>4</v>
      </c>
      <c r="G58" s="29">
        <v>1582.05</v>
      </c>
      <c r="H58" s="89">
        <f>SUM(F58*G58/1000)</f>
        <v>6.3281999999999998</v>
      </c>
      <c r="I58" s="12">
        <f>G58*9</f>
        <v>14238.449999999999</v>
      </c>
    </row>
    <row r="59" spans="1:9" ht="21" customHeight="1">
      <c r="A59" s="24"/>
      <c r="B59" s="120" t="s">
        <v>42</v>
      </c>
      <c r="C59" s="99"/>
      <c r="D59" s="98"/>
      <c r="E59" s="100"/>
      <c r="F59" s="101"/>
      <c r="G59" s="29"/>
      <c r="H59" s="102"/>
      <c r="I59" s="12"/>
    </row>
    <row r="60" spans="1:9" hidden="1">
      <c r="A60" s="24">
        <v>14</v>
      </c>
      <c r="B60" s="98" t="s">
        <v>130</v>
      </c>
      <c r="C60" s="99" t="s">
        <v>50</v>
      </c>
      <c r="D60" s="98" t="s">
        <v>51</v>
      </c>
      <c r="E60" s="100">
        <v>508.73</v>
      </c>
      <c r="F60" s="88">
        <f>SUM(E60/100)</f>
        <v>5.0872999999999999</v>
      </c>
      <c r="G60" s="29">
        <v>1040.8399999999999</v>
      </c>
      <c r="H60" s="102">
        <f>F60*G60/1000</f>
        <v>5.2950653319999992</v>
      </c>
      <c r="I60" s="12">
        <v>0</v>
      </c>
    </row>
    <row r="61" spans="1:9" ht="16.5" customHeight="1">
      <c r="A61" s="24">
        <v>8</v>
      </c>
      <c r="B61" s="47" t="s">
        <v>87</v>
      </c>
      <c r="C61" s="48" t="s">
        <v>25</v>
      </c>
      <c r="D61" s="47" t="s">
        <v>225</v>
      </c>
      <c r="E61" s="49">
        <v>200</v>
      </c>
      <c r="F61" s="130">
        <f>E61*12</f>
        <v>2400</v>
      </c>
      <c r="G61" s="40">
        <v>1.4</v>
      </c>
      <c r="H61" s="50">
        <f>F61*G61/1000</f>
        <v>3.36</v>
      </c>
      <c r="I61" s="12">
        <f>F61/12*G61</f>
        <v>280</v>
      </c>
    </row>
    <row r="62" spans="1:9">
      <c r="A62" s="24"/>
      <c r="B62" s="121" t="s">
        <v>43</v>
      </c>
      <c r="C62" s="99"/>
      <c r="D62" s="98"/>
      <c r="E62" s="100"/>
      <c r="F62" s="103"/>
      <c r="G62" s="103"/>
      <c r="H62" s="101" t="s">
        <v>129</v>
      </c>
      <c r="I62" s="12"/>
    </row>
    <row r="63" spans="1:9" hidden="1">
      <c r="A63" s="24"/>
      <c r="B63" s="105" t="s">
        <v>44</v>
      </c>
      <c r="C63" s="106" t="s">
        <v>86</v>
      </c>
      <c r="D63" s="30" t="s">
        <v>154</v>
      </c>
      <c r="E63" s="15">
        <v>10</v>
      </c>
      <c r="F63" s="88">
        <f>E63</f>
        <v>10</v>
      </c>
      <c r="G63" s="29">
        <v>291.68</v>
      </c>
      <c r="H63" s="75">
        <f t="shared" ref="H63:H78" si="8">SUM(F63*G63/1000)</f>
        <v>2.9168000000000003</v>
      </c>
      <c r="I63" s="12">
        <v>0</v>
      </c>
    </row>
    <row r="64" spans="1:9" hidden="1">
      <c r="A64" s="61"/>
      <c r="B64" s="105" t="s">
        <v>45</v>
      </c>
      <c r="C64" s="106" t="s">
        <v>86</v>
      </c>
      <c r="D64" s="30" t="s">
        <v>154</v>
      </c>
      <c r="E64" s="15">
        <v>10</v>
      </c>
      <c r="F64" s="88">
        <f>E64</f>
        <v>10</v>
      </c>
      <c r="G64" s="29">
        <v>100.01</v>
      </c>
      <c r="H64" s="75">
        <f t="shared" si="8"/>
        <v>1.0001</v>
      </c>
      <c r="I64" s="12">
        <v>0</v>
      </c>
    </row>
    <row r="65" spans="1:9">
      <c r="A65" s="24">
        <v>9</v>
      </c>
      <c r="B65" s="105" t="s">
        <v>46</v>
      </c>
      <c r="C65" s="107" t="s">
        <v>116</v>
      </c>
      <c r="D65" s="30"/>
      <c r="E65" s="87">
        <v>14347</v>
      </c>
      <c r="F65" s="97">
        <f>SUM(E65/100)</f>
        <v>143.47</v>
      </c>
      <c r="G65" s="29">
        <v>278.24</v>
      </c>
      <c r="H65" s="75">
        <f t="shared" si="8"/>
        <v>39.919092800000001</v>
      </c>
      <c r="I65" s="12">
        <f t="shared" ref="I65:I69" si="9">F65*G65</f>
        <v>39919.092799999999</v>
      </c>
    </row>
    <row r="66" spans="1:9">
      <c r="A66" s="62">
        <v>10</v>
      </c>
      <c r="B66" s="105" t="s">
        <v>47</v>
      </c>
      <c r="C66" s="106" t="s">
        <v>117</v>
      </c>
      <c r="D66" s="30"/>
      <c r="E66" s="87">
        <v>14347</v>
      </c>
      <c r="F66" s="29">
        <f>SUM(E66/1000)</f>
        <v>14.347</v>
      </c>
      <c r="G66" s="29">
        <v>216.68</v>
      </c>
      <c r="H66" s="75">
        <f t="shared" si="8"/>
        <v>3.1087079600000003</v>
      </c>
      <c r="I66" s="12">
        <f t="shared" si="9"/>
        <v>3108.7079600000002</v>
      </c>
    </row>
    <row r="67" spans="1:9">
      <c r="A67" s="24">
        <v>11</v>
      </c>
      <c r="B67" s="105" t="s">
        <v>48</v>
      </c>
      <c r="C67" s="106" t="s">
        <v>72</v>
      </c>
      <c r="D67" s="30"/>
      <c r="E67" s="87">
        <v>2244</v>
      </c>
      <c r="F67" s="29">
        <f>SUM(E67/100)</f>
        <v>22.44</v>
      </c>
      <c r="G67" s="29">
        <v>2720.94</v>
      </c>
      <c r="H67" s="75">
        <f t="shared" si="8"/>
        <v>61.0578936</v>
      </c>
      <c r="I67" s="12">
        <f t="shared" si="9"/>
        <v>61057.893600000003</v>
      </c>
    </row>
    <row r="68" spans="1:9">
      <c r="A68" s="24">
        <v>12</v>
      </c>
      <c r="B68" s="108" t="s">
        <v>118</v>
      </c>
      <c r="C68" s="106" t="s">
        <v>32</v>
      </c>
      <c r="D68" s="30"/>
      <c r="E68" s="87">
        <v>12.8</v>
      </c>
      <c r="F68" s="29">
        <f>SUM(E68)</f>
        <v>12.8</v>
      </c>
      <c r="G68" s="29">
        <v>42.61</v>
      </c>
      <c r="H68" s="75">
        <f t="shared" si="8"/>
        <v>0.545408</v>
      </c>
      <c r="I68" s="12">
        <f t="shared" si="9"/>
        <v>545.40800000000002</v>
      </c>
    </row>
    <row r="69" spans="1:9">
      <c r="A69" s="24">
        <v>13</v>
      </c>
      <c r="B69" s="108" t="s">
        <v>119</v>
      </c>
      <c r="C69" s="106" t="s">
        <v>32</v>
      </c>
      <c r="D69" s="30"/>
      <c r="E69" s="87">
        <v>12.8</v>
      </c>
      <c r="F69" s="29">
        <f>SUM(E69)</f>
        <v>12.8</v>
      </c>
      <c r="G69" s="29">
        <v>46.04</v>
      </c>
      <c r="H69" s="75">
        <f t="shared" si="8"/>
        <v>0.58931200000000006</v>
      </c>
      <c r="I69" s="12">
        <f t="shared" si="9"/>
        <v>589.31200000000001</v>
      </c>
    </row>
    <row r="70" spans="1:9" ht="21" customHeight="1">
      <c r="A70" s="24"/>
      <c r="B70" s="122" t="s">
        <v>147</v>
      </c>
      <c r="C70" s="106"/>
      <c r="D70" s="30"/>
      <c r="E70" s="15"/>
      <c r="F70" s="104"/>
      <c r="G70" s="29"/>
      <c r="H70" s="75"/>
      <c r="I70" s="12"/>
    </row>
    <row r="71" spans="1:9" ht="36" customHeight="1">
      <c r="A71" s="24">
        <v>14</v>
      </c>
      <c r="B71" s="30" t="s">
        <v>148</v>
      </c>
      <c r="C71" s="109" t="s">
        <v>149</v>
      </c>
      <c r="D71" s="30"/>
      <c r="E71" s="15">
        <v>3181</v>
      </c>
      <c r="F71" s="88">
        <f>SUM(E71)*12</f>
        <v>38172</v>
      </c>
      <c r="G71" s="29">
        <v>2.2799999999999998</v>
      </c>
      <c r="H71" s="75">
        <f t="shared" ref="H71" si="10">SUM(F71*G71/1000)</f>
        <v>87.03215999999999</v>
      </c>
      <c r="I71" s="12">
        <f>F71/12*G71</f>
        <v>7252.6799999999994</v>
      </c>
    </row>
    <row r="72" spans="1:9" hidden="1">
      <c r="A72" s="24"/>
      <c r="B72" s="122" t="s">
        <v>67</v>
      </c>
      <c r="C72" s="106"/>
      <c r="D72" s="30"/>
      <c r="E72" s="15"/>
      <c r="F72" s="29"/>
      <c r="G72" s="29"/>
      <c r="H72" s="75" t="s">
        <v>129</v>
      </c>
      <c r="I72" s="12"/>
    </row>
    <row r="73" spans="1:9" hidden="1">
      <c r="A73" s="24">
        <v>20</v>
      </c>
      <c r="B73" s="30" t="s">
        <v>150</v>
      </c>
      <c r="C73" s="106" t="s">
        <v>30</v>
      </c>
      <c r="D73" s="30" t="s">
        <v>63</v>
      </c>
      <c r="E73" s="15">
        <v>1</v>
      </c>
      <c r="F73" s="88">
        <f t="shared" ref="F73" si="11">E73</f>
        <v>1</v>
      </c>
      <c r="G73" s="29">
        <v>1029.1199999999999</v>
      </c>
      <c r="H73" s="75">
        <f>G73*F73/1000</f>
        <v>1.0291199999999998</v>
      </c>
      <c r="I73" s="12">
        <f>G73*2</f>
        <v>2058.2399999999998</v>
      </c>
    </row>
    <row r="74" spans="1:9" hidden="1">
      <c r="A74" s="24">
        <v>21</v>
      </c>
      <c r="B74" s="30" t="s">
        <v>151</v>
      </c>
      <c r="C74" s="106" t="s">
        <v>152</v>
      </c>
      <c r="D74" s="30" t="s">
        <v>63</v>
      </c>
      <c r="E74" s="15">
        <v>1</v>
      </c>
      <c r="F74" s="29">
        <v>1</v>
      </c>
      <c r="G74" s="29">
        <v>735</v>
      </c>
      <c r="H74" s="75">
        <f t="shared" ref="H74:H76" si="12">SUM(F74*G74/1000)</f>
        <v>0.73499999999999999</v>
      </c>
      <c r="I74" s="12">
        <f>G74*2</f>
        <v>1470</v>
      </c>
    </row>
    <row r="75" spans="1:9" hidden="1">
      <c r="A75" s="24"/>
      <c r="B75" s="30" t="s">
        <v>68</v>
      </c>
      <c r="C75" s="106" t="s">
        <v>70</v>
      </c>
      <c r="D75" s="30" t="s">
        <v>63</v>
      </c>
      <c r="E75" s="15">
        <v>8</v>
      </c>
      <c r="F75" s="29">
        <f>E75/10</f>
        <v>0.8</v>
      </c>
      <c r="G75" s="29">
        <v>657.87</v>
      </c>
      <c r="H75" s="75">
        <f t="shared" si="12"/>
        <v>0.5262960000000001</v>
      </c>
      <c r="I75" s="12">
        <v>0</v>
      </c>
    </row>
    <row r="76" spans="1:9" hidden="1">
      <c r="A76" s="24">
        <v>22</v>
      </c>
      <c r="B76" s="30" t="s">
        <v>69</v>
      </c>
      <c r="C76" s="106" t="s">
        <v>30</v>
      </c>
      <c r="D76" s="30" t="s">
        <v>63</v>
      </c>
      <c r="E76" s="15">
        <v>1</v>
      </c>
      <c r="F76" s="104">
        <v>1</v>
      </c>
      <c r="G76" s="29">
        <v>1118.72</v>
      </c>
      <c r="H76" s="75">
        <f t="shared" si="12"/>
        <v>1.1187199999999999</v>
      </c>
      <c r="I76" s="12">
        <f>G76*10</f>
        <v>11187.2</v>
      </c>
    </row>
    <row r="77" spans="1:9" hidden="1">
      <c r="A77" s="24"/>
      <c r="B77" s="123" t="s">
        <v>71</v>
      </c>
      <c r="C77" s="106"/>
      <c r="D77" s="30"/>
      <c r="E77" s="15"/>
      <c r="F77" s="29"/>
      <c r="G77" s="29" t="s">
        <v>129</v>
      </c>
      <c r="H77" s="75" t="s">
        <v>129</v>
      </c>
      <c r="I77" s="12" t="str">
        <f>G77</f>
        <v xml:space="preserve"> </v>
      </c>
    </row>
    <row r="78" spans="1:9" hidden="1">
      <c r="A78" s="24"/>
      <c r="B78" s="110" t="s">
        <v>122</v>
      </c>
      <c r="C78" s="107" t="s">
        <v>72</v>
      </c>
      <c r="D78" s="105"/>
      <c r="E78" s="111"/>
      <c r="F78" s="97">
        <v>0.6</v>
      </c>
      <c r="G78" s="97">
        <v>3619.09</v>
      </c>
      <c r="H78" s="75">
        <f t="shared" si="8"/>
        <v>2.1714540000000002</v>
      </c>
      <c r="I78" s="12">
        <v>0</v>
      </c>
    </row>
    <row r="79" spans="1:9" ht="28.5" hidden="1">
      <c r="A79" s="24"/>
      <c r="B79" s="168" t="s">
        <v>120</v>
      </c>
      <c r="C79" s="12"/>
      <c r="D79" s="12"/>
      <c r="E79" s="12"/>
      <c r="F79" s="12"/>
      <c r="G79" s="12"/>
      <c r="H79" s="12"/>
      <c r="I79" s="12"/>
    </row>
    <row r="80" spans="1:9" hidden="1">
      <c r="A80" s="61"/>
      <c r="B80" s="98" t="s">
        <v>121</v>
      </c>
      <c r="C80" s="137"/>
      <c r="D80" s="138"/>
      <c r="E80" s="114"/>
      <c r="F80" s="139">
        <v>1</v>
      </c>
      <c r="G80" s="139">
        <v>30235</v>
      </c>
      <c r="H80" s="140">
        <f>G80*F80/1000</f>
        <v>30.234999999999999</v>
      </c>
      <c r="I80" s="59">
        <f>G80</f>
        <v>30235</v>
      </c>
    </row>
    <row r="81" spans="1:9">
      <c r="A81" s="201" t="s">
        <v>140</v>
      </c>
      <c r="B81" s="202"/>
      <c r="C81" s="202"/>
      <c r="D81" s="202"/>
      <c r="E81" s="202"/>
      <c r="F81" s="202"/>
      <c r="G81" s="202"/>
      <c r="H81" s="202"/>
      <c r="I81" s="203"/>
    </row>
    <row r="82" spans="1:9" ht="18.75" customHeight="1">
      <c r="A82" s="61">
        <v>15</v>
      </c>
      <c r="B82" s="85" t="s">
        <v>123</v>
      </c>
      <c r="C82" s="106" t="s">
        <v>52</v>
      </c>
      <c r="D82" s="116"/>
      <c r="E82" s="29">
        <v>3931</v>
      </c>
      <c r="F82" s="29">
        <f>SUM(E82*12)</f>
        <v>47172</v>
      </c>
      <c r="G82" s="29">
        <v>3.1</v>
      </c>
      <c r="H82" s="75">
        <f>SUM(F82*G82/1000)</f>
        <v>146.23320000000001</v>
      </c>
      <c r="I82" s="12">
        <f>F82/12*G82</f>
        <v>12186.1</v>
      </c>
    </row>
    <row r="83" spans="1:9" ht="36.75" customHeight="1">
      <c r="A83" s="24">
        <v>16</v>
      </c>
      <c r="B83" s="30" t="s">
        <v>73</v>
      </c>
      <c r="C83" s="106"/>
      <c r="D83" s="116"/>
      <c r="E83" s="87">
        <f>E82</f>
        <v>3931</v>
      </c>
      <c r="F83" s="29">
        <f>E83*12</f>
        <v>47172</v>
      </c>
      <c r="G83" s="29">
        <v>3.5</v>
      </c>
      <c r="H83" s="75">
        <f>F83*G83/1000</f>
        <v>165.102</v>
      </c>
      <c r="I83" s="12">
        <f>F83/12*G83</f>
        <v>13758.5</v>
      </c>
    </row>
    <row r="84" spans="1:9">
      <c r="A84" s="24"/>
      <c r="B84" s="31" t="s">
        <v>76</v>
      </c>
      <c r="C84" s="57"/>
      <c r="D84" s="56"/>
      <c r="E84" s="46"/>
      <c r="F84" s="46"/>
      <c r="G84" s="46"/>
      <c r="H84" s="58">
        <f>H83</f>
        <v>165.102</v>
      </c>
      <c r="I84" s="46">
        <f>I83+I82+I71+I69+I68+I67+I66+I65+I61+I31+I29+I28+I25+I18+I17+I16</f>
        <v>158224.38866</v>
      </c>
    </row>
    <row r="85" spans="1:9">
      <c r="A85" s="190" t="s">
        <v>57</v>
      </c>
      <c r="B85" s="191"/>
      <c r="C85" s="191"/>
      <c r="D85" s="191"/>
      <c r="E85" s="191"/>
      <c r="F85" s="191"/>
      <c r="G85" s="191"/>
      <c r="H85" s="191"/>
      <c r="I85" s="192"/>
    </row>
    <row r="86" spans="1:9" ht="17.25" customHeight="1">
      <c r="A86" s="24">
        <v>17</v>
      </c>
      <c r="B86" s="77" t="s">
        <v>78</v>
      </c>
      <c r="C86" s="78" t="s">
        <v>86</v>
      </c>
      <c r="D86" s="24"/>
      <c r="E86" s="16"/>
      <c r="F86" s="12"/>
      <c r="G86" s="29">
        <v>207.55</v>
      </c>
      <c r="H86" s="54">
        <f>G86*F86/1000</f>
        <v>0</v>
      </c>
      <c r="I86" s="59">
        <f>G86*3</f>
        <v>622.65000000000009</v>
      </c>
    </row>
    <row r="87" spans="1:9">
      <c r="A87" s="24">
        <v>18</v>
      </c>
      <c r="B87" s="77" t="s">
        <v>240</v>
      </c>
      <c r="C87" s="78" t="s">
        <v>241</v>
      </c>
      <c r="D87" s="24"/>
      <c r="E87" s="16"/>
      <c r="F87" s="12"/>
      <c r="G87" s="29">
        <v>24277.75</v>
      </c>
      <c r="H87" s="54"/>
      <c r="I87" s="59">
        <f>G87*1</f>
        <v>24277.75</v>
      </c>
    </row>
    <row r="88" spans="1:9">
      <c r="A88" s="24">
        <v>19</v>
      </c>
      <c r="B88" s="77" t="s">
        <v>242</v>
      </c>
      <c r="C88" s="78" t="s">
        <v>86</v>
      </c>
      <c r="D88" s="24"/>
      <c r="E88" s="16"/>
      <c r="F88" s="12"/>
      <c r="G88" s="29">
        <v>887.44</v>
      </c>
      <c r="H88" s="54"/>
      <c r="I88" s="59">
        <f>G88*3</f>
        <v>2662.32</v>
      </c>
    </row>
    <row r="89" spans="1:9" ht="30">
      <c r="A89" s="24">
        <v>20</v>
      </c>
      <c r="B89" s="77" t="s">
        <v>185</v>
      </c>
      <c r="C89" s="78" t="s">
        <v>36</v>
      </c>
      <c r="D89" s="24"/>
      <c r="E89" s="16"/>
      <c r="F89" s="12"/>
      <c r="G89" s="29">
        <v>3914.31</v>
      </c>
      <c r="H89" s="54"/>
      <c r="I89" s="59">
        <f>G89*0.02</f>
        <v>78.286199999999994</v>
      </c>
    </row>
    <row r="90" spans="1:9">
      <c r="A90" s="24">
        <v>21</v>
      </c>
      <c r="B90" s="77" t="s">
        <v>170</v>
      </c>
      <c r="C90" s="78" t="s">
        <v>86</v>
      </c>
      <c r="D90" s="13"/>
      <c r="E90" s="16"/>
      <c r="F90" s="12"/>
      <c r="G90" s="29">
        <v>95.25</v>
      </c>
      <c r="H90" s="54"/>
      <c r="I90" s="59">
        <f>G90*2</f>
        <v>190.5</v>
      </c>
    </row>
    <row r="91" spans="1:9">
      <c r="A91" s="24">
        <v>22</v>
      </c>
      <c r="B91" s="77" t="s">
        <v>243</v>
      </c>
      <c r="C91" s="78" t="s">
        <v>86</v>
      </c>
      <c r="D91" s="13"/>
      <c r="E91" s="16"/>
      <c r="F91" s="12"/>
      <c r="G91" s="29">
        <v>144</v>
      </c>
      <c r="H91" s="54"/>
      <c r="I91" s="59">
        <f>G91*2</f>
        <v>288</v>
      </c>
    </row>
    <row r="92" spans="1:9">
      <c r="A92" s="24">
        <v>23</v>
      </c>
      <c r="B92" s="77" t="s">
        <v>159</v>
      </c>
      <c r="C92" s="78" t="s">
        <v>186</v>
      </c>
      <c r="D92" s="13"/>
      <c r="E92" s="16"/>
      <c r="F92" s="12"/>
      <c r="G92" s="29">
        <v>273</v>
      </c>
      <c r="H92" s="54"/>
      <c r="I92" s="59">
        <f>G92*6</f>
        <v>1638</v>
      </c>
    </row>
    <row r="93" spans="1:9" ht="30">
      <c r="A93" s="24">
        <v>24</v>
      </c>
      <c r="B93" s="77" t="s">
        <v>206</v>
      </c>
      <c r="C93" s="78" t="s">
        <v>186</v>
      </c>
      <c r="D93" s="13"/>
      <c r="E93" s="16"/>
      <c r="F93" s="12"/>
      <c r="G93" s="29">
        <v>1320</v>
      </c>
      <c r="H93" s="54"/>
      <c r="I93" s="59">
        <f>G93*1</f>
        <v>1320</v>
      </c>
    </row>
    <row r="94" spans="1:9" ht="30">
      <c r="A94" s="24">
        <v>25</v>
      </c>
      <c r="B94" s="77" t="s">
        <v>207</v>
      </c>
      <c r="C94" s="78" t="s">
        <v>186</v>
      </c>
      <c r="D94" s="13"/>
      <c r="E94" s="16"/>
      <c r="F94" s="12"/>
      <c r="G94" s="29">
        <v>1391</v>
      </c>
      <c r="H94" s="54"/>
      <c r="I94" s="59">
        <f>G94*2</f>
        <v>2782</v>
      </c>
    </row>
    <row r="95" spans="1:9" ht="30">
      <c r="A95" s="24">
        <v>26</v>
      </c>
      <c r="B95" s="77" t="s">
        <v>126</v>
      </c>
      <c r="C95" s="78" t="s">
        <v>127</v>
      </c>
      <c r="D95" s="13"/>
      <c r="E95" s="16"/>
      <c r="F95" s="12"/>
      <c r="G95" s="29">
        <v>59.21</v>
      </c>
      <c r="H95" s="54"/>
      <c r="I95" s="59">
        <f>G95*1</f>
        <v>59.21</v>
      </c>
    </row>
    <row r="96" spans="1:9" ht="45">
      <c r="A96" s="24">
        <v>27</v>
      </c>
      <c r="B96" s="77" t="s">
        <v>244</v>
      </c>
      <c r="C96" s="78" t="s">
        <v>77</v>
      </c>
      <c r="D96" s="13"/>
      <c r="E96" s="16"/>
      <c r="F96" s="12"/>
      <c r="G96" s="29">
        <v>1403.75</v>
      </c>
      <c r="H96" s="54"/>
      <c r="I96" s="59">
        <f>G96*5</f>
        <v>7018.75</v>
      </c>
    </row>
    <row r="97" spans="1:9">
      <c r="A97" s="24">
        <v>28</v>
      </c>
      <c r="B97" s="77" t="s">
        <v>245</v>
      </c>
      <c r="C97" s="78" t="s">
        <v>86</v>
      </c>
      <c r="D97" s="13"/>
      <c r="E97" s="16"/>
      <c r="F97" s="12"/>
      <c r="G97" s="29">
        <v>173</v>
      </c>
      <c r="H97" s="54"/>
      <c r="I97" s="59">
        <f>G97*2</f>
        <v>346</v>
      </c>
    </row>
    <row r="98" spans="1:9">
      <c r="A98" s="24">
        <v>29</v>
      </c>
      <c r="B98" s="77" t="s">
        <v>246</v>
      </c>
      <c r="C98" s="78" t="s">
        <v>86</v>
      </c>
      <c r="D98" s="13"/>
      <c r="E98" s="16"/>
      <c r="F98" s="12"/>
      <c r="G98" s="29">
        <v>173</v>
      </c>
      <c r="H98" s="54"/>
      <c r="I98" s="59">
        <f>G98*1</f>
        <v>173</v>
      </c>
    </row>
    <row r="99" spans="1:9">
      <c r="A99" s="24">
        <v>30</v>
      </c>
      <c r="B99" s="77" t="s">
        <v>168</v>
      </c>
      <c r="C99" s="78" t="s">
        <v>86</v>
      </c>
      <c r="D99" s="13"/>
      <c r="E99" s="16"/>
      <c r="F99" s="12"/>
      <c r="G99" s="29">
        <v>10</v>
      </c>
      <c r="H99" s="54"/>
      <c r="I99" s="59">
        <f>G99*1</f>
        <v>10</v>
      </c>
    </row>
    <row r="100" spans="1:9" ht="18" customHeight="1">
      <c r="A100" s="24"/>
      <c r="B100" s="60" t="s">
        <v>49</v>
      </c>
      <c r="C100" s="32"/>
      <c r="D100" s="38"/>
      <c r="E100" s="32">
        <v>1</v>
      </c>
      <c r="F100" s="32"/>
      <c r="G100" s="32"/>
      <c r="H100" s="32"/>
      <c r="I100" s="27">
        <f>SUM(I86:I99)</f>
        <v>41466.466200000003</v>
      </c>
    </row>
    <row r="101" spans="1:9">
      <c r="A101" s="24"/>
      <c r="B101" s="37" t="s">
        <v>74</v>
      </c>
      <c r="C101" s="14"/>
      <c r="D101" s="14"/>
      <c r="E101" s="33"/>
      <c r="F101" s="33"/>
      <c r="G101" s="34"/>
      <c r="H101" s="34"/>
      <c r="I101" s="15">
        <v>0</v>
      </c>
    </row>
    <row r="102" spans="1:9">
      <c r="A102" s="39"/>
      <c r="B102" s="36" t="s">
        <v>143</v>
      </c>
      <c r="C102" s="28"/>
      <c r="D102" s="28"/>
      <c r="E102" s="28"/>
      <c r="F102" s="28"/>
      <c r="G102" s="28"/>
      <c r="H102" s="28"/>
      <c r="I102" s="35">
        <f>I84+I100</f>
        <v>199690.85485999999</v>
      </c>
    </row>
    <row r="103" spans="1:9" ht="15.75">
      <c r="A103" s="193" t="s">
        <v>247</v>
      </c>
      <c r="B103" s="193"/>
      <c r="C103" s="193"/>
      <c r="D103" s="193"/>
      <c r="E103" s="193"/>
      <c r="F103" s="193"/>
      <c r="G103" s="193"/>
      <c r="H103" s="193"/>
      <c r="I103" s="193"/>
    </row>
    <row r="104" spans="1:9" ht="15.75">
      <c r="A104" s="68"/>
      <c r="B104" s="194" t="s">
        <v>248</v>
      </c>
      <c r="C104" s="194"/>
      <c r="D104" s="194"/>
      <c r="E104" s="194"/>
      <c r="F104" s="194"/>
      <c r="G104" s="194"/>
      <c r="H104" s="43"/>
      <c r="I104" s="3"/>
    </row>
    <row r="105" spans="1:9">
      <c r="A105" s="163"/>
      <c r="B105" s="195" t="s">
        <v>6</v>
      </c>
      <c r="C105" s="195"/>
      <c r="D105" s="195"/>
      <c r="E105" s="195"/>
      <c r="F105" s="195"/>
      <c r="G105" s="195"/>
      <c r="H105" s="19"/>
      <c r="I105" s="5"/>
    </row>
    <row r="106" spans="1:9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5.75">
      <c r="A107" s="196" t="s">
        <v>7</v>
      </c>
      <c r="B107" s="196"/>
      <c r="C107" s="196"/>
      <c r="D107" s="196"/>
      <c r="E107" s="196"/>
      <c r="F107" s="196"/>
      <c r="G107" s="196"/>
      <c r="H107" s="196"/>
      <c r="I107" s="196"/>
    </row>
    <row r="108" spans="1:9" ht="15.75">
      <c r="A108" s="196" t="s">
        <v>8</v>
      </c>
      <c r="B108" s="196"/>
      <c r="C108" s="196"/>
      <c r="D108" s="196"/>
      <c r="E108" s="196"/>
      <c r="F108" s="196"/>
      <c r="G108" s="196"/>
      <c r="H108" s="196"/>
      <c r="I108" s="196"/>
    </row>
    <row r="109" spans="1:9" ht="15.75">
      <c r="A109" s="197" t="s">
        <v>58</v>
      </c>
      <c r="B109" s="197"/>
      <c r="C109" s="197"/>
      <c r="D109" s="197"/>
      <c r="E109" s="197"/>
      <c r="F109" s="197"/>
      <c r="G109" s="197"/>
      <c r="H109" s="197"/>
      <c r="I109" s="197"/>
    </row>
    <row r="110" spans="1:9" ht="15.75">
      <c r="A110" s="10"/>
    </row>
    <row r="111" spans="1:9" ht="15.75">
      <c r="A111" s="198" t="s">
        <v>9</v>
      </c>
      <c r="B111" s="198"/>
      <c r="C111" s="198"/>
      <c r="D111" s="198"/>
      <c r="E111" s="198"/>
      <c r="F111" s="198"/>
      <c r="G111" s="198"/>
      <c r="H111" s="198"/>
      <c r="I111" s="198"/>
    </row>
    <row r="112" spans="1:9" ht="15.75">
      <c r="A112" s="4"/>
    </row>
    <row r="113" spans="1:9" ht="15.75">
      <c r="B113" s="165" t="s">
        <v>10</v>
      </c>
      <c r="C113" s="199" t="s">
        <v>83</v>
      </c>
      <c r="D113" s="199"/>
      <c r="E113" s="199"/>
      <c r="F113" s="41"/>
      <c r="I113" s="166"/>
    </row>
    <row r="114" spans="1:9">
      <c r="A114" s="163"/>
      <c r="C114" s="195" t="s">
        <v>11</v>
      </c>
      <c r="D114" s="195"/>
      <c r="E114" s="195"/>
      <c r="F114" s="19"/>
      <c r="I114" s="164" t="s">
        <v>12</v>
      </c>
    </row>
    <row r="115" spans="1:9" ht="15.75">
      <c r="A115" s="20"/>
      <c r="C115" s="11"/>
      <c r="D115" s="11"/>
      <c r="G115" s="11"/>
      <c r="H115" s="11"/>
    </row>
    <row r="116" spans="1:9" ht="15.75">
      <c r="B116" s="165" t="s">
        <v>13</v>
      </c>
      <c r="C116" s="200"/>
      <c r="D116" s="200"/>
      <c r="E116" s="200"/>
      <c r="F116" s="42"/>
      <c r="I116" s="166"/>
    </row>
    <row r="117" spans="1:9">
      <c r="A117" s="163"/>
      <c r="C117" s="189" t="s">
        <v>11</v>
      </c>
      <c r="D117" s="189"/>
      <c r="E117" s="189"/>
      <c r="F117" s="163"/>
      <c r="I117" s="164" t="s">
        <v>12</v>
      </c>
    </row>
    <row r="118" spans="1:9" ht="15.75">
      <c r="A118" s="4" t="s">
        <v>14</v>
      </c>
    </row>
    <row r="119" spans="1:9">
      <c r="A119" s="186" t="s">
        <v>15</v>
      </c>
      <c r="B119" s="186"/>
      <c r="C119" s="186"/>
      <c r="D119" s="186"/>
      <c r="E119" s="186"/>
      <c r="F119" s="186"/>
      <c r="G119" s="186"/>
      <c r="H119" s="186"/>
      <c r="I119" s="186"/>
    </row>
    <row r="120" spans="1:9" ht="48" customHeight="1">
      <c r="A120" s="187" t="s">
        <v>16</v>
      </c>
      <c r="B120" s="187"/>
      <c r="C120" s="187"/>
      <c r="D120" s="187"/>
      <c r="E120" s="187"/>
      <c r="F120" s="187"/>
      <c r="G120" s="187"/>
      <c r="H120" s="187"/>
      <c r="I120" s="187"/>
    </row>
    <row r="121" spans="1:9" ht="38.25" customHeight="1">
      <c r="A121" s="187" t="s">
        <v>17</v>
      </c>
      <c r="B121" s="187"/>
      <c r="C121" s="187"/>
      <c r="D121" s="187"/>
      <c r="E121" s="187"/>
      <c r="F121" s="187"/>
      <c r="G121" s="187"/>
      <c r="H121" s="187"/>
      <c r="I121" s="187"/>
    </row>
    <row r="122" spans="1:9" ht="37.5" customHeight="1">
      <c r="A122" s="187" t="s">
        <v>21</v>
      </c>
      <c r="B122" s="187"/>
      <c r="C122" s="187"/>
      <c r="D122" s="187"/>
      <c r="E122" s="187"/>
      <c r="F122" s="187"/>
      <c r="G122" s="187"/>
      <c r="H122" s="187"/>
      <c r="I122" s="187"/>
    </row>
    <row r="123" spans="1:9" ht="15.75">
      <c r="A123" s="187" t="s">
        <v>20</v>
      </c>
      <c r="B123" s="187"/>
      <c r="C123" s="187"/>
      <c r="D123" s="187"/>
      <c r="E123" s="187"/>
      <c r="F123" s="187"/>
      <c r="G123" s="187"/>
      <c r="H123" s="187"/>
      <c r="I123" s="187"/>
    </row>
  </sheetData>
  <mergeCells count="28">
    <mergeCell ref="A14:I14"/>
    <mergeCell ref="A3:I3"/>
    <mergeCell ref="A4:I4"/>
    <mergeCell ref="A5:I5"/>
    <mergeCell ref="A8:I8"/>
    <mergeCell ref="A10:I10"/>
    <mergeCell ref="A109:I109"/>
    <mergeCell ref="A15:I15"/>
    <mergeCell ref="A26:I26"/>
    <mergeCell ref="A41:I41"/>
    <mergeCell ref="A52:I52"/>
    <mergeCell ref="A81:I81"/>
    <mergeCell ref="A85:I85"/>
    <mergeCell ref="A103:I103"/>
    <mergeCell ref="B104:G104"/>
    <mergeCell ref="B105:G105"/>
    <mergeCell ref="A107:I107"/>
    <mergeCell ref="A108:I108"/>
    <mergeCell ref="A120:I120"/>
    <mergeCell ref="A121:I121"/>
    <mergeCell ref="A122:I122"/>
    <mergeCell ref="A123:I123"/>
    <mergeCell ref="A111:I111"/>
    <mergeCell ref="C113:E113"/>
    <mergeCell ref="C114:E114"/>
    <mergeCell ref="C116:E116"/>
    <mergeCell ref="C117:E117"/>
    <mergeCell ref="A119:I119"/>
  </mergeCells>
  <pageMargins left="0.7" right="0.7" top="0.75" bottom="0.75" header="0.3" footer="0.3"/>
  <pageSetup paperSize="9" scale="66" orientation="portrait" horizontalDpi="0" verticalDpi="0" r:id="rId1"/>
  <rowBreaks count="1" manualBreakCount="1">
    <brk id="96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I118"/>
  <sheetViews>
    <sheetView workbookViewId="0">
      <selection activeCell="B28" sqref="B28:I31"/>
    </sheetView>
  </sheetViews>
  <sheetFormatPr defaultRowHeight="15"/>
  <cols>
    <col min="1" max="1" width="13.28515625" customWidth="1"/>
    <col min="2" max="2" width="45.42578125" customWidth="1"/>
    <col min="3" max="4" width="18.28515625" customWidth="1"/>
    <col min="5" max="6" width="0" hidden="1" customWidth="1"/>
    <col min="7" max="7" width="17.7109375" customWidth="1"/>
    <col min="8" max="8" width="0" hidden="1" customWidth="1"/>
    <col min="9" max="9" width="15" customWidth="1"/>
  </cols>
  <sheetData>
    <row r="1" spans="1:9" ht="15.75">
      <c r="A1" s="22" t="s">
        <v>171</v>
      </c>
      <c r="I1" s="21"/>
    </row>
    <row r="2" spans="1:9" ht="15.75">
      <c r="A2" s="23" t="s">
        <v>59</v>
      </c>
    </row>
    <row r="3" spans="1:9" ht="15.75">
      <c r="A3" s="204" t="s">
        <v>176</v>
      </c>
      <c r="B3" s="204"/>
      <c r="C3" s="204"/>
      <c r="D3" s="204"/>
      <c r="E3" s="204"/>
      <c r="F3" s="204"/>
      <c r="G3" s="204"/>
      <c r="H3" s="204"/>
      <c r="I3" s="204"/>
    </row>
    <row r="4" spans="1:9" ht="31.5" customHeight="1">
      <c r="A4" s="205" t="s">
        <v>124</v>
      </c>
      <c r="B4" s="205"/>
      <c r="C4" s="205"/>
      <c r="D4" s="205"/>
      <c r="E4" s="205"/>
      <c r="F4" s="205"/>
      <c r="G4" s="205"/>
      <c r="H4" s="205"/>
      <c r="I4" s="205"/>
    </row>
    <row r="5" spans="1:9" ht="15.75">
      <c r="A5" s="204" t="s">
        <v>252</v>
      </c>
      <c r="B5" s="206"/>
      <c r="C5" s="206"/>
      <c r="D5" s="206"/>
      <c r="E5" s="206"/>
      <c r="F5" s="206"/>
      <c r="G5" s="206"/>
      <c r="H5" s="206"/>
      <c r="I5" s="206"/>
    </row>
    <row r="6" spans="1:9" ht="15.75">
      <c r="A6" s="2"/>
      <c r="B6" s="173"/>
      <c r="C6" s="173"/>
      <c r="D6" s="173"/>
      <c r="E6" s="173"/>
      <c r="F6" s="173"/>
      <c r="G6" s="173"/>
      <c r="H6" s="173"/>
      <c r="I6" s="25">
        <v>43708</v>
      </c>
    </row>
    <row r="7" spans="1:9" ht="15.75">
      <c r="B7" s="171"/>
      <c r="C7" s="171"/>
      <c r="D7" s="171"/>
      <c r="E7" s="3"/>
      <c r="F7" s="3"/>
      <c r="G7" s="3"/>
      <c r="H7" s="3"/>
    </row>
    <row r="8" spans="1:9" ht="94.5" customHeight="1">
      <c r="A8" s="207" t="s">
        <v>175</v>
      </c>
      <c r="B8" s="207"/>
      <c r="C8" s="207"/>
      <c r="D8" s="207"/>
      <c r="E8" s="207"/>
      <c r="F8" s="207"/>
      <c r="G8" s="207"/>
      <c r="H8" s="207"/>
      <c r="I8" s="207"/>
    </row>
    <row r="9" spans="1:9" ht="15.75">
      <c r="A9" s="4"/>
    </row>
    <row r="10" spans="1:9" ht="57.75" customHeight="1">
      <c r="A10" s="208" t="s">
        <v>158</v>
      </c>
      <c r="B10" s="208"/>
      <c r="C10" s="208"/>
      <c r="D10" s="208"/>
      <c r="E10" s="208"/>
      <c r="F10" s="208"/>
      <c r="G10" s="208"/>
      <c r="H10" s="208"/>
      <c r="I10" s="208"/>
    </row>
    <row r="11" spans="1:9" ht="15.75">
      <c r="A11" s="4"/>
    </row>
    <row r="12" spans="1:9" ht="84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9" t="s">
        <v>56</v>
      </c>
      <c r="B14" s="209"/>
      <c r="C14" s="209"/>
      <c r="D14" s="209"/>
      <c r="E14" s="209"/>
      <c r="F14" s="209"/>
      <c r="G14" s="209"/>
      <c r="H14" s="209"/>
      <c r="I14" s="209"/>
    </row>
    <row r="15" spans="1:9">
      <c r="A15" s="210" t="s">
        <v>4</v>
      </c>
      <c r="B15" s="210"/>
      <c r="C15" s="210"/>
      <c r="D15" s="210"/>
      <c r="E15" s="210"/>
      <c r="F15" s="210"/>
      <c r="G15" s="210"/>
      <c r="H15" s="210"/>
      <c r="I15" s="210"/>
    </row>
    <row r="16" spans="1:9" ht="14.25" customHeight="1">
      <c r="A16" s="24">
        <v>1</v>
      </c>
      <c r="B16" s="85" t="s">
        <v>81</v>
      </c>
      <c r="C16" s="86" t="s">
        <v>90</v>
      </c>
      <c r="D16" s="85" t="s">
        <v>217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18" si="0">SUM(F16*G16/1000)</f>
        <v>34.100352000000008</v>
      </c>
      <c r="I16" s="12">
        <f>F16/12*G16</f>
        <v>2841.6960000000004</v>
      </c>
    </row>
    <row r="17" spans="1:9" ht="31.5" customHeight="1">
      <c r="A17" s="24">
        <v>2</v>
      </c>
      <c r="B17" s="85" t="s">
        <v>88</v>
      </c>
      <c r="C17" s="86" t="s">
        <v>90</v>
      </c>
      <c r="D17" s="85" t="s">
        <v>218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</row>
    <row r="18" spans="1:9" ht="29.25" customHeight="1">
      <c r="A18" s="24">
        <v>3</v>
      </c>
      <c r="B18" s="85" t="s">
        <v>89</v>
      </c>
      <c r="C18" s="86" t="s">
        <v>90</v>
      </c>
      <c r="D18" s="85" t="s">
        <v>219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</row>
    <row r="19" spans="1:9" hidden="1">
      <c r="A19" s="24">
        <v>4</v>
      </c>
      <c r="B19" s="85" t="s">
        <v>91</v>
      </c>
      <c r="C19" s="86" t="s">
        <v>92</v>
      </c>
      <c r="D19" s="85" t="s">
        <v>93</v>
      </c>
      <c r="E19" s="87">
        <v>57.6</v>
      </c>
      <c r="F19" s="158">
        <f>SUM(E19/10)</f>
        <v>5.76</v>
      </c>
      <c r="G19" s="88">
        <v>223.17</v>
      </c>
      <c r="H19" s="89">
        <f t="shared" ref="H19:H24" si="2">SUM(F19*G19/1000)</f>
        <v>1.2854591999999998</v>
      </c>
      <c r="I19" s="12">
        <f>F19*G19</f>
        <v>1285.4591999999998</v>
      </c>
    </row>
    <row r="20" spans="1:9" hidden="1">
      <c r="A20" s="24">
        <v>5</v>
      </c>
      <c r="B20" s="85" t="s">
        <v>94</v>
      </c>
      <c r="C20" s="86" t="s">
        <v>90</v>
      </c>
      <c r="D20" s="85" t="s">
        <v>40</v>
      </c>
      <c r="E20" s="87">
        <v>43.2</v>
      </c>
      <c r="F20" s="158">
        <f>SUM(E20*2/100)</f>
        <v>0.8640000000000001</v>
      </c>
      <c r="G20" s="88">
        <v>285.76</v>
      </c>
      <c r="H20" s="89">
        <f t="shared" si="2"/>
        <v>0.24689664000000003</v>
      </c>
      <c r="I20" s="12">
        <f>F20/2*G20</f>
        <v>123.44832000000001</v>
      </c>
    </row>
    <row r="21" spans="1:9" hidden="1">
      <c r="A21" s="24">
        <v>6</v>
      </c>
      <c r="B21" s="85" t="s">
        <v>95</v>
      </c>
      <c r="C21" s="86" t="s">
        <v>90</v>
      </c>
      <c r="D21" s="85" t="s">
        <v>40</v>
      </c>
      <c r="E21" s="87">
        <v>10.08</v>
      </c>
      <c r="F21" s="158">
        <f>SUM(E21*2/100)</f>
        <v>0.2016</v>
      </c>
      <c r="G21" s="88">
        <v>283.44</v>
      </c>
      <c r="H21" s="89">
        <f t="shared" si="2"/>
        <v>5.7141503999999996E-2</v>
      </c>
      <c r="I21" s="12">
        <f>F21/2*G21</f>
        <v>28.570751999999999</v>
      </c>
    </row>
    <row r="22" spans="1:9" hidden="1">
      <c r="A22" s="24">
        <v>7</v>
      </c>
      <c r="B22" s="85" t="s">
        <v>96</v>
      </c>
      <c r="C22" s="86" t="s">
        <v>50</v>
      </c>
      <c r="D22" s="85" t="s">
        <v>93</v>
      </c>
      <c r="E22" s="87">
        <v>642.6</v>
      </c>
      <c r="F22" s="158">
        <f>SUM(E22/100)</f>
        <v>6.4260000000000002</v>
      </c>
      <c r="G22" s="88">
        <v>353.14</v>
      </c>
      <c r="H22" s="89">
        <f t="shared" si="2"/>
        <v>2.2692776399999999</v>
      </c>
      <c r="I22" s="12">
        <f>F22*G22</f>
        <v>2269.2776399999998</v>
      </c>
    </row>
    <row r="23" spans="1:9" hidden="1">
      <c r="A23" s="24">
        <v>8</v>
      </c>
      <c r="B23" s="85" t="s">
        <v>97</v>
      </c>
      <c r="C23" s="86" t="s">
        <v>50</v>
      </c>
      <c r="D23" s="85" t="s">
        <v>93</v>
      </c>
      <c r="E23" s="90">
        <v>35.28</v>
      </c>
      <c r="F23" s="158">
        <f>SUM(E23/100)</f>
        <v>0.3528</v>
      </c>
      <c r="G23" s="88">
        <v>58.08</v>
      </c>
      <c r="H23" s="89">
        <f t="shared" si="2"/>
        <v>2.0490623999999999E-2</v>
      </c>
      <c r="I23" s="12">
        <f>F23*G23</f>
        <v>20.490624</v>
      </c>
    </row>
    <row r="24" spans="1:9" hidden="1">
      <c r="A24" s="24">
        <v>9</v>
      </c>
      <c r="B24" s="85" t="s">
        <v>98</v>
      </c>
      <c r="C24" s="86" t="s">
        <v>50</v>
      </c>
      <c r="D24" s="85" t="s">
        <v>93</v>
      </c>
      <c r="E24" s="87">
        <v>28.8</v>
      </c>
      <c r="F24" s="158">
        <f>SUM(E24/100)</f>
        <v>0.28800000000000003</v>
      </c>
      <c r="G24" s="88">
        <v>683.05</v>
      </c>
      <c r="H24" s="89">
        <f t="shared" si="2"/>
        <v>0.19671840000000002</v>
      </c>
      <c r="I24" s="12">
        <f>F24*G24</f>
        <v>196.7184</v>
      </c>
    </row>
    <row r="25" spans="1:9" ht="17.25" customHeight="1">
      <c r="A25" s="24">
        <v>4</v>
      </c>
      <c r="B25" s="85" t="s">
        <v>216</v>
      </c>
      <c r="C25" s="86" t="s">
        <v>25</v>
      </c>
      <c r="D25" s="85" t="s">
        <v>220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</row>
    <row r="26" spans="1:9">
      <c r="A26" s="211" t="s">
        <v>153</v>
      </c>
      <c r="B26" s="212"/>
      <c r="C26" s="212"/>
      <c r="D26" s="212"/>
      <c r="E26" s="212"/>
      <c r="F26" s="212"/>
      <c r="G26" s="212"/>
      <c r="H26" s="212"/>
      <c r="I26" s="213"/>
    </row>
    <row r="27" spans="1:9" ht="18" customHeight="1">
      <c r="A27" s="24"/>
      <c r="B27" s="119" t="s">
        <v>28</v>
      </c>
      <c r="C27" s="86"/>
      <c r="D27" s="85"/>
      <c r="E27" s="87"/>
      <c r="F27" s="88"/>
      <c r="G27" s="88"/>
      <c r="H27" s="89"/>
      <c r="I27" s="12"/>
    </row>
    <row r="28" spans="1:9" ht="18" customHeight="1">
      <c r="A28" s="24">
        <v>5</v>
      </c>
      <c r="B28" s="85" t="s">
        <v>99</v>
      </c>
      <c r="C28" s="86" t="s">
        <v>100</v>
      </c>
      <c r="D28" s="85" t="s">
        <v>218</v>
      </c>
      <c r="E28" s="88">
        <v>271.95</v>
      </c>
      <c r="F28" s="88">
        <f>SUM(E28*52/1000)</f>
        <v>14.141399999999999</v>
      </c>
      <c r="G28" s="88">
        <v>204.44</v>
      </c>
      <c r="H28" s="89">
        <f t="shared" ref="H28:H30" si="3">SUM(F28*G28/1000)</f>
        <v>2.8910678159999996</v>
      </c>
      <c r="I28" s="12">
        <f>F28/6*G28</f>
        <v>481.84463599999998</v>
      </c>
    </row>
    <row r="29" spans="1:9" ht="45" customHeight="1">
      <c r="A29" s="24">
        <v>6</v>
      </c>
      <c r="B29" s="85" t="s">
        <v>134</v>
      </c>
      <c r="C29" s="86" t="s">
        <v>100</v>
      </c>
      <c r="D29" s="85" t="s">
        <v>218</v>
      </c>
      <c r="E29" s="88">
        <v>83.7</v>
      </c>
      <c r="F29" s="88">
        <f>SUM(E29*52/1000)</f>
        <v>4.3524000000000003</v>
      </c>
      <c r="G29" s="88">
        <v>339.21</v>
      </c>
      <c r="H29" s="89">
        <f t="shared" si="3"/>
        <v>1.4763776040000001</v>
      </c>
      <c r="I29" s="12">
        <f t="shared" ref="I29:I31" si="4">F29/6*G29</f>
        <v>246.06293400000001</v>
      </c>
    </row>
    <row r="30" spans="1:9" hidden="1">
      <c r="A30" s="24">
        <v>14</v>
      </c>
      <c r="B30" s="85" t="s">
        <v>27</v>
      </c>
      <c r="C30" s="86" t="s">
        <v>100</v>
      </c>
      <c r="D30" s="85" t="s">
        <v>51</v>
      </c>
      <c r="E30" s="88">
        <v>271.95</v>
      </c>
      <c r="F30" s="88">
        <f>SUM(E30/1000)</f>
        <v>0.27194999999999997</v>
      </c>
      <c r="G30" s="88">
        <v>3961.23</v>
      </c>
      <c r="H30" s="89">
        <f t="shared" si="3"/>
        <v>1.0772564984999999</v>
      </c>
      <c r="I30" s="12">
        <f>F30*G30</f>
        <v>1077.2564984999999</v>
      </c>
    </row>
    <row r="31" spans="1:9" ht="17.25" customHeight="1">
      <c r="A31" s="24">
        <v>7</v>
      </c>
      <c r="B31" s="85" t="s">
        <v>102</v>
      </c>
      <c r="C31" s="86" t="s">
        <v>38</v>
      </c>
      <c r="D31" s="85" t="s">
        <v>218</v>
      </c>
      <c r="E31" s="88">
        <v>6</v>
      </c>
      <c r="F31" s="88">
        <f>SUM(E31*48/100)</f>
        <v>2.88</v>
      </c>
      <c r="G31" s="88">
        <v>1707.63</v>
      </c>
      <c r="H31" s="89">
        <f>G31*F31/1000</f>
        <v>4.9179744000000003</v>
      </c>
      <c r="I31" s="12">
        <f t="shared" si="4"/>
        <v>819.66240000000005</v>
      </c>
    </row>
    <row r="32" spans="1:9" hidden="1">
      <c r="A32" s="24">
        <v>6</v>
      </c>
      <c r="B32" s="85" t="s">
        <v>61</v>
      </c>
      <c r="C32" s="86" t="s">
        <v>32</v>
      </c>
      <c r="D32" s="85" t="s">
        <v>63</v>
      </c>
      <c r="E32" s="87"/>
      <c r="F32" s="88">
        <v>2</v>
      </c>
      <c r="G32" s="88">
        <v>250.92</v>
      </c>
      <c r="H32" s="89">
        <f t="shared" ref="H32:H33" si="5">SUM(F32*G32/1000)</f>
        <v>0.50183999999999995</v>
      </c>
      <c r="I32" s="12">
        <v>0</v>
      </c>
    </row>
    <row r="33" spans="1:9" hidden="1">
      <c r="A33" s="24">
        <v>7</v>
      </c>
      <c r="B33" s="85" t="s">
        <v>62</v>
      </c>
      <c r="C33" s="86" t="s">
        <v>31</v>
      </c>
      <c r="D33" s="85" t="s">
        <v>63</v>
      </c>
      <c r="E33" s="87"/>
      <c r="F33" s="88">
        <v>1</v>
      </c>
      <c r="G33" s="88">
        <v>1490.33</v>
      </c>
      <c r="H33" s="89">
        <f t="shared" si="5"/>
        <v>1.4903299999999999</v>
      </c>
      <c r="I33" s="12">
        <v>0</v>
      </c>
    </row>
    <row r="34" spans="1:9" hidden="1">
      <c r="A34" s="24"/>
      <c r="B34" s="118" t="s">
        <v>5</v>
      </c>
      <c r="C34" s="86"/>
      <c r="D34" s="85"/>
      <c r="E34" s="87"/>
      <c r="F34" s="88"/>
      <c r="G34" s="88"/>
      <c r="H34" s="89" t="s">
        <v>129</v>
      </c>
      <c r="I34" s="12"/>
    </row>
    <row r="35" spans="1:9" hidden="1">
      <c r="A35" s="24">
        <v>6</v>
      </c>
      <c r="B35" s="94" t="s">
        <v>26</v>
      </c>
      <c r="C35" s="86" t="s">
        <v>31</v>
      </c>
      <c r="D35" s="85"/>
      <c r="E35" s="87"/>
      <c r="F35" s="88">
        <v>5</v>
      </c>
      <c r="G35" s="88">
        <v>2003</v>
      </c>
      <c r="H35" s="89">
        <f t="shared" ref="H35:H40" si="6">SUM(F35*G35/1000)</f>
        <v>10.015000000000001</v>
      </c>
      <c r="I35" s="12">
        <f t="shared" ref="I35:I38" si="7">F35/6*G35</f>
        <v>1669.1666666666667</v>
      </c>
    </row>
    <row r="36" spans="1:9" hidden="1">
      <c r="A36" s="24">
        <v>7</v>
      </c>
      <c r="B36" s="94" t="s">
        <v>146</v>
      </c>
      <c r="C36" s="95" t="s">
        <v>29</v>
      </c>
      <c r="D36" s="85" t="s">
        <v>104</v>
      </c>
      <c r="E36" s="87">
        <v>83.7</v>
      </c>
      <c r="F36" s="96">
        <f>E36*30/1000</f>
        <v>2.5110000000000001</v>
      </c>
      <c r="G36" s="88">
        <v>2757.78</v>
      </c>
      <c r="H36" s="89">
        <f t="shared" si="6"/>
        <v>6.9247855800000009</v>
      </c>
      <c r="I36" s="12">
        <f t="shared" si="7"/>
        <v>1154.1309300000003</v>
      </c>
    </row>
    <row r="37" spans="1:9" ht="30" hidden="1">
      <c r="A37" s="24">
        <v>8</v>
      </c>
      <c r="B37" s="85" t="s">
        <v>64</v>
      </c>
      <c r="C37" s="86" t="s">
        <v>29</v>
      </c>
      <c r="D37" s="85" t="s">
        <v>105</v>
      </c>
      <c r="E37" s="88">
        <v>83.7</v>
      </c>
      <c r="F37" s="96">
        <f>SUM(E37*155/1000)</f>
        <v>12.9735</v>
      </c>
      <c r="G37" s="88">
        <v>460.02</v>
      </c>
      <c r="H37" s="89">
        <f t="shared" si="6"/>
        <v>5.9680694699999997</v>
      </c>
      <c r="I37" s="12">
        <f t="shared" si="7"/>
        <v>994.67824499999983</v>
      </c>
    </row>
    <row r="38" spans="1:9" ht="60" hidden="1">
      <c r="A38" s="24">
        <v>9</v>
      </c>
      <c r="B38" s="85" t="s">
        <v>79</v>
      </c>
      <c r="C38" s="86" t="s">
        <v>100</v>
      </c>
      <c r="D38" s="85" t="s">
        <v>104</v>
      </c>
      <c r="E38" s="88">
        <v>83.7</v>
      </c>
      <c r="F38" s="96">
        <f>SUM(E38*30/1000)</f>
        <v>2.5110000000000001</v>
      </c>
      <c r="G38" s="88">
        <v>7611.16</v>
      </c>
      <c r="H38" s="89">
        <f t="shared" si="6"/>
        <v>19.111622760000003</v>
      </c>
      <c r="I38" s="12">
        <f t="shared" si="7"/>
        <v>3185.2704600000002</v>
      </c>
    </row>
    <row r="39" spans="1:9" hidden="1">
      <c r="A39" s="24">
        <v>10</v>
      </c>
      <c r="B39" s="85" t="s">
        <v>107</v>
      </c>
      <c r="C39" s="86" t="s">
        <v>100</v>
      </c>
      <c r="D39" s="85" t="s">
        <v>106</v>
      </c>
      <c r="E39" s="88">
        <v>83.7</v>
      </c>
      <c r="F39" s="96">
        <f>SUM(E39*24/1000)</f>
        <v>2.0088000000000004</v>
      </c>
      <c r="G39" s="88">
        <v>562.25</v>
      </c>
      <c r="H39" s="89">
        <f t="shared" si="6"/>
        <v>1.1294478000000001</v>
      </c>
      <c r="I39" s="12">
        <f>(F39/7.5*1.5)*G39</f>
        <v>225.88956000000002</v>
      </c>
    </row>
    <row r="40" spans="1:9" hidden="1">
      <c r="A40" s="24">
        <v>11</v>
      </c>
      <c r="B40" s="94" t="s">
        <v>65</v>
      </c>
      <c r="C40" s="95" t="s">
        <v>32</v>
      </c>
      <c r="D40" s="94"/>
      <c r="E40" s="92"/>
      <c r="F40" s="96">
        <v>0.9</v>
      </c>
      <c r="G40" s="96">
        <v>974.83</v>
      </c>
      <c r="H40" s="89">
        <f t="shared" si="6"/>
        <v>0.8773470000000001</v>
      </c>
      <c r="I40" s="12">
        <f>(F40/7.5*1.5)*G40</f>
        <v>175.46940000000004</v>
      </c>
    </row>
    <row r="41" spans="1:9">
      <c r="A41" s="211" t="s">
        <v>135</v>
      </c>
      <c r="B41" s="212"/>
      <c r="C41" s="212"/>
      <c r="D41" s="212"/>
      <c r="E41" s="212"/>
      <c r="F41" s="212"/>
      <c r="G41" s="212"/>
      <c r="H41" s="212"/>
      <c r="I41" s="213"/>
    </row>
    <row r="42" spans="1:9" ht="18" hidden="1" customHeight="1">
      <c r="A42" s="24">
        <v>17</v>
      </c>
      <c r="B42" s="85" t="s">
        <v>108</v>
      </c>
      <c r="C42" s="86" t="s">
        <v>100</v>
      </c>
      <c r="D42" s="85" t="s">
        <v>40</v>
      </c>
      <c r="E42" s="87">
        <v>1032.5</v>
      </c>
      <c r="F42" s="88">
        <f>SUM(E42*2/1000)</f>
        <v>2.0649999999999999</v>
      </c>
      <c r="G42" s="29">
        <v>1114.1300000000001</v>
      </c>
      <c r="H42" s="89">
        <f t="shared" ref="H42:H51" si="8">SUM(F42*G42/1000)</f>
        <v>2.3006784500000004</v>
      </c>
      <c r="I42" s="12">
        <f>F42/2*G42</f>
        <v>1150.3392250000002</v>
      </c>
    </row>
    <row r="43" spans="1:9" hidden="1">
      <c r="A43" s="24">
        <v>18</v>
      </c>
      <c r="B43" s="85" t="s">
        <v>33</v>
      </c>
      <c r="C43" s="86" t="s">
        <v>100</v>
      </c>
      <c r="D43" s="85" t="s">
        <v>40</v>
      </c>
      <c r="E43" s="87">
        <v>132</v>
      </c>
      <c r="F43" s="88">
        <f>E43*2/1000</f>
        <v>0.26400000000000001</v>
      </c>
      <c r="G43" s="29">
        <v>4419.05</v>
      </c>
      <c r="H43" s="89">
        <f t="shared" si="8"/>
        <v>1.1666292</v>
      </c>
      <c r="I43" s="12">
        <f t="shared" ref="I43:I49" si="9">F43/2*G43</f>
        <v>583.31460000000004</v>
      </c>
    </row>
    <row r="44" spans="1:9" hidden="1">
      <c r="A44" s="24">
        <v>19</v>
      </c>
      <c r="B44" s="85" t="s">
        <v>34</v>
      </c>
      <c r="C44" s="86" t="s">
        <v>100</v>
      </c>
      <c r="D44" s="85" t="s">
        <v>40</v>
      </c>
      <c r="E44" s="87">
        <v>4248.22</v>
      </c>
      <c r="F44" s="88">
        <f>SUM(E44*2/1000)</f>
        <v>8.4964399999999998</v>
      </c>
      <c r="G44" s="29">
        <v>1803.69</v>
      </c>
      <c r="H44" s="89">
        <f t="shared" si="8"/>
        <v>15.3249438636</v>
      </c>
      <c r="I44" s="12">
        <f t="shared" si="9"/>
        <v>7662.4719317999998</v>
      </c>
    </row>
    <row r="45" spans="1:9" hidden="1">
      <c r="A45" s="24">
        <v>20</v>
      </c>
      <c r="B45" s="85" t="s">
        <v>35</v>
      </c>
      <c r="C45" s="86" t="s">
        <v>100</v>
      </c>
      <c r="D45" s="85" t="s">
        <v>40</v>
      </c>
      <c r="E45" s="87">
        <v>2163.66</v>
      </c>
      <c r="F45" s="88">
        <f>SUM(E45*2/1000)</f>
        <v>4.3273199999999994</v>
      </c>
      <c r="G45" s="29">
        <v>1243.43</v>
      </c>
      <c r="H45" s="89">
        <f t="shared" si="8"/>
        <v>5.3807195075999994</v>
      </c>
      <c r="I45" s="12">
        <f t="shared" si="9"/>
        <v>2690.3597537999999</v>
      </c>
    </row>
    <row r="46" spans="1:9" hidden="1">
      <c r="A46" s="24">
        <v>21</v>
      </c>
      <c r="B46" s="85" t="s">
        <v>53</v>
      </c>
      <c r="C46" s="86" t="s">
        <v>100</v>
      </c>
      <c r="D46" s="85" t="s">
        <v>142</v>
      </c>
      <c r="E46" s="87">
        <v>3931</v>
      </c>
      <c r="F46" s="88">
        <f>SUM(E46*5/1000)</f>
        <v>19.655000000000001</v>
      </c>
      <c r="G46" s="29">
        <v>1083.69</v>
      </c>
      <c r="H46" s="89">
        <f t="shared" si="8"/>
        <v>21.29992695</v>
      </c>
      <c r="I46" s="12">
        <f>F46/5*G46</f>
        <v>4259.9853899999998</v>
      </c>
    </row>
    <row r="47" spans="1:9" ht="45" hidden="1">
      <c r="A47" s="24">
        <v>12</v>
      </c>
      <c r="B47" s="85" t="s">
        <v>109</v>
      </c>
      <c r="C47" s="86" t="s">
        <v>100</v>
      </c>
      <c r="D47" s="85" t="s">
        <v>40</v>
      </c>
      <c r="E47" s="87">
        <v>3931</v>
      </c>
      <c r="F47" s="88">
        <f>SUM(E47*2/1000)</f>
        <v>7.8620000000000001</v>
      </c>
      <c r="G47" s="29">
        <v>1591.6</v>
      </c>
      <c r="H47" s="89">
        <f t="shared" si="8"/>
        <v>12.5131592</v>
      </c>
      <c r="I47" s="12">
        <f t="shared" si="9"/>
        <v>6256.5796</v>
      </c>
    </row>
    <row r="48" spans="1:9" ht="30" hidden="1">
      <c r="A48" s="24">
        <v>13</v>
      </c>
      <c r="B48" s="85" t="s">
        <v>110</v>
      </c>
      <c r="C48" s="86" t="s">
        <v>36</v>
      </c>
      <c r="D48" s="85" t="s">
        <v>40</v>
      </c>
      <c r="E48" s="87">
        <v>30</v>
      </c>
      <c r="F48" s="88">
        <f>SUM(E48*2/100)</f>
        <v>0.6</v>
      </c>
      <c r="G48" s="29">
        <v>4058.32</v>
      </c>
      <c r="H48" s="89">
        <f t="shared" si="8"/>
        <v>2.4349920000000003</v>
      </c>
      <c r="I48" s="12">
        <f t="shared" si="9"/>
        <v>1217.4960000000001</v>
      </c>
    </row>
    <row r="49" spans="1:9" hidden="1">
      <c r="A49" s="24">
        <v>14</v>
      </c>
      <c r="B49" s="85" t="s">
        <v>37</v>
      </c>
      <c r="C49" s="86" t="s">
        <v>38</v>
      </c>
      <c r="D49" s="85" t="s">
        <v>40</v>
      </c>
      <c r="E49" s="87">
        <v>1</v>
      </c>
      <c r="F49" s="88">
        <v>0.02</v>
      </c>
      <c r="G49" s="29">
        <v>7412.92</v>
      </c>
      <c r="H49" s="89">
        <f t="shared" si="8"/>
        <v>0.14825839999999998</v>
      </c>
      <c r="I49" s="12">
        <f t="shared" si="9"/>
        <v>74.129199999999997</v>
      </c>
    </row>
    <row r="50" spans="1:9">
      <c r="A50" s="24">
        <v>8</v>
      </c>
      <c r="B50" s="85" t="s">
        <v>111</v>
      </c>
      <c r="C50" s="86" t="s">
        <v>86</v>
      </c>
      <c r="D50" s="185">
        <v>43707</v>
      </c>
      <c r="E50" s="87">
        <v>90</v>
      </c>
      <c r="F50" s="88">
        <f>E50*3</f>
        <v>270</v>
      </c>
      <c r="G50" s="29">
        <v>185.08</v>
      </c>
      <c r="H50" s="89">
        <f t="shared" si="8"/>
        <v>49.971600000000009</v>
      </c>
      <c r="I50" s="12">
        <f>F50/3*G50</f>
        <v>16657.2</v>
      </c>
    </row>
    <row r="51" spans="1:9">
      <c r="A51" s="24">
        <v>9</v>
      </c>
      <c r="B51" s="85" t="s">
        <v>39</v>
      </c>
      <c r="C51" s="86" t="s">
        <v>86</v>
      </c>
      <c r="D51" s="185">
        <v>43707</v>
      </c>
      <c r="E51" s="87">
        <v>180</v>
      </c>
      <c r="F51" s="88">
        <f>SUM(E51)*3</f>
        <v>540</v>
      </c>
      <c r="G51" s="97">
        <v>86.15</v>
      </c>
      <c r="H51" s="89">
        <f t="shared" si="8"/>
        <v>46.521000000000001</v>
      </c>
      <c r="I51" s="12">
        <f>F51/3*G51</f>
        <v>15507.000000000002</v>
      </c>
    </row>
    <row r="52" spans="1:9">
      <c r="A52" s="211" t="s">
        <v>136</v>
      </c>
      <c r="B52" s="212"/>
      <c r="C52" s="212"/>
      <c r="D52" s="212"/>
      <c r="E52" s="212"/>
      <c r="F52" s="212"/>
      <c r="G52" s="212"/>
      <c r="H52" s="212"/>
      <c r="I52" s="213"/>
    </row>
    <row r="53" spans="1:9">
      <c r="A53" s="24"/>
      <c r="B53" s="119" t="s">
        <v>41</v>
      </c>
      <c r="C53" s="86"/>
      <c r="D53" s="85"/>
      <c r="E53" s="87"/>
      <c r="F53" s="88"/>
      <c r="G53" s="88"/>
      <c r="H53" s="89"/>
      <c r="I53" s="12"/>
    </row>
    <row r="54" spans="1:9" ht="45" hidden="1">
      <c r="A54" s="24">
        <v>15</v>
      </c>
      <c r="B54" s="85" t="s">
        <v>125</v>
      </c>
      <c r="C54" s="86" t="s">
        <v>90</v>
      </c>
      <c r="D54" s="151" t="s">
        <v>164</v>
      </c>
      <c r="E54" s="87">
        <v>30.6</v>
      </c>
      <c r="F54" s="88">
        <f>SUM(E54*6/100)</f>
        <v>1.8360000000000003</v>
      </c>
      <c r="G54" s="29">
        <v>2029.3</v>
      </c>
      <c r="H54" s="89">
        <f>SUM(F54*G54/1000)</f>
        <v>3.7257948000000005</v>
      </c>
      <c r="I54" s="12">
        <f>G54*0.48</f>
        <v>974.06399999999996</v>
      </c>
    </row>
    <row r="55" spans="1:9" ht="30" hidden="1">
      <c r="A55" s="24">
        <v>16</v>
      </c>
      <c r="B55" s="85" t="s">
        <v>84</v>
      </c>
      <c r="C55" s="86" t="s">
        <v>90</v>
      </c>
      <c r="D55" s="85" t="s">
        <v>85</v>
      </c>
      <c r="E55" s="87">
        <v>39.69</v>
      </c>
      <c r="F55" s="88">
        <f>SUM(E55*12/100)</f>
        <v>4.7627999999999995</v>
      </c>
      <c r="G55" s="29">
        <v>2029.3</v>
      </c>
      <c r="H55" s="89">
        <f>SUM(F55*G55/1000)</f>
        <v>9.6651500399999986</v>
      </c>
      <c r="I55" s="12">
        <f t="shared" ref="I55:I57" si="10">F55/6*G55</f>
        <v>1610.8583399999998</v>
      </c>
    </row>
    <row r="56" spans="1:9" hidden="1">
      <c r="A56" s="24">
        <v>20</v>
      </c>
      <c r="B56" s="98" t="s">
        <v>113</v>
      </c>
      <c r="C56" s="99" t="s">
        <v>114</v>
      </c>
      <c r="D56" s="98" t="s">
        <v>40</v>
      </c>
      <c r="E56" s="100">
        <v>8</v>
      </c>
      <c r="F56" s="101">
        <v>16</v>
      </c>
      <c r="G56" s="29">
        <v>237.1</v>
      </c>
      <c r="H56" s="89">
        <f>SUM(F56*G56/1000)</f>
        <v>3.7936000000000001</v>
      </c>
      <c r="I56" s="12">
        <v>0</v>
      </c>
    </row>
    <row r="57" spans="1:9" hidden="1">
      <c r="A57" s="24">
        <v>17</v>
      </c>
      <c r="B57" s="85" t="s">
        <v>115</v>
      </c>
      <c r="C57" s="86" t="s">
        <v>90</v>
      </c>
      <c r="D57" s="85" t="s">
        <v>112</v>
      </c>
      <c r="E57" s="87">
        <v>41.73</v>
      </c>
      <c r="F57" s="88">
        <f>SUM(E57*6/100)</f>
        <v>2.5038</v>
      </c>
      <c r="G57" s="29">
        <v>2029.3</v>
      </c>
      <c r="H57" s="89">
        <f>SUM(F57*G57/1000)</f>
        <v>5.08096134</v>
      </c>
      <c r="I57" s="12">
        <f t="shared" si="10"/>
        <v>846.82688999999993</v>
      </c>
    </row>
    <row r="58" spans="1:9">
      <c r="A58" s="24">
        <v>10</v>
      </c>
      <c r="B58" s="98" t="s">
        <v>133</v>
      </c>
      <c r="C58" s="99" t="s">
        <v>31</v>
      </c>
      <c r="D58" s="161"/>
      <c r="E58" s="100"/>
      <c r="F58" s="101">
        <v>4</v>
      </c>
      <c r="G58" s="29">
        <v>1582.05</v>
      </c>
      <c r="H58" s="89">
        <f>SUM(F58*G58/1000)</f>
        <v>6.3281999999999998</v>
      </c>
      <c r="I58" s="12">
        <f>G58*3</f>
        <v>4746.1499999999996</v>
      </c>
    </row>
    <row r="59" spans="1:9" ht="17.25" customHeight="1">
      <c r="A59" s="24"/>
      <c r="B59" s="120" t="s">
        <v>42</v>
      </c>
      <c r="C59" s="99"/>
      <c r="D59" s="98"/>
      <c r="E59" s="100"/>
      <c r="F59" s="101"/>
      <c r="G59" s="29"/>
      <c r="H59" s="102"/>
      <c r="I59" s="12"/>
    </row>
    <row r="60" spans="1:9" hidden="1">
      <c r="A60" s="24">
        <v>14</v>
      </c>
      <c r="B60" s="98" t="s">
        <v>130</v>
      </c>
      <c r="C60" s="99" t="s">
        <v>50</v>
      </c>
      <c r="D60" s="98" t="s">
        <v>51</v>
      </c>
      <c r="E60" s="100">
        <v>508.73</v>
      </c>
      <c r="F60" s="88">
        <f>SUM(E60/100)</f>
        <v>5.0872999999999999</v>
      </c>
      <c r="G60" s="29">
        <v>1040.8399999999999</v>
      </c>
      <c r="H60" s="102">
        <f>F60*G60/1000</f>
        <v>5.2950653319999992</v>
      </c>
      <c r="I60" s="12">
        <v>0</v>
      </c>
    </row>
    <row r="61" spans="1:9" ht="18.75" customHeight="1">
      <c r="A61" s="24">
        <v>11</v>
      </c>
      <c r="B61" s="47" t="s">
        <v>87</v>
      </c>
      <c r="C61" s="48" t="s">
        <v>25</v>
      </c>
      <c r="D61" s="47" t="s">
        <v>224</v>
      </c>
      <c r="E61" s="49">
        <v>200</v>
      </c>
      <c r="F61" s="130">
        <f>E61*12</f>
        <v>2400</v>
      </c>
      <c r="G61" s="40">
        <v>1.4</v>
      </c>
      <c r="H61" s="50">
        <f>F61*G61/1000</f>
        <v>3.36</v>
      </c>
      <c r="I61" s="12">
        <f>F61/12*G61</f>
        <v>280</v>
      </c>
    </row>
    <row r="62" spans="1:9" hidden="1">
      <c r="A62" s="24"/>
      <c r="B62" s="121" t="s">
        <v>43</v>
      </c>
      <c r="C62" s="99"/>
      <c r="D62" s="98"/>
      <c r="E62" s="100"/>
      <c r="F62" s="103"/>
      <c r="G62" s="103"/>
      <c r="H62" s="101" t="s">
        <v>129</v>
      </c>
      <c r="I62" s="12"/>
    </row>
    <row r="63" spans="1:9" hidden="1">
      <c r="A63" s="24"/>
      <c r="B63" s="105" t="s">
        <v>44</v>
      </c>
      <c r="C63" s="106" t="s">
        <v>86</v>
      </c>
      <c r="D63" s="30" t="s">
        <v>154</v>
      </c>
      <c r="E63" s="15">
        <v>10</v>
      </c>
      <c r="F63" s="88">
        <f>E63</f>
        <v>10</v>
      </c>
      <c r="G63" s="29">
        <v>291.68</v>
      </c>
      <c r="H63" s="75">
        <f t="shared" ref="H63:H79" si="11">SUM(F63*G63/1000)</f>
        <v>2.9168000000000003</v>
      </c>
      <c r="I63" s="12">
        <v>0</v>
      </c>
    </row>
    <row r="64" spans="1:9" hidden="1">
      <c r="A64" s="61"/>
      <c r="B64" s="105" t="s">
        <v>45</v>
      </c>
      <c r="C64" s="106" t="s">
        <v>86</v>
      </c>
      <c r="D64" s="30" t="s">
        <v>154</v>
      </c>
      <c r="E64" s="15">
        <v>10</v>
      </c>
      <c r="F64" s="88">
        <f>E64</f>
        <v>10</v>
      </c>
      <c r="G64" s="29">
        <v>100.01</v>
      </c>
      <c r="H64" s="75">
        <f t="shared" si="11"/>
        <v>1.0001</v>
      </c>
      <c r="I64" s="12">
        <v>0</v>
      </c>
    </row>
    <row r="65" spans="1:9" hidden="1">
      <c r="A65" s="24">
        <v>26</v>
      </c>
      <c r="B65" s="105" t="s">
        <v>46</v>
      </c>
      <c r="C65" s="107" t="s">
        <v>116</v>
      </c>
      <c r="D65" s="30" t="s">
        <v>51</v>
      </c>
      <c r="E65" s="87">
        <v>14347</v>
      </c>
      <c r="F65" s="97">
        <f>SUM(E65/100)</f>
        <v>143.47</v>
      </c>
      <c r="G65" s="29">
        <v>278.24</v>
      </c>
      <c r="H65" s="75">
        <f t="shared" si="11"/>
        <v>39.919092800000001</v>
      </c>
      <c r="I65" s="12">
        <f t="shared" ref="I65:I70" si="12">F65*G65</f>
        <v>39919.092799999999</v>
      </c>
    </row>
    <row r="66" spans="1:9" hidden="1">
      <c r="A66" s="62">
        <v>27</v>
      </c>
      <c r="B66" s="105" t="s">
        <v>47</v>
      </c>
      <c r="C66" s="106" t="s">
        <v>117</v>
      </c>
      <c r="D66" s="30"/>
      <c r="E66" s="87">
        <v>14347</v>
      </c>
      <c r="F66" s="29">
        <f>SUM(E66/1000)</f>
        <v>14.347</v>
      </c>
      <c r="G66" s="29">
        <v>216.68</v>
      </c>
      <c r="H66" s="75">
        <f t="shared" si="11"/>
        <v>3.1087079600000003</v>
      </c>
      <c r="I66" s="12">
        <f t="shared" si="12"/>
        <v>3108.7079600000002</v>
      </c>
    </row>
    <row r="67" spans="1:9" hidden="1">
      <c r="A67" s="24">
        <v>28</v>
      </c>
      <c r="B67" s="105" t="s">
        <v>48</v>
      </c>
      <c r="C67" s="106" t="s">
        <v>72</v>
      </c>
      <c r="D67" s="30" t="s">
        <v>51</v>
      </c>
      <c r="E67" s="87">
        <v>2244</v>
      </c>
      <c r="F67" s="29">
        <f>SUM(E67/100)</f>
        <v>22.44</v>
      </c>
      <c r="G67" s="29">
        <v>2720.94</v>
      </c>
      <c r="H67" s="75">
        <f t="shared" si="11"/>
        <v>61.0578936</v>
      </c>
      <c r="I67" s="12">
        <f t="shared" si="12"/>
        <v>61057.893600000003</v>
      </c>
    </row>
    <row r="68" spans="1:9" hidden="1">
      <c r="A68" s="24">
        <v>29</v>
      </c>
      <c r="B68" s="108" t="s">
        <v>118</v>
      </c>
      <c r="C68" s="106" t="s">
        <v>32</v>
      </c>
      <c r="D68" s="30"/>
      <c r="E68" s="87">
        <v>12.8</v>
      </c>
      <c r="F68" s="29">
        <f>SUM(E68)</f>
        <v>12.8</v>
      </c>
      <c r="G68" s="29">
        <v>42.61</v>
      </c>
      <c r="H68" s="75">
        <f t="shared" si="11"/>
        <v>0.545408</v>
      </c>
      <c r="I68" s="12">
        <f t="shared" si="12"/>
        <v>545.40800000000002</v>
      </c>
    </row>
    <row r="69" spans="1:9" hidden="1">
      <c r="A69" s="24">
        <v>30</v>
      </c>
      <c r="B69" s="108" t="s">
        <v>119</v>
      </c>
      <c r="C69" s="106" t="s">
        <v>32</v>
      </c>
      <c r="D69" s="30"/>
      <c r="E69" s="87">
        <v>12.8</v>
      </c>
      <c r="F69" s="29">
        <f>SUM(E69)</f>
        <v>12.8</v>
      </c>
      <c r="G69" s="29">
        <v>46.04</v>
      </c>
      <c r="H69" s="75">
        <f t="shared" si="11"/>
        <v>0.58931200000000006</v>
      </c>
      <c r="I69" s="12">
        <f t="shared" si="12"/>
        <v>589.31200000000001</v>
      </c>
    </row>
    <row r="70" spans="1:9" hidden="1">
      <c r="A70" s="24">
        <v>20</v>
      </c>
      <c r="B70" s="30" t="s">
        <v>54</v>
      </c>
      <c r="C70" s="106" t="s">
        <v>55</v>
      </c>
      <c r="D70" s="30" t="s">
        <v>51</v>
      </c>
      <c r="E70" s="15">
        <v>6</v>
      </c>
      <c r="F70" s="29">
        <f>SUM(E70)</f>
        <v>6</v>
      </c>
      <c r="G70" s="29">
        <v>65.42</v>
      </c>
      <c r="H70" s="75">
        <f t="shared" si="11"/>
        <v>0.39251999999999998</v>
      </c>
      <c r="I70" s="12">
        <f t="shared" si="12"/>
        <v>392.52</v>
      </c>
    </row>
    <row r="71" spans="1:9" ht="18" customHeight="1">
      <c r="A71" s="24"/>
      <c r="B71" s="122" t="s">
        <v>147</v>
      </c>
      <c r="C71" s="106"/>
      <c r="D71" s="30"/>
      <c r="E71" s="15"/>
      <c r="F71" s="104"/>
      <c r="G71" s="29"/>
      <c r="H71" s="75"/>
      <c r="I71" s="12"/>
    </row>
    <row r="72" spans="1:9" ht="31.5" customHeight="1">
      <c r="A72" s="24">
        <v>12</v>
      </c>
      <c r="B72" s="30" t="s">
        <v>148</v>
      </c>
      <c r="C72" s="109" t="s">
        <v>149</v>
      </c>
      <c r="D72" s="30"/>
      <c r="E72" s="15">
        <v>3181</v>
      </c>
      <c r="F72" s="88">
        <f>SUM(E72)*12</f>
        <v>38172</v>
      </c>
      <c r="G72" s="29">
        <v>2.2799999999999998</v>
      </c>
      <c r="H72" s="75">
        <f t="shared" ref="H72" si="13">SUM(F72*G72/1000)</f>
        <v>87.03215999999999</v>
      </c>
      <c r="I72" s="12">
        <f>F72/12*G72</f>
        <v>7252.6799999999994</v>
      </c>
    </row>
    <row r="73" spans="1:9" ht="18.75" hidden="1" customHeight="1">
      <c r="A73" s="24"/>
      <c r="B73" s="122" t="s">
        <v>67</v>
      </c>
      <c r="C73" s="106"/>
      <c r="D73" s="30"/>
      <c r="E73" s="15"/>
      <c r="F73" s="29"/>
      <c r="G73" s="29"/>
      <c r="H73" s="75" t="s">
        <v>129</v>
      </c>
      <c r="I73" s="12"/>
    </row>
    <row r="74" spans="1:9" hidden="1">
      <c r="A74" s="24">
        <v>20</v>
      </c>
      <c r="B74" s="30" t="s">
        <v>150</v>
      </c>
      <c r="C74" s="106" t="s">
        <v>30</v>
      </c>
      <c r="D74" s="30" t="s">
        <v>63</v>
      </c>
      <c r="E74" s="15">
        <v>1</v>
      </c>
      <c r="F74" s="88">
        <f t="shared" ref="F74" si="14">E74</f>
        <v>1</v>
      </c>
      <c r="G74" s="29">
        <v>1029.1199999999999</v>
      </c>
      <c r="H74" s="75">
        <f>G74*F74/1000</f>
        <v>1.0291199999999998</v>
      </c>
      <c r="I74" s="12">
        <f>G74*2</f>
        <v>2058.2399999999998</v>
      </c>
    </row>
    <row r="75" spans="1:9" hidden="1">
      <c r="A75" s="24">
        <v>21</v>
      </c>
      <c r="B75" s="30" t="s">
        <v>151</v>
      </c>
      <c r="C75" s="106" t="s">
        <v>152</v>
      </c>
      <c r="D75" s="30" t="s">
        <v>63</v>
      </c>
      <c r="E75" s="15">
        <v>1</v>
      </c>
      <c r="F75" s="29">
        <v>1</v>
      </c>
      <c r="G75" s="29">
        <v>735</v>
      </c>
      <c r="H75" s="75">
        <f t="shared" ref="H75:H77" si="15">SUM(F75*G75/1000)</f>
        <v>0.73499999999999999</v>
      </c>
      <c r="I75" s="12">
        <f>G75*2</f>
        <v>1470</v>
      </c>
    </row>
    <row r="76" spans="1:9" ht="15.75" hidden="1" customHeight="1">
      <c r="A76" s="24">
        <v>12</v>
      </c>
      <c r="B76" s="30" t="s">
        <v>68</v>
      </c>
      <c r="C76" s="106" t="s">
        <v>70</v>
      </c>
      <c r="D76" s="30"/>
      <c r="E76" s="15">
        <v>8</v>
      </c>
      <c r="F76" s="29">
        <f>E76/10</f>
        <v>0.8</v>
      </c>
      <c r="G76" s="29">
        <v>657.87</v>
      </c>
      <c r="H76" s="75">
        <f t="shared" si="15"/>
        <v>0.5262960000000001</v>
      </c>
      <c r="I76" s="12">
        <f>G76*0.3</f>
        <v>197.36099999999999</v>
      </c>
    </row>
    <row r="77" spans="1:9" hidden="1">
      <c r="A77" s="24">
        <v>22</v>
      </c>
      <c r="B77" s="30" t="s">
        <v>69</v>
      </c>
      <c r="C77" s="106" t="s">
        <v>30</v>
      </c>
      <c r="D77" s="30" t="s">
        <v>63</v>
      </c>
      <c r="E77" s="15">
        <v>1</v>
      </c>
      <c r="F77" s="104">
        <v>1</v>
      </c>
      <c r="G77" s="29">
        <v>1118.72</v>
      </c>
      <c r="H77" s="75">
        <f t="shared" si="15"/>
        <v>1.1187199999999999</v>
      </c>
      <c r="I77" s="12">
        <f>G77*10</f>
        <v>11187.2</v>
      </c>
    </row>
    <row r="78" spans="1:9" hidden="1">
      <c r="A78" s="24"/>
      <c r="B78" s="123" t="s">
        <v>71</v>
      </c>
      <c r="C78" s="106"/>
      <c r="D78" s="30"/>
      <c r="E78" s="15"/>
      <c r="F78" s="29"/>
      <c r="G78" s="29" t="s">
        <v>129</v>
      </c>
      <c r="H78" s="75" t="s">
        <v>129</v>
      </c>
      <c r="I78" s="12" t="str">
        <f>G78</f>
        <v xml:space="preserve"> </v>
      </c>
    </row>
    <row r="79" spans="1:9" hidden="1">
      <c r="A79" s="24"/>
      <c r="B79" s="110" t="s">
        <v>122</v>
      </c>
      <c r="C79" s="107" t="s">
        <v>72</v>
      </c>
      <c r="D79" s="105"/>
      <c r="E79" s="111"/>
      <c r="F79" s="97">
        <v>0.6</v>
      </c>
      <c r="G79" s="97">
        <v>3619.09</v>
      </c>
      <c r="H79" s="75">
        <f t="shared" si="11"/>
        <v>2.1714540000000002</v>
      </c>
      <c r="I79" s="12">
        <v>0</v>
      </c>
    </row>
    <row r="80" spans="1:9" ht="28.5" hidden="1">
      <c r="A80" s="24"/>
      <c r="B80" s="174" t="s">
        <v>120</v>
      </c>
      <c r="C80" s="12"/>
      <c r="D80" s="12"/>
      <c r="E80" s="12"/>
      <c r="F80" s="12"/>
      <c r="G80" s="12"/>
      <c r="H80" s="12"/>
      <c r="I80" s="12"/>
    </row>
    <row r="81" spans="1:9" hidden="1">
      <c r="A81" s="61"/>
      <c r="B81" s="98" t="s">
        <v>121</v>
      </c>
      <c r="C81" s="137"/>
      <c r="D81" s="138"/>
      <c r="E81" s="114"/>
      <c r="F81" s="139">
        <v>1</v>
      </c>
      <c r="G81" s="139">
        <v>30235</v>
      </c>
      <c r="H81" s="140">
        <f>G81*F81/1000</f>
        <v>30.234999999999999</v>
      </c>
      <c r="I81" s="59">
        <f>G81</f>
        <v>30235</v>
      </c>
    </row>
    <row r="82" spans="1:9">
      <c r="A82" s="201" t="s">
        <v>137</v>
      </c>
      <c r="B82" s="202"/>
      <c r="C82" s="202"/>
      <c r="D82" s="202"/>
      <c r="E82" s="202"/>
      <c r="F82" s="202"/>
      <c r="G82" s="202"/>
      <c r="H82" s="202"/>
      <c r="I82" s="203"/>
    </row>
    <row r="83" spans="1:9" ht="17.25" customHeight="1">
      <c r="A83" s="61">
        <v>13</v>
      </c>
      <c r="B83" s="85" t="s">
        <v>123</v>
      </c>
      <c r="C83" s="106" t="s">
        <v>52</v>
      </c>
      <c r="D83" s="116"/>
      <c r="E83" s="29">
        <v>3931</v>
      </c>
      <c r="F83" s="29">
        <f>SUM(E83*12)</f>
        <v>47172</v>
      </c>
      <c r="G83" s="29">
        <v>3.1</v>
      </c>
      <c r="H83" s="75">
        <f>SUM(F83*G83/1000)</f>
        <v>146.23320000000001</v>
      </c>
      <c r="I83" s="12">
        <f>F83/12*G83</f>
        <v>12186.1</v>
      </c>
    </row>
    <row r="84" spans="1:9" ht="36" customHeight="1">
      <c r="A84" s="24">
        <v>14</v>
      </c>
      <c r="B84" s="30" t="s">
        <v>73</v>
      </c>
      <c r="C84" s="106"/>
      <c r="D84" s="116"/>
      <c r="E84" s="87">
        <f>E83</f>
        <v>3931</v>
      </c>
      <c r="F84" s="29">
        <f>E84*12</f>
        <v>47172</v>
      </c>
      <c r="G84" s="29">
        <v>3.5</v>
      </c>
      <c r="H84" s="75">
        <f>F84*G84/1000</f>
        <v>165.102</v>
      </c>
      <c r="I84" s="12">
        <f>F84/12*G84</f>
        <v>13758.5</v>
      </c>
    </row>
    <row r="85" spans="1:9">
      <c r="A85" s="24"/>
      <c r="B85" s="31" t="s">
        <v>76</v>
      </c>
      <c r="C85" s="57"/>
      <c r="D85" s="56"/>
      <c r="E85" s="46"/>
      <c r="F85" s="46"/>
      <c r="G85" s="46"/>
      <c r="H85" s="58">
        <f>H84</f>
        <v>165.102</v>
      </c>
      <c r="I85" s="46">
        <f>I84+I83+I72+I61+I31+I29+I28+I25+I18+I17+I16+I58+I51+I50</f>
        <v>89914.324300000007</v>
      </c>
    </row>
    <row r="86" spans="1:9">
      <c r="A86" s="190" t="s">
        <v>57</v>
      </c>
      <c r="B86" s="191"/>
      <c r="C86" s="191"/>
      <c r="D86" s="191"/>
      <c r="E86" s="191"/>
      <c r="F86" s="191"/>
      <c r="G86" s="191"/>
      <c r="H86" s="191"/>
      <c r="I86" s="192"/>
    </row>
    <row r="87" spans="1:9">
      <c r="A87" s="24">
        <v>15</v>
      </c>
      <c r="B87" s="77" t="s">
        <v>242</v>
      </c>
      <c r="C87" s="78" t="s">
        <v>86</v>
      </c>
      <c r="D87" s="24"/>
      <c r="E87" s="16"/>
      <c r="F87" s="12"/>
      <c r="G87" s="29">
        <v>887.44</v>
      </c>
      <c r="H87" s="54">
        <f>G87*F87/1000</f>
        <v>0</v>
      </c>
      <c r="I87" s="59">
        <f>G87*2</f>
        <v>1774.88</v>
      </c>
    </row>
    <row r="88" spans="1:9" ht="30">
      <c r="A88" s="24">
        <v>16</v>
      </c>
      <c r="B88" s="77" t="s">
        <v>185</v>
      </c>
      <c r="C88" s="78" t="s">
        <v>36</v>
      </c>
      <c r="D88" s="24"/>
      <c r="E88" s="16"/>
      <c r="F88" s="12"/>
      <c r="G88" s="29">
        <v>3914.31</v>
      </c>
      <c r="H88" s="54"/>
      <c r="I88" s="59">
        <f>G88*0.05</f>
        <v>195.71550000000002</v>
      </c>
    </row>
    <row r="89" spans="1:9" ht="18" customHeight="1">
      <c r="A89" s="24">
        <v>17</v>
      </c>
      <c r="B89" s="77" t="s">
        <v>180</v>
      </c>
      <c r="C89" s="78" t="s">
        <v>201</v>
      </c>
      <c r="D89" s="24"/>
      <c r="E89" s="16"/>
      <c r="F89" s="12"/>
      <c r="G89" s="29">
        <v>3319.93</v>
      </c>
      <c r="H89" s="54"/>
      <c r="I89" s="59">
        <f>G89*4</f>
        <v>13279.72</v>
      </c>
    </row>
    <row r="90" spans="1:9">
      <c r="A90" s="24">
        <v>18</v>
      </c>
      <c r="B90" s="77" t="s">
        <v>253</v>
      </c>
      <c r="C90" s="78" t="s">
        <v>86</v>
      </c>
      <c r="D90" s="24"/>
      <c r="E90" s="16"/>
      <c r="F90" s="12"/>
      <c r="G90" s="29">
        <v>1100</v>
      </c>
      <c r="H90" s="54"/>
      <c r="I90" s="59">
        <f>G90*2</f>
        <v>2200</v>
      </c>
    </row>
    <row r="91" spans="1:9">
      <c r="A91" s="24">
        <v>19</v>
      </c>
      <c r="B91" s="77" t="s">
        <v>254</v>
      </c>
      <c r="C91" s="78" t="s">
        <v>86</v>
      </c>
      <c r="D91" s="13"/>
      <c r="E91" s="16"/>
      <c r="F91" s="12"/>
      <c r="G91" s="29">
        <v>837</v>
      </c>
      <c r="H91" s="54"/>
      <c r="I91" s="59">
        <f>G91*4</f>
        <v>3348</v>
      </c>
    </row>
    <row r="92" spans="1:9">
      <c r="A92" s="24">
        <v>20</v>
      </c>
      <c r="B92" s="77" t="s">
        <v>255</v>
      </c>
      <c r="C92" s="78" t="s">
        <v>86</v>
      </c>
      <c r="D92" s="13"/>
      <c r="E92" s="16"/>
      <c r="F92" s="12"/>
      <c r="G92" s="29">
        <v>890</v>
      </c>
      <c r="H92" s="54"/>
      <c r="I92" s="59">
        <f>G92*1</f>
        <v>890</v>
      </c>
    </row>
    <row r="93" spans="1:9">
      <c r="A93" s="24">
        <v>21</v>
      </c>
      <c r="B93" s="77" t="s">
        <v>256</v>
      </c>
      <c r="C93" s="78" t="s">
        <v>257</v>
      </c>
      <c r="D93" s="13"/>
      <c r="E93" s="16"/>
      <c r="F93" s="12"/>
      <c r="G93" s="29">
        <v>374</v>
      </c>
      <c r="H93" s="54"/>
      <c r="I93" s="59">
        <f>G93*6</f>
        <v>2244</v>
      </c>
    </row>
    <row r="94" spans="1:9">
      <c r="A94" s="24">
        <v>22</v>
      </c>
      <c r="B94" s="77" t="s">
        <v>33</v>
      </c>
      <c r="C94" s="78" t="s">
        <v>29</v>
      </c>
      <c r="D94" s="13"/>
      <c r="E94" s="16"/>
      <c r="F94" s="12"/>
      <c r="G94" s="144">
        <v>830.69</v>
      </c>
      <c r="H94" s="54"/>
      <c r="I94" s="59">
        <f>G94*0.012</f>
        <v>9.96828</v>
      </c>
    </row>
    <row r="95" spans="1:9">
      <c r="A95" s="174"/>
      <c r="B95" s="60" t="s">
        <v>49</v>
      </c>
      <c r="C95" s="32"/>
      <c r="D95" s="38"/>
      <c r="E95" s="32">
        <v>1</v>
      </c>
      <c r="F95" s="32"/>
      <c r="G95" s="32"/>
      <c r="H95" s="32"/>
      <c r="I95" s="27">
        <f>SUM(I87:I94)</f>
        <v>23942.283779999998</v>
      </c>
    </row>
    <row r="96" spans="1:9">
      <c r="A96" s="24"/>
      <c r="B96" s="37" t="s">
        <v>74</v>
      </c>
      <c r="C96" s="14"/>
      <c r="D96" s="14"/>
      <c r="E96" s="33"/>
      <c r="F96" s="33"/>
      <c r="G96" s="34"/>
      <c r="H96" s="34"/>
      <c r="I96" s="15">
        <v>0</v>
      </c>
    </row>
    <row r="97" spans="1:9">
      <c r="A97" s="39"/>
      <c r="B97" s="36" t="s">
        <v>143</v>
      </c>
      <c r="C97" s="28"/>
      <c r="D97" s="28"/>
      <c r="E97" s="28"/>
      <c r="F97" s="28"/>
      <c r="G97" s="28"/>
      <c r="H97" s="28"/>
      <c r="I97" s="35">
        <f>I85+I95</f>
        <v>113856.60808000001</v>
      </c>
    </row>
    <row r="98" spans="1:9" ht="15.75">
      <c r="A98" s="193" t="s">
        <v>258</v>
      </c>
      <c r="B98" s="193"/>
      <c r="C98" s="193"/>
      <c r="D98" s="193"/>
      <c r="E98" s="193"/>
      <c r="F98" s="193"/>
      <c r="G98" s="193"/>
      <c r="H98" s="193"/>
      <c r="I98" s="193"/>
    </row>
    <row r="99" spans="1:9" ht="15.75">
      <c r="A99" s="68"/>
      <c r="B99" s="194" t="s">
        <v>259</v>
      </c>
      <c r="C99" s="194"/>
      <c r="D99" s="194"/>
      <c r="E99" s="194"/>
      <c r="F99" s="194"/>
      <c r="G99" s="194"/>
      <c r="H99" s="43"/>
      <c r="I99" s="3"/>
    </row>
    <row r="100" spans="1:9">
      <c r="A100" s="169"/>
      <c r="B100" s="195" t="s">
        <v>6</v>
      </c>
      <c r="C100" s="195"/>
      <c r="D100" s="195"/>
      <c r="E100" s="195"/>
      <c r="F100" s="195"/>
      <c r="G100" s="195"/>
      <c r="H100" s="19"/>
      <c r="I100" s="5"/>
    </row>
    <row r="101" spans="1:9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5.75">
      <c r="A102" s="196" t="s">
        <v>7</v>
      </c>
      <c r="B102" s="196"/>
      <c r="C102" s="196"/>
      <c r="D102" s="196"/>
      <c r="E102" s="196"/>
      <c r="F102" s="196"/>
      <c r="G102" s="196"/>
      <c r="H102" s="196"/>
      <c r="I102" s="196"/>
    </row>
    <row r="103" spans="1:9" ht="15.75">
      <c r="A103" s="196" t="s">
        <v>8</v>
      </c>
      <c r="B103" s="196"/>
      <c r="C103" s="196"/>
      <c r="D103" s="196"/>
      <c r="E103" s="196"/>
      <c r="F103" s="196"/>
      <c r="G103" s="196"/>
      <c r="H103" s="196"/>
      <c r="I103" s="196"/>
    </row>
    <row r="104" spans="1:9" ht="15.75">
      <c r="A104" s="197" t="s">
        <v>58</v>
      </c>
      <c r="B104" s="197"/>
      <c r="C104" s="197"/>
      <c r="D104" s="197"/>
      <c r="E104" s="197"/>
      <c r="F104" s="197"/>
      <c r="G104" s="197"/>
      <c r="H104" s="197"/>
      <c r="I104" s="197"/>
    </row>
    <row r="105" spans="1:9" ht="15.75">
      <c r="A105" s="10"/>
    </row>
    <row r="106" spans="1:9" ht="15.75">
      <c r="A106" s="198" t="s">
        <v>9</v>
      </c>
      <c r="B106" s="198"/>
      <c r="C106" s="198"/>
      <c r="D106" s="198"/>
      <c r="E106" s="198"/>
      <c r="F106" s="198"/>
      <c r="G106" s="198"/>
      <c r="H106" s="198"/>
      <c r="I106" s="198"/>
    </row>
    <row r="107" spans="1:9" ht="15.75">
      <c r="A107" s="4"/>
    </row>
    <row r="108" spans="1:9" ht="15.75">
      <c r="B108" s="171" t="s">
        <v>10</v>
      </c>
      <c r="C108" s="199" t="s">
        <v>83</v>
      </c>
      <c r="D108" s="199"/>
      <c r="E108" s="199"/>
      <c r="F108" s="41"/>
      <c r="I108" s="172"/>
    </row>
    <row r="109" spans="1:9">
      <c r="A109" s="169"/>
      <c r="C109" s="195" t="s">
        <v>11</v>
      </c>
      <c r="D109" s="195"/>
      <c r="E109" s="195"/>
      <c r="F109" s="19"/>
      <c r="I109" s="170" t="s">
        <v>12</v>
      </c>
    </row>
    <row r="110" spans="1:9" ht="15.75">
      <c r="A110" s="20"/>
      <c r="C110" s="11"/>
      <c r="D110" s="11"/>
      <c r="G110" s="11"/>
      <c r="H110" s="11"/>
    </row>
    <row r="111" spans="1:9" ht="15.75">
      <c r="B111" s="171" t="s">
        <v>13</v>
      </c>
      <c r="C111" s="200"/>
      <c r="D111" s="200"/>
      <c r="E111" s="200"/>
      <c r="F111" s="42"/>
      <c r="I111" s="172"/>
    </row>
    <row r="112" spans="1:9">
      <c r="A112" s="169"/>
      <c r="C112" s="189" t="s">
        <v>11</v>
      </c>
      <c r="D112" s="189"/>
      <c r="E112" s="189"/>
      <c r="F112" s="169"/>
      <c r="I112" s="170" t="s">
        <v>12</v>
      </c>
    </row>
    <row r="113" spans="1:9" ht="15.75">
      <c r="A113" s="4" t="s">
        <v>14</v>
      </c>
    </row>
    <row r="114" spans="1:9">
      <c r="A114" s="186" t="s">
        <v>15</v>
      </c>
      <c r="B114" s="186"/>
      <c r="C114" s="186"/>
      <c r="D114" s="186"/>
      <c r="E114" s="186"/>
      <c r="F114" s="186"/>
      <c r="G114" s="186"/>
      <c r="H114" s="186"/>
      <c r="I114" s="186"/>
    </row>
    <row r="115" spans="1:9" ht="43.5" customHeight="1">
      <c r="A115" s="187" t="s">
        <v>16</v>
      </c>
      <c r="B115" s="187"/>
      <c r="C115" s="187"/>
      <c r="D115" s="187"/>
      <c r="E115" s="187"/>
      <c r="F115" s="187"/>
      <c r="G115" s="187"/>
      <c r="H115" s="187"/>
      <c r="I115" s="187"/>
    </row>
    <row r="116" spans="1:9" ht="39" customHeight="1">
      <c r="A116" s="187" t="s">
        <v>17</v>
      </c>
      <c r="B116" s="187"/>
      <c r="C116" s="187"/>
      <c r="D116" s="187"/>
      <c r="E116" s="187"/>
      <c r="F116" s="187"/>
      <c r="G116" s="187"/>
      <c r="H116" s="187"/>
      <c r="I116" s="187"/>
    </row>
    <row r="117" spans="1:9" ht="32.25" customHeight="1">
      <c r="A117" s="187" t="s">
        <v>21</v>
      </c>
      <c r="B117" s="187"/>
      <c r="C117" s="187"/>
      <c r="D117" s="187"/>
      <c r="E117" s="187"/>
      <c r="F117" s="187"/>
      <c r="G117" s="187"/>
      <c r="H117" s="187"/>
      <c r="I117" s="187"/>
    </row>
    <row r="118" spans="1:9" ht="15.75">
      <c r="A118" s="187" t="s">
        <v>20</v>
      </c>
      <c r="B118" s="187"/>
      <c r="C118" s="187"/>
      <c r="D118" s="187"/>
      <c r="E118" s="187"/>
      <c r="F118" s="187"/>
      <c r="G118" s="187"/>
      <c r="H118" s="187"/>
      <c r="I118" s="187"/>
    </row>
  </sheetData>
  <mergeCells count="28">
    <mergeCell ref="A14:I14"/>
    <mergeCell ref="A3:I3"/>
    <mergeCell ref="A4:I4"/>
    <mergeCell ref="A5:I5"/>
    <mergeCell ref="A8:I8"/>
    <mergeCell ref="A10:I10"/>
    <mergeCell ref="A104:I104"/>
    <mergeCell ref="A15:I15"/>
    <mergeCell ref="A26:I26"/>
    <mergeCell ref="A41:I41"/>
    <mergeCell ref="A52:I52"/>
    <mergeCell ref="A82:I82"/>
    <mergeCell ref="A86:I86"/>
    <mergeCell ref="A98:I98"/>
    <mergeCell ref="B99:G99"/>
    <mergeCell ref="B100:G100"/>
    <mergeCell ref="A102:I102"/>
    <mergeCell ref="A103:I103"/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13"/>
  <sheetViews>
    <sheetView workbookViewId="0">
      <selection activeCell="L90" sqref="L90"/>
    </sheetView>
  </sheetViews>
  <sheetFormatPr defaultRowHeight="15"/>
  <cols>
    <col min="1" max="1" width="11.140625" customWidth="1"/>
    <col min="2" max="2" width="46" customWidth="1"/>
    <col min="3" max="3" width="16.7109375" customWidth="1"/>
    <col min="4" max="4" width="19" customWidth="1"/>
    <col min="5" max="6" width="0" hidden="1" customWidth="1"/>
    <col min="7" max="7" width="17.28515625" customWidth="1"/>
    <col min="8" max="8" width="0" hidden="1" customWidth="1"/>
    <col min="9" max="9" width="16.140625" customWidth="1"/>
  </cols>
  <sheetData>
    <row r="1" spans="1:9" ht="15.75">
      <c r="A1" s="22" t="s">
        <v>171</v>
      </c>
      <c r="I1" s="21"/>
    </row>
    <row r="2" spans="1:9" ht="15.75">
      <c r="A2" s="23" t="s">
        <v>59</v>
      </c>
    </row>
    <row r="3" spans="1:9" ht="15.75">
      <c r="A3" s="204" t="s">
        <v>178</v>
      </c>
      <c r="B3" s="204"/>
      <c r="C3" s="204"/>
      <c r="D3" s="204"/>
      <c r="E3" s="204"/>
      <c r="F3" s="204"/>
      <c r="G3" s="204"/>
      <c r="H3" s="204"/>
      <c r="I3" s="204"/>
    </row>
    <row r="4" spans="1:9" ht="32.25" customHeight="1">
      <c r="A4" s="205" t="s">
        <v>124</v>
      </c>
      <c r="B4" s="205"/>
      <c r="C4" s="205"/>
      <c r="D4" s="205"/>
      <c r="E4" s="205"/>
      <c r="F4" s="205"/>
      <c r="G4" s="205"/>
      <c r="H4" s="205"/>
      <c r="I4" s="205"/>
    </row>
    <row r="5" spans="1:9" ht="15.75">
      <c r="A5" s="204" t="s">
        <v>260</v>
      </c>
      <c r="B5" s="206"/>
      <c r="C5" s="206"/>
      <c r="D5" s="206"/>
      <c r="E5" s="206"/>
      <c r="F5" s="206"/>
      <c r="G5" s="206"/>
      <c r="H5" s="206"/>
      <c r="I5" s="206"/>
    </row>
    <row r="6" spans="1:9" ht="15.75">
      <c r="A6" s="2"/>
      <c r="B6" s="179"/>
      <c r="C6" s="179"/>
      <c r="D6" s="179"/>
      <c r="E6" s="179"/>
      <c r="F6" s="179"/>
      <c r="G6" s="179"/>
      <c r="H6" s="179"/>
      <c r="I6" s="25">
        <v>43738</v>
      </c>
    </row>
    <row r="7" spans="1:9" ht="15.75">
      <c r="B7" s="177"/>
      <c r="C7" s="177"/>
      <c r="D7" s="177"/>
      <c r="E7" s="3"/>
      <c r="F7" s="3"/>
      <c r="G7" s="3"/>
      <c r="H7" s="3"/>
    </row>
    <row r="8" spans="1:9" ht="96.75" customHeight="1">
      <c r="A8" s="207" t="s">
        <v>175</v>
      </c>
      <c r="B8" s="207"/>
      <c r="C8" s="207"/>
      <c r="D8" s="207"/>
      <c r="E8" s="207"/>
      <c r="F8" s="207"/>
      <c r="G8" s="207"/>
      <c r="H8" s="207"/>
      <c r="I8" s="207"/>
    </row>
    <row r="9" spans="1:9" ht="15.75">
      <c r="A9" s="4"/>
    </row>
    <row r="10" spans="1:9" ht="67.5" customHeight="1">
      <c r="A10" s="208" t="s">
        <v>158</v>
      </c>
      <c r="B10" s="208"/>
      <c r="C10" s="208"/>
      <c r="D10" s="208"/>
      <c r="E10" s="208"/>
      <c r="F10" s="208"/>
      <c r="G10" s="208"/>
      <c r="H10" s="208"/>
      <c r="I10" s="208"/>
    </row>
    <row r="11" spans="1:9" ht="15.75">
      <c r="A11" s="4"/>
    </row>
    <row r="12" spans="1:9" ht="81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9" t="s">
        <v>56</v>
      </c>
      <c r="B14" s="209"/>
      <c r="C14" s="209"/>
      <c r="D14" s="209"/>
      <c r="E14" s="209"/>
      <c r="F14" s="209"/>
      <c r="G14" s="209"/>
      <c r="H14" s="209"/>
      <c r="I14" s="209"/>
    </row>
    <row r="15" spans="1:9">
      <c r="A15" s="210" t="s">
        <v>4</v>
      </c>
      <c r="B15" s="210"/>
      <c r="C15" s="210"/>
      <c r="D15" s="210"/>
      <c r="E15" s="210"/>
      <c r="F15" s="210"/>
      <c r="G15" s="210"/>
      <c r="H15" s="210"/>
      <c r="I15" s="210"/>
    </row>
    <row r="16" spans="1:9" ht="17.25" customHeight="1">
      <c r="A16" s="24">
        <v>1</v>
      </c>
      <c r="B16" s="85" t="s">
        <v>81</v>
      </c>
      <c r="C16" s="86" t="s">
        <v>90</v>
      </c>
      <c r="D16" s="85" t="s">
        <v>217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18" si="0">SUM(F16*G16/1000)</f>
        <v>34.100352000000008</v>
      </c>
      <c r="I16" s="12">
        <f>F16/12*G16</f>
        <v>2841.6960000000004</v>
      </c>
    </row>
    <row r="17" spans="1:9" ht="29.25" customHeight="1">
      <c r="A17" s="24">
        <v>2</v>
      </c>
      <c r="B17" s="85" t="s">
        <v>88</v>
      </c>
      <c r="C17" s="86" t="s">
        <v>90</v>
      </c>
      <c r="D17" s="85" t="s">
        <v>218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</row>
    <row r="18" spans="1:9" ht="18.75" customHeight="1">
      <c r="A18" s="24">
        <v>3</v>
      </c>
      <c r="B18" s="85" t="s">
        <v>89</v>
      </c>
      <c r="C18" s="86" t="s">
        <v>90</v>
      </c>
      <c r="D18" s="85" t="s">
        <v>219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</row>
    <row r="19" spans="1:9" hidden="1">
      <c r="A19" s="24">
        <v>4</v>
      </c>
      <c r="B19" s="85" t="s">
        <v>91</v>
      </c>
      <c r="C19" s="86" t="s">
        <v>92</v>
      </c>
      <c r="D19" s="85" t="s">
        <v>93</v>
      </c>
      <c r="E19" s="87">
        <v>57.6</v>
      </c>
      <c r="F19" s="158">
        <f>SUM(E19/10)</f>
        <v>5.76</v>
      </c>
      <c r="G19" s="88">
        <v>223.17</v>
      </c>
      <c r="H19" s="89">
        <f t="shared" ref="H19:H24" si="2">SUM(F19*G19/1000)</f>
        <v>1.2854591999999998</v>
      </c>
      <c r="I19" s="12">
        <f>F19*G19</f>
        <v>1285.4591999999998</v>
      </c>
    </row>
    <row r="20" spans="1:9" ht="16.5" customHeight="1">
      <c r="A20" s="24">
        <v>4</v>
      </c>
      <c r="B20" s="85" t="s">
        <v>94</v>
      </c>
      <c r="C20" s="86" t="s">
        <v>90</v>
      </c>
      <c r="D20" s="85" t="s">
        <v>224</v>
      </c>
      <c r="E20" s="87">
        <v>43.2</v>
      </c>
      <c r="F20" s="158">
        <f>SUM(E20*2/100)</f>
        <v>0.8640000000000001</v>
      </c>
      <c r="G20" s="88">
        <v>285.76</v>
      </c>
      <c r="H20" s="89">
        <f t="shared" si="2"/>
        <v>0.24689664000000003</v>
      </c>
      <c r="I20" s="12">
        <f>F20/2*G20</f>
        <v>123.44832000000001</v>
      </c>
    </row>
    <row r="21" spans="1:9" ht="14.25" customHeight="1">
      <c r="A21" s="24">
        <v>5</v>
      </c>
      <c r="B21" s="85" t="s">
        <v>95</v>
      </c>
      <c r="C21" s="86" t="s">
        <v>90</v>
      </c>
      <c r="D21" s="85" t="s">
        <v>224</v>
      </c>
      <c r="E21" s="87">
        <v>10.08</v>
      </c>
      <c r="F21" s="158">
        <f>SUM(E21*2/100)</f>
        <v>0.2016</v>
      </c>
      <c r="G21" s="88">
        <v>283.44</v>
      </c>
      <c r="H21" s="89">
        <f t="shared" si="2"/>
        <v>5.7141503999999996E-2</v>
      </c>
      <c r="I21" s="12">
        <f>F21/2*G21</f>
        <v>28.570751999999999</v>
      </c>
    </row>
    <row r="22" spans="1:9" hidden="1">
      <c r="A22" s="24">
        <v>7</v>
      </c>
      <c r="B22" s="85" t="s">
        <v>96</v>
      </c>
      <c r="C22" s="86" t="s">
        <v>50</v>
      </c>
      <c r="D22" s="85" t="s">
        <v>93</v>
      </c>
      <c r="E22" s="87">
        <v>642.6</v>
      </c>
      <c r="F22" s="158">
        <f>SUM(E22/100)</f>
        <v>6.4260000000000002</v>
      </c>
      <c r="G22" s="88">
        <v>353.14</v>
      </c>
      <c r="H22" s="89">
        <f t="shared" si="2"/>
        <v>2.2692776399999999</v>
      </c>
      <c r="I22" s="12">
        <f>F22*G22</f>
        <v>2269.2776399999998</v>
      </c>
    </row>
    <row r="23" spans="1:9" hidden="1">
      <c r="A23" s="24">
        <v>8</v>
      </c>
      <c r="B23" s="85" t="s">
        <v>97</v>
      </c>
      <c r="C23" s="86" t="s">
        <v>50</v>
      </c>
      <c r="D23" s="85" t="s">
        <v>93</v>
      </c>
      <c r="E23" s="90">
        <v>35.28</v>
      </c>
      <c r="F23" s="158">
        <f>SUM(E23/100)</f>
        <v>0.3528</v>
      </c>
      <c r="G23" s="88">
        <v>58.08</v>
      </c>
      <c r="H23" s="89">
        <f t="shared" si="2"/>
        <v>2.0490623999999999E-2</v>
      </c>
      <c r="I23" s="12">
        <f>F23*G23</f>
        <v>20.490624</v>
      </c>
    </row>
    <row r="24" spans="1:9" ht="16.5" hidden="1" customHeight="1">
      <c r="A24" s="24">
        <v>9</v>
      </c>
      <c r="B24" s="85" t="s">
        <v>98</v>
      </c>
      <c r="C24" s="86" t="s">
        <v>50</v>
      </c>
      <c r="D24" s="85" t="s">
        <v>93</v>
      </c>
      <c r="E24" s="87">
        <v>28.8</v>
      </c>
      <c r="F24" s="158">
        <f>SUM(E24/100)</f>
        <v>0.28800000000000003</v>
      </c>
      <c r="G24" s="88">
        <v>683.05</v>
      </c>
      <c r="H24" s="89">
        <f t="shared" si="2"/>
        <v>0.19671840000000002</v>
      </c>
      <c r="I24" s="12">
        <f>F24*G24</f>
        <v>196.7184</v>
      </c>
    </row>
    <row r="25" spans="1:9" ht="19.5" customHeight="1">
      <c r="A25" s="24">
        <v>6</v>
      </c>
      <c r="B25" s="85" t="s">
        <v>216</v>
      </c>
      <c r="C25" s="86" t="s">
        <v>25</v>
      </c>
      <c r="D25" s="85" t="s">
        <v>220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</row>
    <row r="26" spans="1:9">
      <c r="A26" s="211" t="s">
        <v>153</v>
      </c>
      <c r="B26" s="212"/>
      <c r="C26" s="212"/>
      <c r="D26" s="212"/>
      <c r="E26" s="212"/>
      <c r="F26" s="212"/>
      <c r="G26" s="212"/>
      <c r="H26" s="212"/>
      <c r="I26" s="213"/>
    </row>
    <row r="27" spans="1:9" ht="16.5" customHeight="1">
      <c r="A27" s="24"/>
      <c r="B27" s="119" t="s">
        <v>28</v>
      </c>
      <c r="C27" s="86"/>
      <c r="D27" s="85"/>
      <c r="E27" s="87"/>
      <c r="F27" s="88"/>
      <c r="G27" s="88"/>
      <c r="H27" s="89"/>
      <c r="I27" s="12"/>
    </row>
    <row r="28" spans="1:9" ht="15" customHeight="1">
      <c r="A28" s="24">
        <v>7</v>
      </c>
      <c r="B28" s="85" t="s">
        <v>99</v>
      </c>
      <c r="C28" s="86" t="s">
        <v>100</v>
      </c>
      <c r="D28" s="85" t="s">
        <v>218</v>
      </c>
      <c r="E28" s="88">
        <v>271.95</v>
      </c>
      <c r="F28" s="88">
        <f>SUM(E28*52/1000)</f>
        <v>14.141399999999999</v>
      </c>
      <c r="G28" s="88">
        <v>204.44</v>
      </c>
      <c r="H28" s="89">
        <f t="shared" ref="H28:H30" si="3">SUM(F28*G28/1000)</f>
        <v>2.8910678159999996</v>
      </c>
      <c r="I28" s="12">
        <f>F28/6*G28</f>
        <v>481.84463599999998</v>
      </c>
    </row>
    <row r="29" spans="1:9" ht="46.5" customHeight="1">
      <c r="A29" s="24">
        <v>8</v>
      </c>
      <c r="B29" s="85" t="s">
        <v>134</v>
      </c>
      <c r="C29" s="86" t="s">
        <v>100</v>
      </c>
      <c r="D29" s="85" t="s">
        <v>218</v>
      </c>
      <c r="E29" s="88">
        <v>83.7</v>
      </c>
      <c r="F29" s="88">
        <f>SUM(E29*52/1000)</f>
        <v>4.3524000000000003</v>
      </c>
      <c r="G29" s="88">
        <v>339.21</v>
      </c>
      <c r="H29" s="89">
        <f t="shared" si="3"/>
        <v>1.4763776040000001</v>
      </c>
      <c r="I29" s="12">
        <f t="shared" ref="I29:I31" si="4">F29/6*G29</f>
        <v>246.06293400000001</v>
      </c>
    </row>
    <row r="30" spans="1:9" hidden="1">
      <c r="A30" s="24">
        <v>14</v>
      </c>
      <c r="B30" s="85" t="s">
        <v>27</v>
      </c>
      <c r="C30" s="86" t="s">
        <v>100</v>
      </c>
      <c r="D30" s="85" t="s">
        <v>51</v>
      </c>
      <c r="E30" s="88">
        <v>271.95</v>
      </c>
      <c r="F30" s="88">
        <f>SUM(E30/1000)</f>
        <v>0.27194999999999997</v>
      </c>
      <c r="G30" s="88">
        <v>3961.23</v>
      </c>
      <c r="H30" s="89">
        <f t="shared" si="3"/>
        <v>1.0772564984999999</v>
      </c>
      <c r="I30" s="12">
        <f>F30*G30</f>
        <v>1077.2564984999999</v>
      </c>
    </row>
    <row r="31" spans="1:9" ht="16.5" customHeight="1">
      <c r="A31" s="24">
        <v>9</v>
      </c>
      <c r="B31" s="85" t="s">
        <v>102</v>
      </c>
      <c r="C31" s="86" t="s">
        <v>38</v>
      </c>
      <c r="D31" s="85" t="s">
        <v>218</v>
      </c>
      <c r="E31" s="88">
        <v>6</v>
      </c>
      <c r="F31" s="88">
        <f>SUM(E31*48/100)</f>
        <v>2.88</v>
      </c>
      <c r="G31" s="88">
        <v>1707.63</v>
      </c>
      <c r="H31" s="89">
        <f>G31*F31/1000</f>
        <v>4.9179744000000003</v>
      </c>
      <c r="I31" s="12">
        <f t="shared" si="4"/>
        <v>819.66240000000005</v>
      </c>
    </row>
    <row r="32" spans="1:9" hidden="1">
      <c r="A32" s="24">
        <v>6</v>
      </c>
      <c r="B32" s="85" t="s">
        <v>61</v>
      </c>
      <c r="C32" s="86" t="s">
        <v>32</v>
      </c>
      <c r="D32" s="85" t="s">
        <v>63</v>
      </c>
      <c r="E32" s="87"/>
      <c r="F32" s="88">
        <v>2</v>
      </c>
      <c r="G32" s="88">
        <v>250.92</v>
      </c>
      <c r="H32" s="89">
        <f t="shared" ref="H32:H33" si="5">SUM(F32*G32/1000)</f>
        <v>0.50183999999999995</v>
      </c>
      <c r="I32" s="12">
        <v>0</v>
      </c>
    </row>
    <row r="33" spans="1:9" hidden="1">
      <c r="A33" s="24">
        <v>7</v>
      </c>
      <c r="B33" s="85" t="s">
        <v>62</v>
      </c>
      <c r="C33" s="86" t="s">
        <v>31</v>
      </c>
      <c r="D33" s="85" t="s">
        <v>63</v>
      </c>
      <c r="E33" s="87"/>
      <c r="F33" s="88">
        <v>1</v>
      </c>
      <c r="G33" s="88">
        <v>1490.33</v>
      </c>
      <c r="H33" s="89">
        <f t="shared" si="5"/>
        <v>1.4903299999999999</v>
      </c>
      <c r="I33" s="12">
        <v>0</v>
      </c>
    </row>
    <row r="34" spans="1:9" hidden="1">
      <c r="A34" s="24"/>
      <c r="B34" s="118" t="s">
        <v>5</v>
      </c>
      <c r="C34" s="86"/>
      <c r="D34" s="85"/>
      <c r="E34" s="87"/>
      <c r="F34" s="88"/>
      <c r="G34" s="88"/>
      <c r="H34" s="89" t="s">
        <v>129</v>
      </c>
      <c r="I34" s="12"/>
    </row>
    <row r="35" spans="1:9" hidden="1">
      <c r="A35" s="24">
        <v>6</v>
      </c>
      <c r="B35" s="94" t="s">
        <v>26</v>
      </c>
      <c r="C35" s="86" t="s">
        <v>31</v>
      </c>
      <c r="D35" s="85"/>
      <c r="E35" s="87"/>
      <c r="F35" s="88">
        <v>5</v>
      </c>
      <c r="G35" s="88">
        <v>2003</v>
      </c>
      <c r="H35" s="89">
        <f t="shared" ref="H35:H40" si="6">SUM(F35*G35/1000)</f>
        <v>10.015000000000001</v>
      </c>
      <c r="I35" s="12">
        <f t="shared" ref="I35:I38" si="7">F35/6*G35</f>
        <v>1669.1666666666667</v>
      </c>
    </row>
    <row r="36" spans="1:9" hidden="1">
      <c r="A36" s="24">
        <v>7</v>
      </c>
      <c r="B36" s="94" t="s">
        <v>146</v>
      </c>
      <c r="C36" s="95" t="s">
        <v>29</v>
      </c>
      <c r="D36" s="85" t="s">
        <v>104</v>
      </c>
      <c r="E36" s="87">
        <v>83.7</v>
      </c>
      <c r="F36" s="96">
        <f>E36*30/1000</f>
        <v>2.5110000000000001</v>
      </c>
      <c r="G36" s="88">
        <v>2757.78</v>
      </c>
      <c r="H36" s="89">
        <f t="shared" si="6"/>
        <v>6.9247855800000009</v>
      </c>
      <c r="I36" s="12">
        <f t="shared" si="7"/>
        <v>1154.1309300000003</v>
      </c>
    </row>
    <row r="37" spans="1:9" ht="30" hidden="1">
      <c r="A37" s="24">
        <v>8</v>
      </c>
      <c r="B37" s="85" t="s">
        <v>64</v>
      </c>
      <c r="C37" s="86" t="s">
        <v>29</v>
      </c>
      <c r="D37" s="85" t="s">
        <v>105</v>
      </c>
      <c r="E37" s="88">
        <v>83.7</v>
      </c>
      <c r="F37" s="96">
        <f>SUM(E37*155/1000)</f>
        <v>12.9735</v>
      </c>
      <c r="G37" s="88">
        <v>460.02</v>
      </c>
      <c r="H37" s="89">
        <f t="shared" si="6"/>
        <v>5.9680694699999997</v>
      </c>
      <c r="I37" s="12">
        <f t="shared" si="7"/>
        <v>994.67824499999983</v>
      </c>
    </row>
    <row r="38" spans="1:9" ht="60" hidden="1">
      <c r="A38" s="24">
        <v>9</v>
      </c>
      <c r="B38" s="85" t="s">
        <v>79</v>
      </c>
      <c r="C38" s="86" t="s">
        <v>100</v>
      </c>
      <c r="D38" s="85" t="s">
        <v>104</v>
      </c>
      <c r="E38" s="88">
        <v>83.7</v>
      </c>
      <c r="F38" s="96">
        <f>SUM(E38*30/1000)</f>
        <v>2.5110000000000001</v>
      </c>
      <c r="G38" s="88">
        <v>7611.16</v>
      </c>
      <c r="H38" s="89">
        <f t="shared" si="6"/>
        <v>19.111622760000003</v>
      </c>
      <c r="I38" s="12">
        <f t="shared" si="7"/>
        <v>3185.2704600000002</v>
      </c>
    </row>
    <row r="39" spans="1:9" hidden="1">
      <c r="A39" s="24">
        <v>10</v>
      </c>
      <c r="B39" s="85" t="s">
        <v>107</v>
      </c>
      <c r="C39" s="86" t="s">
        <v>100</v>
      </c>
      <c r="D39" s="85" t="s">
        <v>106</v>
      </c>
      <c r="E39" s="88">
        <v>83.7</v>
      </c>
      <c r="F39" s="96">
        <f>SUM(E39*24/1000)</f>
        <v>2.0088000000000004</v>
      </c>
      <c r="G39" s="88">
        <v>562.25</v>
      </c>
      <c r="H39" s="89">
        <f t="shared" si="6"/>
        <v>1.1294478000000001</v>
      </c>
      <c r="I39" s="12">
        <f>(F39/7.5*1.5)*G39</f>
        <v>225.88956000000002</v>
      </c>
    </row>
    <row r="40" spans="1:9" hidden="1">
      <c r="A40" s="24">
        <v>11</v>
      </c>
      <c r="B40" s="94" t="s">
        <v>65</v>
      </c>
      <c r="C40" s="95" t="s">
        <v>32</v>
      </c>
      <c r="D40" s="94"/>
      <c r="E40" s="92"/>
      <c r="F40" s="96">
        <v>0.9</v>
      </c>
      <c r="G40" s="96">
        <v>974.83</v>
      </c>
      <c r="H40" s="89">
        <f t="shared" si="6"/>
        <v>0.8773470000000001</v>
      </c>
      <c r="I40" s="12">
        <f>(F40/7.5*1.5)*G40</f>
        <v>175.46940000000004</v>
      </c>
    </row>
    <row r="41" spans="1:9">
      <c r="A41" s="211" t="s">
        <v>135</v>
      </c>
      <c r="B41" s="212"/>
      <c r="C41" s="212"/>
      <c r="D41" s="212"/>
      <c r="E41" s="212"/>
      <c r="F41" s="212"/>
      <c r="G41" s="212"/>
      <c r="H41" s="212"/>
      <c r="I41" s="213"/>
    </row>
    <row r="42" spans="1:9" ht="15.75" customHeight="1">
      <c r="A42" s="24">
        <v>10</v>
      </c>
      <c r="B42" s="85" t="s">
        <v>108</v>
      </c>
      <c r="C42" s="86" t="s">
        <v>100</v>
      </c>
      <c r="D42" s="85" t="s">
        <v>224</v>
      </c>
      <c r="E42" s="87">
        <v>1032.5</v>
      </c>
      <c r="F42" s="88">
        <f>SUM(E42*2/1000)</f>
        <v>2.0649999999999999</v>
      </c>
      <c r="G42" s="29">
        <v>1114.1300000000001</v>
      </c>
      <c r="H42" s="89">
        <f t="shared" ref="H42:H51" si="8">SUM(F42*G42/1000)</f>
        <v>2.3006784500000004</v>
      </c>
      <c r="I42" s="12">
        <f>F42/2*G42</f>
        <v>1150.3392250000002</v>
      </c>
    </row>
    <row r="43" spans="1:9" ht="18" customHeight="1">
      <c r="A43" s="24">
        <v>11</v>
      </c>
      <c r="B43" s="85" t="s">
        <v>33</v>
      </c>
      <c r="C43" s="86" t="s">
        <v>100</v>
      </c>
      <c r="D43" s="85" t="s">
        <v>224</v>
      </c>
      <c r="E43" s="87">
        <v>132</v>
      </c>
      <c r="F43" s="88">
        <f>E43*2/1000</f>
        <v>0.26400000000000001</v>
      </c>
      <c r="G43" s="29">
        <v>4419.05</v>
      </c>
      <c r="H43" s="89">
        <f t="shared" si="8"/>
        <v>1.1666292</v>
      </c>
      <c r="I43" s="12">
        <f t="shared" ref="I43:I49" si="9">F43/2*G43</f>
        <v>583.31460000000004</v>
      </c>
    </row>
    <row r="44" spans="1:9" ht="15" customHeight="1">
      <c r="A44" s="24">
        <v>12</v>
      </c>
      <c r="B44" s="85" t="s">
        <v>34</v>
      </c>
      <c r="C44" s="86" t="s">
        <v>100</v>
      </c>
      <c r="D44" s="85" t="s">
        <v>224</v>
      </c>
      <c r="E44" s="87">
        <v>4248.22</v>
      </c>
      <c r="F44" s="88">
        <f>SUM(E44*2/1000)</f>
        <v>8.4964399999999998</v>
      </c>
      <c r="G44" s="29">
        <v>1803.69</v>
      </c>
      <c r="H44" s="89">
        <f t="shared" si="8"/>
        <v>15.3249438636</v>
      </c>
      <c r="I44" s="12">
        <f t="shared" si="9"/>
        <v>7662.4719317999998</v>
      </c>
    </row>
    <row r="45" spans="1:9" ht="15.75" customHeight="1">
      <c r="A45" s="24">
        <v>13</v>
      </c>
      <c r="B45" s="85" t="s">
        <v>35</v>
      </c>
      <c r="C45" s="86" t="s">
        <v>100</v>
      </c>
      <c r="D45" s="85" t="s">
        <v>224</v>
      </c>
      <c r="E45" s="87">
        <v>2163.66</v>
      </c>
      <c r="F45" s="88">
        <f>SUM(E45*2/1000)</f>
        <v>4.3273199999999994</v>
      </c>
      <c r="G45" s="29">
        <v>1243.43</v>
      </c>
      <c r="H45" s="89">
        <f t="shared" si="8"/>
        <v>5.3807195075999994</v>
      </c>
      <c r="I45" s="12">
        <f t="shared" si="9"/>
        <v>2690.3597537999999</v>
      </c>
    </row>
    <row r="46" spans="1:9" ht="19.5" customHeight="1">
      <c r="A46" s="24">
        <v>14</v>
      </c>
      <c r="B46" s="85" t="s">
        <v>53</v>
      </c>
      <c r="C46" s="86" t="s">
        <v>100</v>
      </c>
      <c r="D46" s="85" t="s">
        <v>224</v>
      </c>
      <c r="E46" s="87">
        <v>3931</v>
      </c>
      <c r="F46" s="88">
        <f>SUM(E46*5/1000)</f>
        <v>19.655000000000001</v>
      </c>
      <c r="G46" s="29">
        <v>1083.69</v>
      </c>
      <c r="H46" s="89">
        <f t="shared" si="8"/>
        <v>21.29992695</v>
      </c>
      <c r="I46" s="12">
        <f>F46/5*G46</f>
        <v>4259.9853899999998</v>
      </c>
    </row>
    <row r="47" spans="1:9" ht="45">
      <c r="A47" s="24">
        <v>15</v>
      </c>
      <c r="B47" s="85" t="s">
        <v>109</v>
      </c>
      <c r="C47" s="86" t="s">
        <v>100</v>
      </c>
      <c r="D47" s="85" t="s">
        <v>224</v>
      </c>
      <c r="E47" s="87">
        <v>3931</v>
      </c>
      <c r="F47" s="88">
        <f>SUM(E47*2/1000)</f>
        <v>7.8620000000000001</v>
      </c>
      <c r="G47" s="29">
        <v>1591.6</v>
      </c>
      <c r="H47" s="89">
        <f t="shared" si="8"/>
        <v>12.5131592</v>
      </c>
      <c r="I47" s="12">
        <f t="shared" si="9"/>
        <v>6256.5796</v>
      </c>
    </row>
    <row r="48" spans="1:9" ht="30">
      <c r="A48" s="24">
        <v>16</v>
      </c>
      <c r="B48" s="85" t="s">
        <v>110</v>
      </c>
      <c r="C48" s="86" t="s">
        <v>36</v>
      </c>
      <c r="D48" s="85" t="s">
        <v>224</v>
      </c>
      <c r="E48" s="87">
        <v>30</v>
      </c>
      <c r="F48" s="88">
        <f>SUM(E48*2/100)</f>
        <v>0.6</v>
      </c>
      <c r="G48" s="29">
        <v>4058.32</v>
      </c>
      <c r="H48" s="89">
        <f t="shared" si="8"/>
        <v>2.4349920000000003</v>
      </c>
      <c r="I48" s="12">
        <f t="shared" si="9"/>
        <v>1217.4960000000001</v>
      </c>
    </row>
    <row r="49" spans="1:9">
      <c r="A49" s="24">
        <v>17</v>
      </c>
      <c r="B49" s="85" t="s">
        <v>37</v>
      </c>
      <c r="C49" s="86" t="s">
        <v>38</v>
      </c>
      <c r="D49" s="85" t="s">
        <v>224</v>
      </c>
      <c r="E49" s="87">
        <v>1</v>
      </c>
      <c r="F49" s="88">
        <v>0.02</v>
      </c>
      <c r="G49" s="29">
        <v>7412.92</v>
      </c>
      <c r="H49" s="89">
        <f t="shared" si="8"/>
        <v>0.14825839999999998</v>
      </c>
      <c r="I49" s="12">
        <f t="shared" si="9"/>
        <v>74.129199999999997</v>
      </c>
    </row>
    <row r="50" spans="1:9" ht="14.25" hidden="1" customHeight="1">
      <c r="A50" s="24">
        <v>17</v>
      </c>
      <c r="B50" s="85" t="s">
        <v>111</v>
      </c>
      <c r="C50" s="86" t="s">
        <v>86</v>
      </c>
      <c r="D50" s="85" t="s">
        <v>66</v>
      </c>
      <c r="E50" s="87">
        <v>90</v>
      </c>
      <c r="F50" s="88">
        <f>E50*3</f>
        <v>270</v>
      </c>
      <c r="G50" s="29">
        <v>185.08</v>
      </c>
      <c r="H50" s="89">
        <f t="shared" si="8"/>
        <v>49.971600000000009</v>
      </c>
      <c r="I50" s="12">
        <f>F50/3*G50</f>
        <v>16657.2</v>
      </c>
    </row>
    <row r="51" spans="1:9" ht="16.5" hidden="1" customHeight="1">
      <c r="A51" s="24">
        <v>18</v>
      </c>
      <c r="B51" s="85" t="s">
        <v>39</v>
      </c>
      <c r="C51" s="86" t="s">
        <v>86</v>
      </c>
      <c r="D51" s="85" t="s">
        <v>66</v>
      </c>
      <c r="E51" s="87">
        <v>180</v>
      </c>
      <c r="F51" s="88">
        <f>SUM(E51)*3</f>
        <v>540</v>
      </c>
      <c r="G51" s="97">
        <v>86.15</v>
      </c>
      <c r="H51" s="89">
        <f t="shared" si="8"/>
        <v>46.521000000000001</v>
      </c>
      <c r="I51" s="12">
        <f>F51/3*G51</f>
        <v>15507.000000000002</v>
      </c>
    </row>
    <row r="52" spans="1:9">
      <c r="A52" s="211" t="s">
        <v>136</v>
      </c>
      <c r="B52" s="212"/>
      <c r="C52" s="212"/>
      <c r="D52" s="212"/>
      <c r="E52" s="212"/>
      <c r="F52" s="212"/>
      <c r="G52" s="212"/>
      <c r="H52" s="212"/>
      <c r="I52" s="213"/>
    </row>
    <row r="53" spans="1:9" hidden="1">
      <c r="A53" s="24"/>
      <c r="B53" s="119" t="s">
        <v>41</v>
      </c>
      <c r="C53" s="86"/>
      <c r="D53" s="85"/>
      <c r="E53" s="87"/>
      <c r="F53" s="88"/>
      <c r="G53" s="88"/>
      <c r="H53" s="89"/>
      <c r="I53" s="12"/>
    </row>
    <row r="54" spans="1:9" ht="45" hidden="1">
      <c r="A54" s="24">
        <v>15</v>
      </c>
      <c r="B54" s="85" t="s">
        <v>125</v>
      </c>
      <c r="C54" s="86" t="s">
        <v>90</v>
      </c>
      <c r="D54" s="151" t="s">
        <v>164</v>
      </c>
      <c r="E54" s="87">
        <v>30.6</v>
      </c>
      <c r="F54" s="88">
        <f>SUM(E54*6/100)</f>
        <v>1.8360000000000003</v>
      </c>
      <c r="G54" s="29">
        <v>2029.3</v>
      </c>
      <c r="H54" s="89">
        <f>SUM(F54*G54/1000)</f>
        <v>3.7257948000000005</v>
      </c>
      <c r="I54" s="12">
        <f>G54*0.48</f>
        <v>974.06399999999996</v>
      </c>
    </row>
    <row r="55" spans="1:9" ht="30" hidden="1">
      <c r="A55" s="24">
        <v>16</v>
      </c>
      <c r="B55" s="85" t="s">
        <v>84</v>
      </c>
      <c r="C55" s="86" t="s">
        <v>90</v>
      </c>
      <c r="D55" s="85" t="s">
        <v>85</v>
      </c>
      <c r="E55" s="87">
        <v>39.69</v>
      </c>
      <c r="F55" s="88">
        <f>SUM(E55*12/100)</f>
        <v>4.7627999999999995</v>
      </c>
      <c r="G55" s="29">
        <v>2029.3</v>
      </c>
      <c r="H55" s="89">
        <f>SUM(F55*G55/1000)</f>
        <v>9.6651500399999986</v>
      </c>
      <c r="I55" s="12">
        <f t="shared" ref="I55:I57" si="10">F55/6*G55</f>
        <v>1610.8583399999998</v>
      </c>
    </row>
    <row r="56" spans="1:9" hidden="1">
      <c r="A56" s="24">
        <v>20</v>
      </c>
      <c r="B56" s="98" t="s">
        <v>113</v>
      </c>
      <c r="C56" s="99" t="s">
        <v>114</v>
      </c>
      <c r="D56" s="98" t="s">
        <v>40</v>
      </c>
      <c r="E56" s="100">
        <v>8</v>
      </c>
      <c r="F56" s="101">
        <v>16</v>
      </c>
      <c r="G56" s="29">
        <v>237.1</v>
      </c>
      <c r="H56" s="89">
        <f>SUM(F56*G56/1000)</f>
        <v>3.7936000000000001</v>
      </c>
      <c r="I56" s="12">
        <v>0</v>
      </c>
    </row>
    <row r="57" spans="1:9" hidden="1">
      <c r="A57" s="24">
        <v>17</v>
      </c>
      <c r="B57" s="85" t="s">
        <v>115</v>
      </c>
      <c r="C57" s="86" t="s">
        <v>90</v>
      </c>
      <c r="D57" s="85" t="s">
        <v>112</v>
      </c>
      <c r="E57" s="87">
        <v>41.73</v>
      </c>
      <c r="F57" s="88">
        <f>SUM(E57*6/100)</f>
        <v>2.5038</v>
      </c>
      <c r="G57" s="29">
        <v>2029.3</v>
      </c>
      <c r="H57" s="89">
        <f>SUM(F57*G57/1000)</f>
        <v>5.08096134</v>
      </c>
      <c r="I57" s="12">
        <f t="shared" si="10"/>
        <v>846.82688999999993</v>
      </c>
    </row>
    <row r="58" spans="1:9" ht="19.5" hidden="1" customHeight="1">
      <c r="A58" s="24">
        <v>19</v>
      </c>
      <c r="B58" s="98" t="s">
        <v>133</v>
      </c>
      <c r="C58" s="99" t="s">
        <v>31</v>
      </c>
      <c r="D58" s="161" t="s">
        <v>179</v>
      </c>
      <c r="E58" s="100"/>
      <c r="F58" s="101">
        <v>4</v>
      </c>
      <c r="G58" s="29">
        <v>1582.05</v>
      </c>
      <c r="H58" s="89">
        <f>SUM(F58*G58/1000)</f>
        <v>6.3281999999999998</v>
      </c>
      <c r="I58" s="12">
        <f>G58*1</f>
        <v>1582.05</v>
      </c>
    </row>
    <row r="59" spans="1:9" ht="16.5" customHeight="1">
      <c r="A59" s="24"/>
      <c r="B59" s="120" t="s">
        <v>42</v>
      </c>
      <c r="C59" s="99"/>
      <c r="D59" s="98"/>
      <c r="E59" s="100"/>
      <c r="F59" s="101"/>
      <c r="G59" s="29"/>
      <c r="H59" s="102"/>
      <c r="I59" s="12"/>
    </row>
    <row r="60" spans="1:9" hidden="1">
      <c r="A60" s="24">
        <v>14</v>
      </c>
      <c r="B60" s="98" t="s">
        <v>130</v>
      </c>
      <c r="C60" s="99" t="s">
        <v>50</v>
      </c>
      <c r="D60" s="98" t="s">
        <v>51</v>
      </c>
      <c r="E60" s="100">
        <v>508.73</v>
      </c>
      <c r="F60" s="88">
        <f>SUM(E60/100)</f>
        <v>5.0872999999999999</v>
      </c>
      <c r="G60" s="29">
        <v>1040.8399999999999</v>
      </c>
      <c r="H60" s="102">
        <f>F60*G60/1000</f>
        <v>5.2950653319999992</v>
      </c>
      <c r="I60" s="12">
        <v>0</v>
      </c>
    </row>
    <row r="61" spans="1:9" ht="18.75" customHeight="1">
      <c r="A61" s="24">
        <v>18</v>
      </c>
      <c r="B61" s="47" t="s">
        <v>87</v>
      </c>
      <c r="C61" s="48" t="s">
        <v>25</v>
      </c>
      <c r="D61" s="47" t="s">
        <v>224</v>
      </c>
      <c r="E61" s="49">
        <v>200</v>
      </c>
      <c r="F61" s="130">
        <f>E61*12</f>
        <v>2400</v>
      </c>
      <c r="G61" s="40">
        <v>1.4</v>
      </c>
      <c r="H61" s="50">
        <f>F61*G61/1000</f>
        <v>3.36</v>
      </c>
      <c r="I61" s="12">
        <f>F61/12*G61</f>
        <v>280</v>
      </c>
    </row>
    <row r="62" spans="1:9" ht="15" customHeight="1">
      <c r="A62" s="24"/>
      <c r="B62" s="121" t="s">
        <v>43</v>
      </c>
      <c r="C62" s="99"/>
      <c r="D62" s="98"/>
      <c r="E62" s="100"/>
      <c r="F62" s="103"/>
      <c r="G62" s="103"/>
      <c r="H62" s="101" t="s">
        <v>129</v>
      </c>
      <c r="I62" s="12"/>
    </row>
    <row r="63" spans="1:9" ht="18.75" customHeight="1">
      <c r="A63" s="24">
        <v>19</v>
      </c>
      <c r="B63" s="105" t="s">
        <v>44</v>
      </c>
      <c r="C63" s="106" t="s">
        <v>86</v>
      </c>
      <c r="D63" s="30" t="s">
        <v>224</v>
      </c>
      <c r="E63" s="15">
        <v>10</v>
      </c>
      <c r="F63" s="88">
        <f>E63</f>
        <v>10</v>
      </c>
      <c r="G63" s="29">
        <v>291.68</v>
      </c>
      <c r="H63" s="75">
        <f t="shared" ref="H63:H79" si="11">SUM(F63*G63/1000)</f>
        <v>2.9168000000000003</v>
      </c>
      <c r="I63" s="12">
        <f>G63*1</f>
        <v>291.68</v>
      </c>
    </row>
    <row r="64" spans="1:9" ht="17.25" hidden="1" customHeight="1">
      <c r="A64" s="61"/>
      <c r="B64" s="105" t="s">
        <v>45</v>
      </c>
      <c r="C64" s="106" t="s">
        <v>86</v>
      </c>
      <c r="D64" s="30" t="s">
        <v>154</v>
      </c>
      <c r="E64" s="15">
        <v>10</v>
      </c>
      <c r="F64" s="88">
        <f>E64</f>
        <v>10</v>
      </c>
      <c r="G64" s="29">
        <v>100.01</v>
      </c>
      <c r="H64" s="75">
        <f t="shared" si="11"/>
        <v>1.0001</v>
      </c>
      <c r="I64" s="12">
        <v>0</v>
      </c>
    </row>
    <row r="65" spans="1:9" ht="14.25" hidden="1" customHeight="1">
      <c r="A65" s="24">
        <v>26</v>
      </c>
      <c r="B65" s="105" t="s">
        <v>46</v>
      </c>
      <c r="C65" s="107" t="s">
        <v>116</v>
      </c>
      <c r="D65" s="30" t="s">
        <v>51</v>
      </c>
      <c r="E65" s="87">
        <v>14347</v>
      </c>
      <c r="F65" s="97">
        <f>SUM(E65/100)</f>
        <v>143.47</v>
      </c>
      <c r="G65" s="29">
        <v>278.24</v>
      </c>
      <c r="H65" s="75">
        <f t="shared" si="11"/>
        <v>39.919092800000001</v>
      </c>
      <c r="I65" s="12">
        <f t="shared" ref="I65:I70" si="12">F65*G65</f>
        <v>39919.092799999999</v>
      </c>
    </row>
    <row r="66" spans="1:9" ht="19.5" hidden="1" customHeight="1">
      <c r="A66" s="62">
        <v>27</v>
      </c>
      <c r="B66" s="105" t="s">
        <v>47</v>
      </c>
      <c r="C66" s="106" t="s">
        <v>117</v>
      </c>
      <c r="D66" s="30"/>
      <c r="E66" s="87">
        <v>14347</v>
      </c>
      <c r="F66" s="29">
        <f>SUM(E66/1000)</f>
        <v>14.347</v>
      </c>
      <c r="G66" s="29">
        <v>216.68</v>
      </c>
      <c r="H66" s="75">
        <f t="shared" si="11"/>
        <v>3.1087079600000003</v>
      </c>
      <c r="I66" s="12">
        <f t="shared" si="12"/>
        <v>3108.7079600000002</v>
      </c>
    </row>
    <row r="67" spans="1:9" ht="19.5" hidden="1" customHeight="1">
      <c r="A67" s="24">
        <v>28</v>
      </c>
      <c r="B67" s="105" t="s">
        <v>48</v>
      </c>
      <c r="C67" s="106" t="s">
        <v>72</v>
      </c>
      <c r="D67" s="30" t="s">
        <v>51</v>
      </c>
      <c r="E67" s="87">
        <v>2244</v>
      </c>
      <c r="F67" s="29">
        <f>SUM(E67/100)</f>
        <v>22.44</v>
      </c>
      <c r="G67" s="29">
        <v>2720.94</v>
      </c>
      <c r="H67" s="75">
        <f t="shared" si="11"/>
        <v>61.0578936</v>
      </c>
      <c r="I67" s="12">
        <f t="shared" si="12"/>
        <v>61057.893600000003</v>
      </c>
    </row>
    <row r="68" spans="1:9" ht="17.25" hidden="1" customHeight="1">
      <c r="A68" s="24">
        <v>29</v>
      </c>
      <c r="B68" s="108" t="s">
        <v>118</v>
      </c>
      <c r="C68" s="106" t="s">
        <v>32</v>
      </c>
      <c r="D68" s="30"/>
      <c r="E68" s="87">
        <v>12.8</v>
      </c>
      <c r="F68" s="29">
        <f>SUM(E68)</f>
        <v>12.8</v>
      </c>
      <c r="G68" s="29">
        <v>42.61</v>
      </c>
      <c r="H68" s="75">
        <f t="shared" si="11"/>
        <v>0.545408</v>
      </c>
      <c r="I68" s="12">
        <f t="shared" si="12"/>
        <v>545.40800000000002</v>
      </c>
    </row>
    <row r="69" spans="1:9" ht="16.5" hidden="1" customHeight="1">
      <c r="A69" s="24">
        <v>30</v>
      </c>
      <c r="B69" s="108" t="s">
        <v>119</v>
      </c>
      <c r="C69" s="106" t="s">
        <v>32</v>
      </c>
      <c r="D69" s="30"/>
      <c r="E69" s="87">
        <v>12.8</v>
      </c>
      <c r="F69" s="29">
        <f>SUM(E69)</f>
        <v>12.8</v>
      </c>
      <c r="G69" s="29">
        <v>46.04</v>
      </c>
      <c r="H69" s="75">
        <f t="shared" si="11"/>
        <v>0.58931200000000006</v>
      </c>
      <c r="I69" s="12">
        <f t="shared" si="12"/>
        <v>589.31200000000001</v>
      </c>
    </row>
    <row r="70" spans="1:9" ht="18" customHeight="1">
      <c r="A70" s="24">
        <v>20</v>
      </c>
      <c r="B70" s="30" t="s">
        <v>54</v>
      </c>
      <c r="C70" s="106" t="s">
        <v>55</v>
      </c>
      <c r="D70" s="30" t="s">
        <v>225</v>
      </c>
      <c r="E70" s="15">
        <v>6</v>
      </c>
      <c r="F70" s="29">
        <f>SUM(E70)</f>
        <v>6</v>
      </c>
      <c r="G70" s="29">
        <v>65.42</v>
      </c>
      <c r="H70" s="75">
        <f t="shared" si="11"/>
        <v>0.39251999999999998</v>
      </c>
      <c r="I70" s="12">
        <f t="shared" si="12"/>
        <v>392.52</v>
      </c>
    </row>
    <row r="71" spans="1:9" ht="16.5" customHeight="1">
      <c r="A71" s="24"/>
      <c r="B71" s="122" t="s">
        <v>147</v>
      </c>
      <c r="C71" s="106"/>
      <c r="D71" s="30"/>
      <c r="E71" s="15"/>
      <c r="F71" s="104"/>
      <c r="G71" s="29"/>
      <c r="H71" s="75"/>
      <c r="I71" s="12"/>
    </row>
    <row r="72" spans="1:9" ht="36" customHeight="1">
      <c r="A72" s="24">
        <v>21</v>
      </c>
      <c r="B72" s="30" t="s">
        <v>148</v>
      </c>
      <c r="C72" s="109" t="s">
        <v>149</v>
      </c>
      <c r="D72" s="30"/>
      <c r="E72" s="15">
        <v>3181</v>
      </c>
      <c r="F72" s="88">
        <f>SUM(E72)*12</f>
        <v>38172</v>
      </c>
      <c r="G72" s="29">
        <v>2.2799999999999998</v>
      </c>
      <c r="H72" s="75">
        <f t="shared" ref="H72" si="13">SUM(F72*G72/1000)</f>
        <v>87.03215999999999</v>
      </c>
      <c r="I72" s="12">
        <f>F72/12*G72</f>
        <v>7252.6799999999994</v>
      </c>
    </row>
    <row r="73" spans="1:9" ht="17.25" hidden="1" customHeight="1">
      <c r="A73" s="24"/>
      <c r="B73" s="122" t="s">
        <v>67</v>
      </c>
      <c r="C73" s="106"/>
      <c r="D73" s="30"/>
      <c r="E73" s="15"/>
      <c r="F73" s="29"/>
      <c r="G73" s="29"/>
      <c r="H73" s="75" t="s">
        <v>129</v>
      </c>
      <c r="I73" s="12"/>
    </row>
    <row r="74" spans="1:9" hidden="1">
      <c r="A74" s="24">
        <v>20</v>
      </c>
      <c r="B74" s="30" t="s">
        <v>150</v>
      </c>
      <c r="C74" s="106" t="s">
        <v>30</v>
      </c>
      <c r="D74" s="30" t="s">
        <v>63</v>
      </c>
      <c r="E74" s="15">
        <v>1</v>
      </c>
      <c r="F74" s="88">
        <f t="shared" ref="F74" si="14">E74</f>
        <v>1</v>
      </c>
      <c r="G74" s="29">
        <v>1029.1199999999999</v>
      </c>
      <c r="H74" s="75">
        <f>G74*F74/1000</f>
        <v>1.0291199999999998</v>
      </c>
      <c r="I74" s="12">
        <f>G74*2</f>
        <v>2058.2399999999998</v>
      </c>
    </row>
    <row r="75" spans="1:9" hidden="1">
      <c r="A75" s="24">
        <v>21</v>
      </c>
      <c r="B75" s="30" t="s">
        <v>151</v>
      </c>
      <c r="C75" s="106" t="s">
        <v>152</v>
      </c>
      <c r="D75" s="30" t="s">
        <v>63</v>
      </c>
      <c r="E75" s="15">
        <v>1</v>
      </c>
      <c r="F75" s="29">
        <v>1</v>
      </c>
      <c r="G75" s="29">
        <v>735</v>
      </c>
      <c r="H75" s="75">
        <f t="shared" ref="H75:H77" si="15">SUM(F75*G75/1000)</f>
        <v>0.73499999999999999</v>
      </c>
      <c r="I75" s="12">
        <f>G75*2</f>
        <v>1470</v>
      </c>
    </row>
    <row r="76" spans="1:9" hidden="1">
      <c r="A76" s="24">
        <v>12</v>
      </c>
      <c r="B76" s="30" t="s">
        <v>68</v>
      </c>
      <c r="C76" s="106" t="s">
        <v>70</v>
      </c>
      <c r="D76" s="30" t="s">
        <v>63</v>
      </c>
      <c r="E76" s="15">
        <v>8</v>
      </c>
      <c r="F76" s="29">
        <f>E76/10</f>
        <v>0.8</v>
      </c>
      <c r="G76" s="29">
        <v>657.87</v>
      </c>
      <c r="H76" s="75">
        <f t="shared" si="15"/>
        <v>0.5262960000000001</v>
      </c>
      <c r="I76" s="12">
        <f>G76*0.3</f>
        <v>197.36099999999999</v>
      </c>
    </row>
    <row r="77" spans="1:9" hidden="1">
      <c r="A77" s="24">
        <v>22</v>
      </c>
      <c r="B77" s="30" t="s">
        <v>69</v>
      </c>
      <c r="C77" s="106" t="s">
        <v>30</v>
      </c>
      <c r="D77" s="30" t="s">
        <v>63</v>
      </c>
      <c r="E77" s="15">
        <v>1</v>
      </c>
      <c r="F77" s="104">
        <v>1</v>
      </c>
      <c r="G77" s="29">
        <v>1118.72</v>
      </c>
      <c r="H77" s="75">
        <f t="shared" si="15"/>
        <v>1.1187199999999999</v>
      </c>
      <c r="I77" s="12">
        <f>G77*10</f>
        <v>11187.2</v>
      </c>
    </row>
    <row r="78" spans="1:9">
      <c r="A78" s="24"/>
      <c r="B78" s="123" t="s">
        <v>71</v>
      </c>
      <c r="C78" s="106"/>
      <c r="D78" s="30"/>
      <c r="E78" s="15"/>
      <c r="F78" s="29"/>
      <c r="G78" s="29" t="s">
        <v>129</v>
      </c>
      <c r="H78" s="75" t="s">
        <v>129</v>
      </c>
      <c r="I78" s="12" t="str">
        <f>G78</f>
        <v xml:space="preserve"> </v>
      </c>
    </row>
    <row r="79" spans="1:9">
      <c r="A79" s="24">
        <v>22</v>
      </c>
      <c r="B79" s="110" t="s">
        <v>122</v>
      </c>
      <c r="C79" s="107" t="s">
        <v>72</v>
      </c>
      <c r="D79" s="105"/>
      <c r="E79" s="111"/>
      <c r="F79" s="97">
        <v>0.6</v>
      </c>
      <c r="G79" s="97">
        <v>3619.09</v>
      </c>
      <c r="H79" s="75">
        <f t="shared" si="11"/>
        <v>2.1714540000000002</v>
      </c>
      <c r="I79" s="12">
        <f>G79*0.03</f>
        <v>108.5727</v>
      </c>
    </row>
    <row r="80" spans="1:9" ht="28.5" hidden="1">
      <c r="A80" s="24"/>
      <c r="B80" s="180" t="s">
        <v>120</v>
      </c>
      <c r="C80" s="12"/>
      <c r="D80" s="12"/>
      <c r="E80" s="12"/>
      <c r="F80" s="12"/>
      <c r="G80" s="12"/>
      <c r="H80" s="12"/>
      <c r="I80" s="12"/>
    </row>
    <row r="81" spans="1:9" hidden="1">
      <c r="A81" s="61"/>
      <c r="B81" s="98" t="s">
        <v>121</v>
      </c>
      <c r="C81" s="137"/>
      <c r="D81" s="138"/>
      <c r="E81" s="114"/>
      <c r="F81" s="139">
        <v>1</v>
      </c>
      <c r="G81" s="139">
        <v>30235</v>
      </c>
      <c r="H81" s="140">
        <f>G81*F81/1000</f>
        <v>30.234999999999999</v>
      </c>
      <c r="I81" s="59">
        <f>G81</f>
        <v>30235</v>
      </c>
    </row>
    <row r="82" spans="1:9">
      <c r="A82" s="201" t="s">
        <v>137</v>
      </c>
      <c r="B82" s="202"/>
      <c r="C82" s="202"/>
      <c r="D82" s="202"/>
      <c r="E82" s="202"/>
      <c r="F82" s="202"/>
      <c r="G82" s="202"/>
      <c r="H82" s="202"/>
      <c r="I82" s="203"/>
    </row>
    <row r="83" spans="1:9" ht="16.5" customHeight="1">
      <c r="A83" s="61">
        <v>23</v>
      </c>
      <c r="B83" s="85" t="s">
        <v>123</v>
      </c>
      <c r="C83" s="106" t="s">
        <v>52</v>
      </c>
      <c r="D83" s="116"/>
      <c r="E83" s="29">
        <v>3931</v>
      </c>
      <c r="F83" s="29">
        <f>SUM(E83*12)</f>
        <v>47172</v>
      </c>
      <c r="G83" s="29">
        <v>3.1</v>
      </c>
      <c r="H83" s="75">
        <f>SUM(F83*G83/1000)</f>
        <v>146.23320000000001</v>
      </c>
      <c r="I83" s="12">
        <f>F83/12*G83</f>
        <v>12186.1</v>
      </c>
    </row>
    <row r="84" spans="1:9" ht="35.25" customHeight="1">
      <c r="A84" s="24">
        <v>24</v>
      </c>
      <c r="B84" s="30" t="s">
        <v>73</v>
      </c>
      <c r="C84" s="106"/>
      <c r="D84" s="116"/>
      <c r="E84" s="87">
        <f>E83</f>
        <v>3931</v>
      </c>
      <c r="F84" s="29">
        <f>E84*12</f>
        <v>47172</v>
      </c>
      <c r="G84" s="29">
        <v>3.5</v>
      </c>
      <c r="H84" s="75">
        <f>F84*G84/1000</f>
        <v>165.102</v>
      </c>
      <c r="I84" s="12">
        <f>F84/12*G84</f>
        <v>13758.5</v>
      </c>
    </row>
    <row r="85" spans="1:9">
      <c r="A85" s="24"/>
      <c r="B85" s="31" t="s">
        <v>76</v>
      </c>
      <c r="C85" s="57"/>
      <c r="D85" s="56"/>
      <c r="E85" s="46"/>
      <c r="F85" s="46"/>
      <c r="G85" s="46"/>
      <c r="H85" s="58">
        <f>H84</f>
        <v>165.102</v>
      </c>
      <c r="I85" s="46">
        <f>I84+I83+I79+I72+I70+I63+I61+I49+I48+I47+I46+I45+I44+I43+I42+I31+I29+I28+I25+I21+I20+I18+I17+I16</f>
        <v>77843.441772599996</v>
      </c>
    </row>
    <row r="86" spans="1:9">
      <c r="A86" s="190" t="s">
        <v>57</v>
      </c>
      <c r="B86" s="191"/>
      <c r="C86" s="191"/>
      <c r="D86" s="191"/>
      <c r="E86" s="191"/>
      <c r="F86" s="191"/>
      <c r="G86" s="191"/>
      <c r="H86" s="191"/>
      <c r="I86" s="192"/>
    </row>
    <row r="87" spans="1:9" ht="30">
      <c r="A87" s="24">
        <v>25</v>
      </c>
      <c r="B87" s="77" t="s">
        <v>185</v>
      </c>
      <c r="C87" s="78" t="s">
        <v>36</v>
      </c>
      <c r="D87" s="24"/>
      <c r="E87" s="16"/>
      <c r="F87" s="12"/>
      <c r="G87" s="29">
        <v>3914.31</v>
      </c>
      <c r="H87" s="54">
        <f>G87*F87/1000</f>
        <v>0</v>
      </c>
      <c r="I87" s="59">
        <f>G87*0.01</f>
        <v>39.143099999999997</v>
      </c>
    </row>
    <row r="88" spans="1:9" ht="18" customHeight="1">
      <c r="A88" s="24">
        <v>26</v>
      </c>
      <c r="B88" s="77" t="s">
        <v>33</v>
      </c>
      <c r="C88" s="78" t="s">
        <v>29</v>
      </c>
      <c r="D88" s="24"/>
      <c r="E88" s="16"/>
      <c r="F88" s="12"/>
      <c r="G88" s="29">
        <v>830.69</v>
      </c>
      <c r="H88" s="54"/>
      <c r="I88" s="59">
        <f>G88*0.012</f>
        <v>9.96828</v>
      </c>
    </row>
    <row r="89" spans="1:9">
      <c r="A89" s="24">
        <v>27</v>
      </c>
      <c r="B89" s="77" t="s">
        <v>261</v>
      </c>
      <c r="C89" s="78" t="s">
        <v>186</v>
      </c>
      <c r="D89" s="24"/>
      <c r="E89" s="16"/>
      <c r="F89" s="12"/>
      <c r="G89" s="29">
        <v>96.34</v>
      </c>
      <c r="H89" s="54"/>
      <c r="I89" s="59">
        <f>G89*3</f>
        <v>289.02</v>
      </c>
    </row>
    <row r="90" spans="1:9" ht="15.75" customHeight="1">
      <c r="A90" s="180"/>
      <c r="B90" s="60" t="s">
        <v>49</v>
      </c>
      <c r="C90" s="32"/>
      <c r="D90" s="38"/>
      <c r="E90" s="32">
        <v>1</v>
      </c>
      <c r="F90" s="32"/>
      <c r="G90" s="32"/>
      <c r="H90" s="32"/>
      <c r="I90" s="27">
        <f>SUM(I87:I89)</f>
        <v>338.13137999999998</v>
      </c>
    </row>
    <row r="91" spans="1:9">
      <c r="A91" s="24"/>
      <c r="B91" s="37" t="s">
        <v>74</v>
      </c>
      <c r="C91" s="14"/>
      <c r="D91" s="14"/>
      <c r="E91" s="33"/>
      <c r="F91" s="33"/>
      <c r="G91" s="34"/>
      <c r="H91" s="34"/>
      <c r="I91" s="15">
        <v>0</v>
      </c>
    </row>
    <row r="92" spans="1:9">
      <c r="A92" s="39"/>
      <c r="B92" s="36" t="s">
        <v>143</v>
      </c>
      <c r="C92" s="28"/>
      <c r="D92" s="28"/>
      <c r="E92" s="28"/>
      <c r="F92" s="28"/>
      <c r="G92" s="28"/>
      <c r="H92" s="28"/>
      <c r="I92" s="35">
        <f>I85+I90</f>
        <v>78181.573152600002</v>
      </c>
    </row>
    <row r="93" spans="1:9" ht="15.75">
      <c r="A93" s="193" t="s">
        <v>262</v>
      </c>
      <c r="B93" s="193"/>
      <c r="C93" s="193"/>
      <c r="D93" s="193"/>
      <c r="E93" s="193"/>
      <c r="F93" s="193"/>
      <c r="G93" s="193"/>
      <c r="H93" s="193"/>
      <c r="I93" s="193"/>
    </row>
    <row r="94" spans="1:9" ht="15.75">
      <c r="A94" s="68"/>
      <c r="B94" s="194" t="s">
        <v>263</v>
      </c>
      <c r="C94" s="194"/>
      <c r="D94" s="194"/>
      <c r="E94" s="194"/>
      <c r="F94" s="194"/>
      <c r="G94" s="194"/>
      <c r="H94" s="43"/>
      <c r="I94" s="3"/>
    </row>
    <row r="95" spans="1:9">
      <c r="A95" s="175"/>
      <c r="B95" s="195" t="s">
        <v>6</v>
      </c>
      <c r="C95" s="195"/>
      <c r="D95" s="195"/>
      <c r="E95" s="195"/>
      <c r="F95" s="195"/>
      <c r="G95" s="195"/>
      <c r="H95" s="19"/>
      <c r="I95" s="5"/>
    </row>
    <row r="96" spans="1:9">
      <c r="A96" s="9"/>
      <c r="B96" s="9"/>
      <c r="C96" s="9"/>
      <c r="D96" s="9"/>
      <c r="E96" s="9"/>
      <c r="F96" s="9"/>
      <c r="G96" s="9"/>
      <c r="H96" s="9"/>
      <c r="I96" s="9"/>
    </row>
    <row r="97" spans="1:9" ht="15.75">
      <c r="A97" s="196" t="s">
        <v>7</v>
      </c>
      <c r="B97" s="196"/>
      <c r="C97" s="196"/>
      <c r="D97" s="196"/>
      <c r="E97" s="196"/>
      <c r="F97" s="196"/>
      <c r="G97" s="196"/>
      <c r="H97" s="196"/>
      <c r="I97" s="196"/>
    </row>
    <row r="98" spans="1:9" ht="15.75">
      <c r="A98" s="196" t="s">
        <v>8</v>
      </c>
      <c r="B98" s="196"/>
      <c r="C98" s="196"/>
      <c r="D98" s="196"/>
      <c r="E98" s="196"/>
      <c r="F98" s="196"/>
      <c r="G98" s="196"/>
      <c r="H98" s="196"/>
      <c r="I98" s="196"/>
    </row>
    <row r="99" spans="1:9" ht="15.75">
      <c r="A99" s="197" t="s">
        <v>58</v>
      </c>
      <c r="B99" s="197"/>
      <c r="C99" s="197"/>
      <c r="D99" s="197"/>
      <c r="E99" s="197"/>
      <c r="F99" s="197"/>
      <c r="G99" s="197"/>
      <c r="H99" s="197"/>
      <c r="I99" s="197"/>
    </row>
    <row r="100" spans="1:9" ht="15.75">
      <c r="A100" s="10"/>
    </row>
    <row r="101" spans="1:9" ht="15.75">
      <c r="A101" s="198" t="s">
        <v>9</v>
      </c>
      <c r="B101" s="198"/>
      <c r="C101" s="198"/>
      <c r="D101" s="198"/>
      <c r="E101" s="198"/>
      <c r="F101" s="198"/>
      <c r="G101" s="198"/>
      <c r="H101" s="198"/>
      <c r="I101" s="198"/>
    </row>
    <row r="102" spans="1:9" ht="15.75">
      <c r="A102" s="4"/>
    </row>
    <row r="103" spans="1:9" ht="15.75">
      <c r="B103" s="177" t="s">
        <v>10</v>
      </c>
      <c r="C103" s="199" t="s">
        <v>83</v>
      </c>
      <c r="D103" s="199"/>
      <c r="E103" s="199"/>
      <c r="F103" s="41"/>
      <c r="I103" s="178"/>
    </row>
    <row r="104" spans="1:9">
      <c r="A104" s="175"/>
      <c r="C104" s="195" t="s">
        <v>11</v>
      </c>
      <c r="D104" s="195"/>
      <c r="E104" s="195"/>
      <c r="F104" s="19"/>
      <c r="I104" s="176" t="s">
        <v>12</v>
      </c>
    </row>
    <row r="105" spans="1:9" ht="15.75">
      <c r="A105" s="20"/>
      <c r="C105" s="11"/>
      <c r="D105" s="11"/>
      <c r="G105" s="11"/>
      <c r="H105" s="11"/>
    </row>
    <row r="106" spans="1:9" ht="15.75">
      <c r="B106" s="177" t="s">
        <v>13</v>
      </c>
      <c r="C106" s="200"/>
      <c r="D106" s="200"/>
      <c r="E106" s="200"/>
      <c r="F106" s="42"/>
      <c r="I106" s="178"/>
    </row>
    <row r="107" spans="1:9">
      <c r="A107" s="175"/>
      <c r="C107" s="189" t="s">
        <v>11</v>
      </c>
      <c r="D107" s="189"/>
      <c r="E107" s="189"/>
      <c r="F107" s="175"/>
      <c r="I107" s="176" t="s">
        <v>12</v>
      </c>
    </row>
    <row r="108" spans="1:9" ht="15.75">
      <c r="A108" s="4" t="s">
        <v>14</v>
      </c>
    </row>
    <row r="109" spans="1:9">
      <c r="A109" s="186" t="s">
        <v>15</v>
      </c>
      <c r="B109" s="186"/>
      <c r="C109" s="186"/>
      <c r="D109" s="186"/>
      <c r="E109" s="186"/>
      <c r="F109" s="186"/>
      <c r="G109" s="186"/>
      <c r="H109" s="186"/>
      <c r="I109" s="186"/>
    </row>
    <row r="110" spans="1:9" ht="42" customHeight="1">
      <c r="A110" s="187" t="s">
        <v>16</v>
      </c>
      <c r="B110" s="187"/>
      <c r="C110" s="187"/>
      <c r="D110" s="187"/>
      <c r="E110" s="187"/>
      <c r="F110" s="187"/>
      <c r="G110" s="187"/>
      <c r="H110" s="187"/>
      <c r="I110" s="187"/>
    </row>
    <row r="111" spans="1:9" ht="40.5" customHeight="1">
      <c r="A111" s="187" t="s">
        <v>17</v>
      </c>
      <c r="B111" s="187"/>
      <c r="C111" s="187"/>
      <c r="D111" s="187"/>
      <c r="E111" s="187"/>
      <c r="F111" s="187"/>
      <c r="G111" s="187"/>
      <c r="H111" s="187"/>
      <c r="I111" s="187"/>
    </row>
    <row r="112" spans="1:9" ht="42" customHeight="1">
      <c r="A112" s="187" t="s">
        <v>21</v>
      </c>
      <c r="B112" s="187"/>
      <c r="C112" s="187"/>
      <c r="D112" s="187"/>
      <c r="E112" s="187"/>
      <c r="F112" s="187"/>
      <c r="G112" s="187"/>
      <c r="H112" s="187"/>
      <c r="I112" s="187"/>
    </row>
    <row r="113" spans="1:9" ht="15.75">
      <c r="A113" s="187" t="s">
        <v>20</v>
      </c>
      <c r="B113" s="187"/>
      <c r="C113" s="187"/>
      <c r="D113" s="187"/>
      <c r="E113" s="187"/>
      <c r="F113" s="187"/>
      <c r="G113" s="187"/>
      <c r="H113" s="187"/>
      <c r="I113" s="187"/>
    </row>
  </sheetData>
  <mergeCells count="28">
    <mergeCell ref="A14:I14"/>
    <mergeCell ref="A3:I3"/>
    <mergeCell ref="A4:I4"/>
    <mergeCell ref="A5:I5"/>
    <mergeCell ref="A8:I8"/>
    <mergeCell ref="A10:I10"/>
    <mergeCell ref="A99:I99"/>
    <mergeCell ref="A15:I15"/>
    <mergeCell ref="A26:I26"/>
    <mergeCell ref="A41:I41"/>
    <mergeCell ref="A52:I52"/>
    <mergeCell ref="A82:I82"/>
    <mergeCell ref="A86:I86"/>
    <mergeCell ref="A93:I93"/>
    <mergeCell ref="B94:G94"/>
    <mergeCell ref="B95:G95"/>
    <mergeCell ref="A97:I97"/>
    <mergeCell ref="A98:I98"/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6</vt:i4>
      </vt:variant>
    </vt:vector>
  </HeadingPairs>
  <TitlesOfParts>
    <vt:vector size="18" baseType="lpstr">
      <vt:lpstr>01.19</vt:lpstr>
      <vt:lpstr>02.19</vt:lpstr>
      <vt:lpstr>03.19</vt:lpstr>
      <vt:lpstr>04.19</vt:lpstr>
      <vt:lpstr>05.19</vt:lpstr>
      <vt:lpstr>06.19</vt:lpstr>
      <vt:lpstr>07.19</vt:lpstr>
      <vt:lpstr>08.19</vt:lpstr>
      <vt:lpstr>09.19</vt:lpstr>
      <vt:lpstr>10.19</vt:lpstr>
      <vt:lpstr>11.19</vt:lpstr>
      <vt:lpstr>12.19</vt:lpstr>
      <vt:lpstr>'01.19'!Область_печати</vt:lpstr>
      <vt:lpstr>'02.19'!Область_печати</vt:lpstr>
      <vt:lpstr>'03.19'!Область_печати</vt:lpstr>
      <vt:lpstr>'10.19'!Область_печати</vt:lpstr>
      <vt:lpstr>'11.19'!Область_печати</vt:lpstr>
      <vt:lpstr>'12.19'!Область_печати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2020-02-13T12:44:08Z</cp:lastPrinted>
  <dcterms:created xsi:type="dcterms:W3CDTF">2016-03-25T08:33:47Z</dcterms:created>
  <dcterms:modified xsi:type="dcterms:W3CDTF">2020-02-13T12:45:09Z</dcterms:modified>
</cp:coreProperties>
</file>