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315" windowWidth="15975" windowHeight="5565"/>
  </bookViews>
  <sheets>
    <sheet name="Нефт., 5" sheetId="1" r:id="rId1"/>
  </sheets>
  <definedNames>
    <definedName name="_xlnm.Print_Area" localSheetId="0">'Нефт., 5'!$A$1:$U$132</definedName>
  </definedNames>
  <calcPr calcId="124519"/>
</workbook>
</file>

<file path=xl/calcChain.xml><?xml version="1.0" encoding="utf-8"?>
<calcChain xmlns="http://schemas.openxmlformats.org/spreadsheetml/2006/main">
  <c r="U113" i="1"/>
  <c r="P113"/>
  <c r="H113"/>
  <c r="L39"/>
  <c r="K39"/>
  <c r="U117"/>
  <c r="U118"/>
  <c r="U119"/>
  <c r="S117"/>
  <c r="C130"/>
  <c r="C127"/>
  <c r="S119"/>
  <c r="S118"/>
  <c r="H117"/>
  <c r="H119"/>
  <c r="F118"/>
  <c r="H118" s="1"/>
  <c r="R104"/>
  <c r="R82"/>
  <c r="U81"/>
  <c r="U83"/>
  <c r="U84"/>
  <c r="U85"/>
  <c r="U86"/>
  <c r="U87"/>
  <c r="U88"/>
  <c r="U80"/>
  <c r="U59"/>
  <c r="U62"/>
  <c r="U70"/>
  <c r="U71"/>
  <c r="U72"/>
  <c r="U73"/>
  <c r="U74"/>
  <c r="U75"/>
  <c r="U77"/>
  <c r="U30"/>
  <c r="U31"/>
  <c r="O112"/>
  <c r="U112" s="1"/>
  <c r="H112"/>
  <c r="Q116" l="1"/>
  <c r="U116" s="1"/>
  <c r="H116"/>
  <c r="Q108"/>
  <c r="Q115"/>
  <c r="U115" s="1"/>
  <c r="H115"/>
  <c r="Q114" l="1"/>
  <c r="U114" s="1"/>
  <c r="H114"/>
  <c r="O82"/>
  <c r="U82" s="1"/>
  <c r="N61"/>
  <c r="U61" s="1"/>
  <c r="R53"/>
  <c r="N53"/>
  <c r="I53"/>
  <c r="R52"/>
  <c r="N52"/>
  <c r="I52"/>
  <c r="U52" s="1"/>
  <c r="F111"/>
  <c r="F110"/>
  <c r="L111"/>
  <c r="U111" s="1"/>
  <c r="L110"/>
  <c r="U110" s="1"/>
  <c r="U53" l="1"/>
  <c r="H110"/>
  <c r="H111"/>
  <c r="L57" l="1"/>
  <c r="F107"/>
  <c r="K107" s="1"/>
  <c r="U107" s="1"/>
  <c r="M104"/>
  <c r="L109"/>
  <c r="U109" s="1"/>
  <c r="L101"/>
  <c r="L108"/>
  <c r="U108" s="1"/>
  <c r="H108"/>
  <c r="H107" l="1"/>
  <c r="K106"/>
  <c r="U106" s="1"/>
  <c r="H106"/>
  <c r="K105"/>
  <c r="U105" s="1"/>
  <c r="H105"/>
  <c r="J57" l="1"/>
  <c r="U57" s="1"/>
  <c r="J104"/>
  <c r="U104" s="1"/>
  <c r="J103"/>
  <c r="U103" s="1"/>
  <c r="H103"/>
  <c r="M21" l="1"/>
  <c r="U21" s="1"/>
  <c r="I101"/>
  <c r="U101" s="1"/>
  <c r="I102" l="1"/>
  <c r="U120" l="1"/>
  <c r="C129" s="1"/>
  <c r="U102"/>
  <c r="T40"/>
  <c r="T35"/>
  <c r="S35"/>
  <c r="Q68"/>
  <c r="U68" s="1"/>
  <c r="R51"/>
  <c r="S40"/>
  <c r="H71" l="1"/>
  <c r="H73"/>
  <c r="H70"/>
  <c r="F89" l="1"/>
  <c r="M89" s="1"/>
  <c r="F88"/>
  <c r="H88" s="1"/>
  <c r="F86"/>
  <c r="F85"/>
  <c r="F84"/>
  <c r="F83"/>
  <c r="F82"/>
  <c r="F81"/>
  <c r="H81" s="1"/>
  <c r="H82"/>
  <c r="H83"/>
  <c r="H84"/>
  <c r="H85"/>
  <c r="H86"/>
  <c r="H87"/>
  <c r="H89"/>
  <c r="F80"/>
  <c r="H80" s="1"/>
  <c r="U89" l="1"/>
  <c r="U90" s="1"/>
  <c r="H90"/>
  <c r="F72"/>
  <c r="H72" s="1"/>
  <c r="F74" l="1"/>
  <c r="H74" s="1"/>
  <c r="F56" l="1"/>
  <c r="M51"/>
  <c r="U51" s="1"/>
  <c r="F47"/>
  <c r="F36"/>
  <c r="E37"/>
  <c r="E38" s="1"/>
  <c r="E28"/>
  <c r="F27"/>
  <c r="S36" l="1"/>
  <c r="T36"/>
  <c r="T56"/>
  <c r="S56"/>
  <c r="R27"/>
  <c r="Q27"/>
  <c r="P27"/>
  <c r="O27"/>
  <c r="M47"/>
  <c r="Q47"/>
  <c r="H56"/>
  <c r="H27"/>
  <c r="N27"/>
  <c r="E39"/>
  <c r="F39" s="1"/>
  <c r="F38"/>
  <c r="M27"/>
  <c r="U27" l="1"/>
  <c r="U47"/>
  <c r="S38"/>
  <c r="T38"/>
  <c r="E26"/>
  <c r="M15" l="1"/>
  <c r="U15" s="1"/>
  <c r="H15"/>
  <c r="H21"/>
  <c r="H109" l="1"/>
  <c r="L40" l="1"/>
  <c r="L35"/>
  <c r="K35"/>
  <c r="K40"/>
  <c r="J35" l="1"/>
  <c r="J91" l="1"/>
  <c r="U91" s="1"/>
  <c r="H104" l="1"/>
  <c r="H102" l="1"/>
  <c r="H120" s="1"/>
  <c r="F52"/>
  <c r="F28"/>
  <c r="H28" s="1"/>
  <c r="H91"/>
  <c r="J40"/>
  <c r="F53"/>
  <c r="I40"/>
  <c r="U40" s="1"/>
  <c r="I35"/>
  <c r="U35" s="1"/>
  <c r="R28" l="1"/>
  <c r="Q28"/>
  <c r="P28"/>
  <c r="O28"/>
  <c r="M28"/>
  <c r="N28"/>
  <c r="F59"/>
  <c r="H59" s="1"/>
  <c r="U28" l="1"/>
  <c r="H52"/>
  <c r="H47"/>
  <c r="F48"/>
  <c r="H57"/>
  <c r="T48" l="1"/>
  <c r="Q48"/>
  <c r="J48"/>
  <c r="M48"/>
  <c r="K38"/>
  <c r="L38"/>
  <c r="L56"/>
  <c r="K56"/>
  <c r="J56"/>
  <c r="I48"/>
  <c r="I38"/>
  <c r="J38"/>
  <c r="I56"/>
  <c r="U56" l="1"/>
  <c r="U38"/>
  <c r="U48"/>
  <c r="H122"/>
  <c r="F123"/>
  <c r="E94"/>
  <c r="H97" s="1"/>
  <c r="F92"/>
  <c r="H77"/>
  <c r="H75"/>
  <c r="F68"/>
  <c r="H68" s="1"/>
  <c r="F67"/>
  <c r="F66"/>
  <c r="F65"/>
  <c r="F64"/>
  <c r="F63"/>
  <c r="H62"/>
  <c r="H61"/>
  <c r="H53"/>
  <c r="H51"/>
  <c r="F50"/>
  <c r="F49"/>
  <c r="F46"/>
  <c r="Q46" s="1"/>
  <c r="F45"/>
  <c r="Q45" s="1"/>
  <c r="F44"/>
  <c r="Q44" s="1"/>
  <c r="F43"/>
  <c r="Q43" s="1"/>
  <c r="H40"/>
  <c r="H38"/>
  <c r="F37"/>
  <c r="H35"/>
  <c r="F32"/>
  <c r="T32" s="1"/>
  <c r="H31"/>
  <c r="H30"/>
  <c r="F29"/>
  <c r="F26"/>
  <c r="F25"/>
  <c r="F24"/>
  <c r="F20"/>
  <c r="M20" s="1"/>
  <c r="U20" s="1"/>
  <c r="F19"/>
  <c r="M19" s="1"/>
  <c r="U19" s="1"/>
  <c r="F18"/>
  <c r="M18" s="1"/>
  <c r="U18" s="1"/>
  <c r="F17"/>
  <c r="Q17" s="1"/>
  <c r="F16"/>
  <c r="Q16" s="1"/>
  <c r="F14"/>
  <c r="M14" s="1"/>
  <c r="U14" s="1"/>
  <c r="E13"/>
  <c r="F13" s="1"/>
  <c r="T13" s="1"/>
  <c r="F12"/>
  <c r="T12" s="1"/>
  <c r="F11"/>
  <c r="T11" l="1"/>
  <c r="S11"/>
  <c r="S37"/>
  <c r="T37"/>
  <c r="T29"/>
  <c r="S29"/>
  <c r="R49"/>
  <c r="M49"/>
  <c r="T92"/>
  <c r="S92"/>
  <c r="N12"/>
  <c r="S12"/>
  <c r="Q12"/>
  <c r="R12"/>
  <c r="P12"/>
  <c r="O12"/>
  <c r="R11"/>
  <c r="Q11"/>
  <c r="O11"/>
  <c r="P11"/>
  <c r="N11"/>
  <c r="N13"/>
  <c r="R13"/>
  <c r="S13"/>
  <c r="Q13"/>
  <c r="P13"/>
  <c r="O13"/>
  <c r="N25"/>
  <c r="Q25"/>
  <c r="R25"/>
  <c r="P25"/>
  <c r="O25"/>
  <c r="S32"/>
  <c r="Q32"/>
  <c r="R32"/>
  <c r="P32"/>
  <c r="O32"/>
  <c r="M50"/>
  <c r="R50"/>
  <c r="Q24"/>
  <c r="R24"/>
  <c r="P24"/>
  <c r="O24"/>
  <c r="N24"/>
  <c r="R29"/>
  <c r="Q29"/>
  <c r="P29"/>
  <c r="O29"/>
  <c r="Q92"/>
  <c r="R92"/>
  <c r="P92"/>
  <c r="O92"/>
  <c r="N92"/>
  <c r="M11"/>
  <c r="M32"/>
  <c r="N32"/>
  <c r="M24"/>
  <c r="U24" s="1"/>
  <c r="M29"/>
  <c r="N29"/>
  <c r="M92"/>
  <c r="H64"/>
  <c r="M64"/>
  <c r="U64" s="1"/>
  <c r="H66"/>
  <c r="M66"/>
  <c r="U66" s="1"/>
  <c r="H63"/>
  <c r="M63"/>
  <c r="U63" s="1"/>
  <c r="H65"/>
  <c r="M65"/>
  <c r="U65" s="1"/>
  <c r="H67"/>
  <c r="M67"/>
  <c r="U67" s="1"/>
  <c r="H44"/>
  <c r="M44"/>
  <c r="U44" s="1"/>
  <c r="H46"/>
  <c r="M46"/>
  <c r="U46" s="1"/>
  <c r="H43"/>
  <c r="M43"/>
  <c r="U43" s="1"/>
  <c r="H45"/>
  <c r="M45"/>
  <c r="U45" s="1"/>
  <c r="H16"/>
  <c r="M16"/>
  <c r="U16" s="1"/>
  <c r="H20"/>
  <c r="H12"/>
  <c r="M12"/>
  <c r="H14"/>
  <c r="M17"/>
  <c r="U17" s="1"/>
  <c r="H17"/>
  <c r="H19"/>
  <c r="H24"/>
  <c r="H26"/>
  <c r="M26"/>
  <c r="U26" s="1"/>
  <c r="M13"/>
  <c r="H13"/>
  <c r="H18"/>
  <c r="H25"/>
  <c r="M25"/>
  <c r="U25" s="1"/>
  <c r="L13"/>
  <c r="K13"/>
  <c r="L12"/>
  <c r="K12"/>
  <c r="L29"/>
  <c r="K29"/>
  <c r="J29"/>
  <c r="L37"/>
  <c r="K37"/>
  <c r="J37"/>
  <c r="K92"/>
  <c r="L92"/>
  <c r="J92"/>
  <c r="K11"/>
  <c r="L11"/>
  <c r="J11"/>
  <c r="L32"/>
  <c r="K32"/>
  <c r="J32"/>
  <c r="J36"/>
  <c r="L36"/>
  <c r="K36"/>
  <c r="I11"/>
  <c r="I12"/>
  <c r="U12" s="1"/>
  <c r="J12"/>
  <c r="I29"/>
  <c r="U29" s="1"/>
  <c r="I92"/>
  <c r="U92" s="1"/>
  <c r="I13"/>
  <c r="U13" s="1"/>
  <c r="J13"/>
  <c r="H37"/>
  <c r="I37"/>
  <c r="U37" s="1"/>
  <c r="H39"/>
  <c r="U39"/>
  <c r="H49"/>
  <c r="H32"/>
  <c r="I32"/>
  <c r="U32" s="1"/>
  <c r="H36"/>
  <c r="I36"/>
  <c r="U36" s="1"/>
  <c r="H50"/>
  <c r="H92"/>
  <c r="H29"/>
  <c r="H33" s="1"/>
  <c r="H48"/>
  <c r="H11"/>
  <c r="H22" s="1"/>
  <c r="H93"/>
  <c r="F94"/>
  <c r="T94" s="1"/>
  <c r="H78"/>
  <c r="U11" l="1"/>
  <c r="U50"/>
  <c r="U49"/>
  <c r="T123"/>
  <c r="R94"/>
  <c r="S94"/>
  <c r="Q94"/>
  <c r="P94"/>
  <c r="O94"/>
  <c r="N94"/>
  <c r="Q123"/>
  <c r="U78"/>
  <c r="P123"/>
  <c r="R123"/>
  <c r="O123"/>
  <c r="S123"/>
  <c r="M94"/>
  <c r="N123"/>
  <c r="M123"/>
  <c r="H41"/>
  <c r="U54"/>
  <c r="H54"/>
  <c r="U33"/>
  <c r="K94"/>
  <c r="K123" s="1"/>
  <c r="L94"/>
  <c r="J94"/>
  <c r="J123" s="1"/>
  <c r="L123"/>
  <c r="U41"/>
  <c r="I94"/>
  <c r="U93"/>
  <c r="H94"/>
  <c r="H95" s="1"/>
  <c r="U94" l="1"/>
  <c r="H96"/>
  <c r="H98" s="1"/>
  <c r="G123" s="1"/>
  <c r="H123" s="1"/>
  <c r="U95"/>
  <c r="U22"/>
  <c r="I123"/>
  <c r="U96" l="1"/>
  <c r="U123" s="1"/>
  <c r="C128" l="1"/>
  <c r="C132" s="1"/>
</calcChain>
</file>

<file path=xl/sharedStrings.xml><?xml version="1.0" encoding="utf-8"?>
<sst xmlns="http://schemas.openxmlformats.org/spreadsheetml/2006/main" count="378" uniqueCount="268">
  <si>
    <t>ОТЧЁТ</t>
  </si>
  <si>
    <t xml:space="preserve">по предоставленным услугам и произведённым работам по содержанию и ремонту общего имущества собственников помещений в многоквартирном доме </t>
  </si>
  <si>
    <t>№ расц.</t>
  </si>
  <si>
    <t>Перечень работ</t>
  </si>
  <si>
    <t>Ед.изм</t>
  </si>
  <si>
    <t>Периодичность</t>
  </si>
  <si>
    <t>Объем работ разовый</t>
  </si>
  <si>
    <t xml:space="preserve">Объем работ на год </t>
  </si>
  <si>
    <t>Расценка (руб)</t>
  </si>
  <si>
    <t>Сумма в год (тыс.руб)</t>
  </si>
  <si>
    <t>А.Обязательные работы по содержанию общего имущества собственников помещений в многоквартирном доме</t>
  </si>
  <si>
    <t xml:space="preserve">1. Санитарное содержание </t>
  </si>
  <si>
    <t>Влажное подметание лестничных клеток 1 этажа</t>
  </si>
  <si>
    <t>100м2</t>
  </si>
  <si>
    <t>3 раза в неделю 156 раз в год</t>
  </si>
  <si>
    <t>2 раза в неделю 104 раза в год</t>
  </si>
  <si>
    <t xml:space="preserve">2 раза в месяц   24 раза в год </t>
  </si>
  <si>
    <t>Мытье окон</t>
  </si>
  <si>
    <t>10м2</t>
  </si>
  <si>
    <t>Влажная протирка перил</t>
  </si>
  <si>
    <t>Влажная протирка почтовых ящиков</t>
  </si>
  <si>
    <t xml:space="preserve">Влажная уборка стен </t>
  </si>
  <si>
    <t>100 м2</t>
  </si>
  <si>
    <t>Влажная протирка дверей</t>
  </si>
  <si>
    <t>Влажная протирка отопительных приборов</t>
  </si>
  <si>
    <t>итого:</t>
  </si>
  <si>
    <t>Летняя уборка</t>
  </si>
  <si>
    <t>2 раза в неделю 52 раза в сезон</t>
  </si>
  <si>
    <t>1000м2</t>
  </si>
  <si>
    <t>3 раза в неделю 78 раз за сезон</t>
  </si>
  <si>
    <t>Уборка газонов сильной загрязненности</t>
  </si>
  <si>
    <t>1 раз в год</t>
  </si>
  <si>
    <t xml:space="preserve"> - Уборка контейнерной площадки (16 кв.м.)</t>
  </si>
  <si>
    <t>шт.</t>
  </si>
  <si>
    <t>155 раз</t>
  </si>
  <si>
    <t>Подборка мусора на контейнерной площадке</t>
  </si>
  <si>
    <t>м3</t>
  </si>
  <si>
    <t>ежедневно 365 раз</t>
  </si>
  <si>
    <t>по мере необходимости</t>
  </si>
  <si>
    <t>м/час</t>
  </si>
  <si>
    <t>Вывоз ТБО и КГО</t>
  </si>
  <si>
    <t xml:space="preserve">кв. м </t>
  </si>
  <si>
    <t xml:space="preserve"> </t>
  </si>
  <si>
    <t>Зимняя уборка</t>
  </si>
  <si>
    <t>Механизированная уборка дворовой территории</t>
  </si>
  <si>
    <t xml:space="preserve">Сдвигание снега в дни снегопада </t>
  </si>
  <si>
    <t>1000 м2</t>
  </si>
  <si>
    <t>155 раз за сезон</t>
  </si>
  <si>
    <t xml:space="preserve"> II. Плановые осмотры</t>
  </si>
  <si>
    <t>2 раза в год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</si>
  <si>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</si>
  <si>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</si>
  <si>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</si>
  <si>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 xml:space="preserve">Осмотр СО </t>
  </si>
  <si>
    <t>1 раз в месяц (5 раз за сезон)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</si>
  <si>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</si>
  <si>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</si>
  <si>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100 лест.</t>
  </si>
  <si>
    <t>Осмотр вводных электрических щитков</t>
  </si>
  <si>
    <t>100 шт.</t>
  </si>
  <si>
    <t>шт</t>
  </si>
  <si>
    <t>2-1-1б</t>
  </si>
  <si>
    <t>Проверка вентканалов</t>
  </si>
  <si>
    <t>Кровля</t>
  </si>
  <si>
    <t>Чердак, подвал, технический этаж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</si>
  <si>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</si>
  <si>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</si>
  <si>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</si>
  <si>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</si>
  <si>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100м3</t>
  </si>
  <si>
    <t>Спуск воды и наполнение системы без осмотра</t>
  </si>
  <si>
    <t>1000м3</t>
  </si>
  <si>
    <t>Гидравлическое испытание СО</t>
  </si>
  <si>
    <t>100м</t>
  </si>
  <si>
    <t>Проверка на прогрев отопительных приборов</t>
  </si>
  <si>
    <t>прибор</t>
  </si>
  <si>
    <t>Электроснабжение</t>
  </si>
  <si>
    <t>Замена ламп ДРЛ</t>
  </si>
  <si>
    <t>2-2-1-3-3</t>
  </si>
  <si>
    <t>Мелкий ремонт электропроводки</t>
  </si>
  <si>
    <t>1п.м.</t>
  </si>
  <si>
    <t>Вентканалы, дымоходы</t>
  </si>
  <si>
    <t>ГЭСН60-16</t>
  </si>
  <si>
    <t xml:space="preserve"> - прочистка каналов</t>
  </si>
  <si>
    <t>Аварийно-диспетчерское обслуживание</t>
  </si>
  <si>
    <t>1 м2</t>
  </si>
  <si>
    <t>Услуги по выпуску квитанций, сопровождение собраний, работа с должниками</t>
  </si>
  <si>
    <t>ИТОГО</t>
  </si>
  <si>
    <t xml:space="preserve">ВСЕГО </t>
  </si>
  <si>
    <t>Площадь жилых помещений и нежилых</t>
  </si>
  <si>
    <t xml:space="preserve">     </t>
  </si>
  <si>
    <t>Затраты на 1 кв.м  в месяц в рублях  по плану</t>
  </si>
  <si>
    <t>Текущий ремонт</t>
  </si>
  <si>
    <t>итого по текущему ремонту</t>
  </si>
  <si>
    <t>Размер платы по текущему ремонту, руб/м2 в мес.</t>
  </si>
  <si>
    <t xml:space="preserve">Затраты в рублях  по плану   </t>
  </si>
  <si>
    <t xml:space="preserve">1 раз в год     </t>
  </si>
  <si>
    <t>3 раза в год</t>
  </si>
  <si>
    <t>Вода для промывки СО</t>
  </si>
  <si>
    <t>Спуск воды после промывки СО в канализацию</t>
  </si>
  <si>
    <t>Смена плавкой вставки в электрощите</t>
  </si>
  <si>
    <t>Генеральный директор ООО "Жилсервис"_______Ю.Л.Куканов</t>
  </si>
  <si>
    <t>Влажная протирка подоконников</t>
  </si>
  <si>
    <t>Влажная протирка шкафов для щитов и слаботочн.устройств</t>
  </si>
  <si>
    <t>20 раз за сезон</t>
  </si>
  <si>
    <t>Осмотр деревянных конструкций стропил</t>
  </si>
  <si>
    <t>100 м3</t>
  </si>
  <si>
    <t>2-1-1а</t>
  </si>
  <si>
    <t>Проверка дымоходов</t>
  </si>
  <si>
    <t>6 раз за сезон</t>
  </si>
  <si>
    <t>Очистка от мусора</t>
  </si>
  <si>
    <t>10 шт.</t>
  </si>
  <si>
    <t>Смена ламп накаливания</t>
  </si>
  <si>
    <t xml:space="preserve">Выполнение    январь  </t>
  </si>
  <si>
    <t>Выполнение   февраль</t>
  </si>
  <si>
    <t>Выполнение   март</t>
  </si>
  <si>
    <t>Выполнение    апрель</t>
  </si>
  <si>
    <t>Выполнение    май</t>
  </si>
  <si>
    <t>Выполнение    июнь</t>
  </si>
  <si>
    <t>Выполнение    июль</t>
  </si>
  <si>
    <t>Выполнение    август</t>
  </si>
  <si>
    <t>Выполнение    сентябрь</t>
  </si>
  <si>
    <t>Выполнение    октябрь</t>
  </si>
  <si>
    <t>Выполнение    ноябрь</t>
  </si>
  <si>
    <t>Выполнение    декабрь</t>
  </si>
  <si>
    <t>Стоимость (руб.)</t>
  </si>
  <si>
    <t>договор</t>
  </si>
  <si>
    <t>ТО внутридомового газ.оборудования</t>
  </si>
  <si>
    <t>3 этажа, 3 подъезда</t>
  </si>
  <si>
    <t>Ремонт групповых щитков на лестничной клетке без ремонта автоматов</t>
  </si>
  <si>
    <t>1 м</t>
  </si>
  <si>
    <t>Подключение и отключение сварочного аппарата</t>
  </si>
  <si>
    <t>калькуляция</t>
  </si>
  <si>
    <t>смета</t>
  </si>
  <si>
    <t>Работа автовышки</t>
  </si>
  <si>
    <t>1 мЗ</t>
  </si>
  <si>
    <t>Утепление трубопроводов минеральной ватой УРСА</t>
  </si>
  <si>
    <t>Осмотр шиферной кровли</t>
  </si>
  <si>
    <t>Влажное подметание лестничных клеток 2-3 этажа</t>
  </si>
  <si>
    <t>Мытье лестничных  площадок и маршей 1-3 этаж.</t>
  </si>
  <si>
    <t xml:space="preserve"> - Уборка газонов</t>
  </si>
  <si>
    <t xml:space="preserve"> - Подметание территории с усовершенствованным покрытием асф.: крыльца, контейнерн. пл., проезд, тротуар</t>
  </si>
  <si>
    <t xml:space="preserve">Погрузка травы, ветвей </t>
  </si>
  <si>
    <t>Вывоз смета, травы, ветвей и т.п.- м/ч</t>
  </si>
  <si>
    <t>Очистка урн от мусора</t>
  </si>
  <si>
    <t xml:space="preserve">Подметание снега с тротуара, крылец, конт. площадок 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</si>
  <si>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</si>
  <si>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 xml:space="preserve">Пескопосыпка территории: крыльца и тротуары </t>
  </si>
  <si>
    <t>Стоимость песка -100м2-0,002м3</t>
  </si>
  <si>
    <t>30 раз за сезон</t>
  </si>
  <si>
    <t>35 раз за сезон</t>
  </si>
  <si>
    <t>Очистка края кровли от слежавшегося снега со сбрасыванием сосулек (10% от S кровли, козырьки над подъездами)</t>
  </si>
  <si>
    <t>маш.-час</t>
  </si>
  <si>
    <t>Смена светодиодных светильников</t>
  </si>
  <si>
    <t>1 шт.</t>
  </si>
  <si>
    <t>счёт</t>
  </si>
  <si>
    <t>Стоимость светодиодного светильника</t>
  </si>
  <si>
    <t>руб.</t>
  </si>
  <si>
    <t>Водоснабжение, канализация</t>
  </si>
  <si>
    <t>Зачеканка раструбов канализационных труб диаметром до 100 мм</t>
  </si>
  <si>
    <t>1 шт</t>
  </si>
  <si>
    <t>Очистка канализационной сети внутренней</t>
  </si>
  <si>
    <t>Прочистка засоров ХВС</t>
  </si>
  <si>
    <t>3 м</t>
  </si>
  <si>
    <t>Смена внутренних трубопроводов из чугунных канализ.труб диаметром до 50 мм (без стоимости креплений)</t>
  </si>
  <si>
    <t>Смена внутренних трубопроводов из чугунных канализ.труб диаметром до 100 мм (без стоимости креплений)</t>
  </si>
  <si>
    <t>Смена полиэтиленовыхлизационных труб диаметром до 50 мм (без стоимости креплений)</t>
  </si>
  <si>
    <t>Смена полиэтиленовыхлизационных труб диаметром до 100 мм (без стоимости креплений)</t>
  </si>
  <si>
    <t>Ремонт вентильных кранов д=40 со снятием с места</t>
  </si>
  <si>
    <t>Смена внутренних трубопроводов из стальных труб диаметром до 50 мм (бес стоимости креплений)</t>
  </si>
  <si>
    <t>Осмотр водопровода, канализации</t>
  </si>
  <si>
    <t>место</t>
  </si>
  <si>
    <t>10 м2</t>
  </si>
  <si>
    <t>ТЕР 51-001</t>
  </si>
  <si>
    <t>ТЕР 51-009</t>
  </si>
  <si>
    <t>ТЕР 51-031</t>
  </si>
  <si>
    <t>ТЕР 51-020</t>
  </si>
  <si>
    <t>ТЕР 51-025</t>
  </si>
  <si>
    <t>ТЕР 51-023</t>
  </si>
  <si>
    <t>ТЕР 51-018</t>
  </si>
  <si>
    <t>ТЕР 51-019</t>
  </si>
  <si>
    <t>ТЕР 51-024</t>
  </si>
  <si>
    <t>ТЕР 51-022</t>
  </si>
  <si>
    <t>ТЕР 53-020</t>
  </si>
  <si>
    <t>ТЕР 53-001</t>
  </si>
  <si>
    <t>ТЕР 53-021</t>
  </si>
  <si>
    <t>ТЕР 53-003</t>
  </si>
  <si>
    <t>ТЕР 52-033</t>
  </si>
  <si>
    <t>пр.ТЕР 52-003</t>
  </si>
  <si>
    <t>ТЕР 53-030</t>
  </si>
  <si>
    <t>ТЕР 54-013</t>
  </si>
  <si>
    <t>ТЕР 54-003</t>
  </si>
  <si>
    <t>ТЕР 54-022</t>
  </si>
  <si>
    <t>ТЕР 54-025</t>
  </si>
  <si>
    <t>ТЕР 3-7-1в</t>
  </si>
  <si>
    <t>ТЕР 42-007</t>
  </si>
  <si>
    <t>ТЕР 42-009</t>
  </si>
  <si>
    <t>ТЕР 42-010</t>
  </si>
  <si>
    <t>ТЕР 42-003</t>
  </si>
  <si>
    <t>ТЕР 42-011</t>
  </si>
  <si>
    <t>ТЕР 42-013</t>
  </si>
  <si>
    <t>ТЕР 42-012</t>
  </si>
  <si>
    <t>ТЕР 42-014</t>
  </si>
  <si>
    <t>ТЕР 54-041 и 42</t>
  </si>
  <si>
    <t>ТЕР 51-034</t>
  </si>
  <si>
    <t>ТЕР 31-065</t>
  </si>
  <si>
    <t>ТЕР 31-064</t>
  </si>
  <si>
    <t>ТЕР 31-052</t>
  </si>
  <si>
    <t>ТЕР 31-043</t>
  </si>
  <si>
    <t>ТЕР 31-068</t>
  </si>
  <si>
    <t>ТЕР 31-045</t>
  </si>
  <si>
    <t>пр.ТЕР 33-024</t>
  </si>
  <si>
    <t>ТЕР 33-019</t>
  </si>
  <si>
    <t>ТЕР 33-043</t>
  </si>
  <si>
    <t>ТЕР 33-049</t>
  </si>
  <si>
    <t>ТЕР 32-072</t>
  </si>
  <si>
    <t>ТЕР 32-093</t>
  </si>
  <si>
    <t>ТЕР 32-101</t>
  </si>
  <si>
    <t>ТЕР 32-079</t>
  </si>
  <si>
    <t>ТЕР 32-080</t>
  </si>
  <si>
    <t>ТЕР 32-082</t>
  </si>
  <si>
    <t>ТЕР 32-083</t>
  </si>
  <si>
    <t>ТЕР 32-071</t>
  </si>
  <si>
    <t>ТЕР 32-089</t>
  </si>
  <si>
    <t>пр.ТЕР 42-015</t>
  </si>
  <si>
    <t>пр.ТЕР 32-098</t>
  </si>
  <si>
    <t>пр.ТЕР 31-057</t>
  </si>
  <si>
    <t>ТЕР 33-030</t>
  </si>
  <si>
    <t>ТЕР 33-060</t>
  </si>
  <si>
    <t>Баланс выполненных работ на 01.01.2017 г. ( -долг за предприятием, +долг за населением)</t>
  </si>
  <si>
    <r>
      <t xml:space="preserve">по адресу:  </t>
    </r>
    <r>
      <rPr>
        <b/>
        <sz val="14"/>
        <color indexed="10"/>
        <rFont val="Arial"/>
        <family val="2"/>
        <charset val="204"/>
      </rPr>
      <t>ул. Нефтяников, 5</t>
    </r>
    <r>
      <rPr>
        <b/>
        <sz val="14"/>
        <rFont val="Arial"/>
        <family val="2"/>
        <charset val="204"/>
      </rPr>
      <t xml:space="preserve">  (п. Ярега)  </t>
    </r>
    <r>
      <rPr>
        <b/>
        <sz val="14"/>
        <color indexed="10"/>
        <rFont val="Arial"/>
        <family val="2"/>
        <charset val="204"/>
      </rPr>
      <t>за 2017 год</t>
    </r>
  </si>
  <si>
    <t>Начислено за содержание и текущий ремонт за 2017 г.</t>
  </si>
  <si>
    <t>Выполнено работ по содержанию за 2017 г.</t>
  </si>
  <si>
    <t>Выполнено работ по текущему ремонту за 2017 г.</t>
  </si>
  <si>
    <t>Фактически оплачено за 2017 г.</t>
  </si>
  <si>
    <t>Установка хомута диаметром до 50 мм</t>
  </si>
  <si>
    <t>Смена арматуры - вентилей и клапанов обратных муфтовых диаметром до 20 мм</t>
  </si>
  <si>
    <t>ТЕР 32-027</t>
  </si>
  <si>
    <t>ТЕР 32-088</t>
  </si>
  <si>
    <t xml:space="preserve">Смена внутренних трубопроводов из стальных труб диаметром до 40 мм </t>
  </si>
  <si>
    <t>Установка заглушек диаметром трубопроводов до 100 мм</t>
  </si>
  <si>
    <t>заглушка</t>
  </si>
  <si>
    <t>пр.ТЕР 31-012</t>
  </si>
  <si>
    <t>Смена трубопроводов на полипропиленовые трубы PN25 диаметром 20 мм</t>
  </si>
  <si>
    <t>Ремонт поверхности кирпичных стен при глубине заделки в 1 кирпич площадью в одном месте до 1 м2</t>
  </si>
  <si>
    <t>ТЕР 12-001</t>
  </si>
  <si>
    <t>ТЕР 12-048</t>
  </si>
  <si>
    <t>Разборка короба для работ ВДИС</t>
  </si>
  <si>
    <t>ТЕР 10-01-012-1</t>
  </si>
  <si>
    <t>Восстановление короба после работ ВДИС</t>
  </si>
  <si>
    <t xml:space="preserve">Смена сгонов у трубопроводов диаметром до 20 мм </t>
  </si>
  <si>
    <t>1 сгон</t>
  </si>
  <si>
    <t>ТЕР 31-009</t>
  </si>
  <si>
    <t>Внеплановый осмотр электросетей, армазуры и электрооборудования на лестничных клетках</t>
  </si>
  <si>
    <t>Смена трубопроводов на полипропиленовые трубы PN25 диаметром 25 мм</t>
  </si>
  <si>
    <t>пр.ТЕР 2-2-1-2-17</t>
  </si>
  <si>
    <t xml:space="preserve">Герметизация стыков трубопроводов    </t>
  </si>
  <si>
    <t>1 место</t>
  </si>
  <si>
    <t>10 шт</t>
  </si>
  <si>
    <t>пр.ТЕР 15-013</t>
  </si>
  <si>
    <t>Смена дверных приборов - проушины</t>
  </si>
  <si>
    <t>Смена дверных приборов (замки навесные)</t>
  </si>
  <si>
    <t>ТЕР 15-051</t>
  </si>
  <si>
    <t>Просроченная задолженность по Вашему дому по статье "Содержание и текущий ремонт МКД" на конец декабря 2017 г., составляет:</t>
  </si>
  <si>
    <t>Баланс выполненных работ на 01.01.2018 г. ( -долг за предприятием, +долг за населением)</t>
  </si>
  <si>
    <t>Смена плавкой вставки на электрощите</t>
  </si>
  <si>
    <t>Ремонт отмостки</t>
  </si>
  <si>
    <t>м2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</si>
</sst>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#,##0.000"/>
  </numFmts>
  <fonts count="19">
    <font>
      <sz val="10"/>
      <name val="Arial Cyr"/>
      <family val="2"/>
      <charset val="204"/>
    </font>
    <font>
      <b/>
      <sz val="10"/>
      <color rgb="FFFF0000"/>
      <name val="Arial Cyr"/>
      <family val="2"/>
      <charset val="204"/>
    </font>
    <font>
      <sz val="10"/>
      <name val="Arial"/>
      <family val="2"/>
      <charset val="204"/>
    </font>
    <font>
      <b/>
      <sz val="10"/>
      <color indexed="18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indexed="10"/>
      <name val="Arial"/>
      <family val="2"/>
      <charset val="204"/>
    </font>
    <font>
      <sz val="11"/>
      <name val="Arial"/>
      <family val="2"/>
      <charset val="204"/>
    </font>
    <font>
      <sz val="10"/>
      <color rgb="FFFF000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14"/>
      <name val="Arial"/>
      <family val="2"/>
      <charset val="204"/>
    </font>
    <font>
      <sz val="10"/>
      <color indexed="8"/>
      <name val="Arial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6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26"/>
      </patternFill>
    </fill>
    <fill>
      <patternFill patternType="solid">
        <fgColor rgb="FFFFFF00"/>
        <bgColor indexed="41"/>
      </patternFill>
    </fill>
    <fill>
      <patternFill patternType="solid">
        <fgColor rgb="FFFFFF00"/>
        <bgColor indexed="3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4">
    <xf numFmtId="0" fontId="0" fillId="0" borderId="0" xfId="0"/>
    <xf numFmtId="0" fontId="1" fillId="0" borderId="0" xfId="0" applyFont="1" applyAlignment="1"/>
    <xf numFmtId="0" fontId="0" fillId="3" borderId="0" xfId="0" applyFont="1" applyFill="1"/>
    <xf numFmtId="0" fontId="0" fillId="3" borderId="0" xfId="0" applyFill="1"/>
    <xf numFmtId="4" fontId="0" fillId="0" borderId="0" xfId="0" applyNumberFormat="1"/>
    <xf numFmtId="4" fontId="7" fillId="0" borderId="0" xfId="0" applyNumberFormat="1" applyFont="1"/>
    <xf numFmtId="0" fontId="7" fillId="0" borderId="0" xfId="0" applyFont="1"/>
    <xf numFmtId="164" fontId="0" fillId="0" borderId="0" xfId="0" applyNumberFormat="1"/>
    <xf numFmtId="2" fontId="0" fillId="0" borderId="0" xfId="0" applyNumberFormat="1"/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6" fillId="7" borderId="3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0" fillId="2" borderId="0" xfId="0" applyFill="1"/>
    <xf numFmtId="0" fontId="4" fillId="2" borderId="1" xfId="0" applyFont="1" applyFill="1" applyBorder="1" applyAlignment="1">
      <alignment horizontal="left" vertical="center" wrapText="1"/>
    </xf>
    <xf numFmtId="0" fontId="0" fillId="5" borderId="0" xfId="0" applyFill="1"/>
    <xf numFmtId="0" fontId="2" fillId="4" borderId="5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13" fillId="8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3" fontId="2" fillId="8" borderId="7" xfId="0" applyNumberFormat="1" applyFont="1" applyFill="1" applyBorder="1" applyAlignment="1">
      <alignment horizontal="center" vertical="center"/>
    </xf>
    <xf numFmtId="164" fontId="2" fillId="4" borderId="2" xfId="0" applyNumberFormat="1" applyFont="1" applyFill="1" applyBorder="1" applyAlignment="1">
      <alignment horizontal="center" vertical="center"/>
    </xf>
    <xf numFmtId="0" fontId="2" fillId="8" borderId="3" xfId="0" applyFont="1" applyFill="1" applyBorder="1" applyAlignment="1">
      <alignment vertical="center"/>
    </xf>
    <xf numFmtId="4" fontId="2" fillId="8" borderId="7" xfId="0" applyNumberFormat="1" applyFont="1" applyFill="1" applyBorder="1" applyAlignment="1">
      <alignment vertical="center"/>
    </xf>
    <xf numFmtId="0" fontId="2" fillId="8" borderId="3" xfId="0" applyFont="1" applyFill="1" applyBorder="1"/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/>
    </xf>
    <xf numFmtId="4" fontId="2" fillId="4" borderId="2" xfId="0" applyNumberFormat="1" applyFont="1" applyFill="1" applyBorder="1" applyAlignment="1">
      <alignment horizontal="center" vertical="center"/>
    </xf>
    <xf numFmtId="4" fontId="2" fillId="8" borderId="3" xfId="0" applyNumberFormat="1" applyFont="1" applyFill="1" applyBorder="1" applyAlignment="1">
      <alignment horizontal="center" vertical="center"/>
    </xf>
    <xf numFmtId="4" fontId="2" fillId="8" borderId="7" xfId="0" applyNumberFormat="1" applyFont="1" applyFill="1" applyBorder="1" applyAlignment="1">
      <alignment horizontal="center" vertical="center"/>
    </xf>
    <xf numFmtId="4" fontId="2" fillId="4" borderId="4" xfId="0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>
      <alignment horizontal="center" vertical="center" wrapText="1"/>
    </xf>
    <xf numFmtId="4" fontId="2" fillId="4" borderId="15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4" fontId="4" fillId="11" borderId="2" xfId="0" applyNumberFormat="1" applyFont="1" applyFill="1" applyBorder="1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/>
    </xf>
    <xf numFmtId="4" fontId="4" fillId="2" borderId="7" xfId="0" applyNumberFormat="1" applyFont="1" applyFill="1" applyBorder="1" applyAlignment="1">
      <alignment horizontal="center" vertical="center"/>
    </xf>
    <xf numFmtId="4" fontId="14" fillId="4" borderId="1" xfId="0" applyNumberFormat="1" applyFont="1" applyFill="1" applyBorder="1" applyAlignment="1">
      <alignment horizontal="center" vertical="center" wrapText="1"/>
    </xf>
    <xf numFmtId="4" fontId="2" fillId="7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/>
    </xf>
    <xf numFmtId="4" fontId="4" fillId="10" borderId="2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4" fontId="2" fillId="7" borderId="1" xfId="0" applyNumberFormat="1" applyFont="1" applyFill="1" applyBorder="1" applyAlignment="1">
      <alignment horizontal="center" vertical="center"/>
    </xf>
    <xf numFmtId="4" fontId="2" fillId="9" borderId="3" xfId="0" applyNumberFormat="1" applyFont="1" applyFill="1" applyBorder="1" applyAlignment="1">
      <alignment horizontal="center" vertical="center"/>
    </xf>
    <xf numFmtId="4" fontId="2" fillId="4" borderId="3" xfId="0" applyNumberFormat="1" applyFont="1" applyFill="1" applyBorder="1" applyAlignment="1">
      <alignment horizontal="center" vertical="center"/>
    </xf>
    <xf numFmtId="4" fontId="2" fillId="7" borderId="3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" fontId="4" fillId="5" borderId="1" xfId="0" applyNumberFormat="1" applyFont="1" applyFill="1" applyBorder="1" applyAlignment="1">
      <alignment horizontal="center" vertical="center" wrapText="1"/>
    </xf>
    <xf numFmtId="4" fontId="4" fillId="5" borderId="1" xfId="0" applyNumberFormat="1" applyFont="1" applyFill="1" applyBorder="1" applyAlignment="1">
      <alignment horizontal="center" vertical="center"/>
    </xf>
    <xf numFmtId="4" fontId="4" fillId="5" borderId="3" xfId="0" applyNumberFormat="1" applyFont="1" applyFill="1" applyBorder="1" applyAlignment="1">
      <alignment horizontal="center" vertical="center"/>
    </xf>
    <xf numFmtId="4" fontId="2" fillId="4" borderId="13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4" fontId="2" fillId="4" borderId="5" xfId="0" applyNumberFormat="1" applyFont="1" applyFill="1" applyBorder="1" applyAlignment="1">
      <alignment horizontal="center" vertical="center" wrapText="1"/>
    </xf>
    <xf numFmtId="4" fontId="2" fillId="4" borderId="5" xfId="0" applyNumberFormat="1" applyFont="1" applyFill="1" applyBorder="1" applyAlignment="1">
      <alignment horizontal="center" vertical="center"/>
    </xf>
    <xf numFmtId="4" fontId="2" fillId="4" borderId="0" xfId="0" applyNumberFormat="1" applyFont="1" applyFill="1" applyBorder="1" applyAlignment="1">
      <alignment horizontal="center" vertical="center"/>
    </xf>
    <xf numFmtId="4" fontId="2" fillId="4" borderId="6" xfId="0" applyNumberFormat="1" applyFont="1" applyFill="1" applyBorder="1" applyAlignment="1">
      <alignment horizontal="center" vertical="center"/>
    </xf>
    <xf numFmtId="4" fontId="2" fillId="4" borderId="14" xfId="0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left" vertical="center"/>
    </xf>
    <xf numFmtId="0" fontId="2" fillId="7" borderId="3" xfId="0" applyFont="1" applyFill="1" applyBorder="1" applyAlignment="1">
      <alignment horizontal="left" vertical="center"/>
    </xf>
    <xf numFmtId="4" fontId="2" fillId="7" borderId="3" xfId="0" applyNumberFormat="1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left" vertical="center" wrapText="1"/>
    </xf>
    <xf numFmtId="4" fontId="4" fillId="5" borderId="3" xfId="0" applyNumberFormat="1" applyFont="1" applyFill="1" applyBorder="1" applyAlignment="1">
      <alignment horizontal="center" vertical="center" wrapText="1"/>
    </xf>
    <xf numFmtId="4" fontId="4" fillId="10" borderId="7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left" vertical="center" wrapText="1"/>
    </xf>
    <xf numFmtId="4" fontId="2" fillId="6" borderId="3" xfId="0" applyNumberFormat="1" applyFont="1" applyFill="1" applyBorder="1" applyAlignment="1">
      <alignment horizontal="center" vertical="center"/>
    </xf>
    <xf numFmtId="4" fontId="4" fillId="6" borderId="3" xfId="0" applyNumberFormat="1" applyFont="1" applyFill="1" applyBorder="1" applyAlignment="1">
      <alignment horizontal="center" vertical="center"/>
    </xf>
    <xf numFmtId="1" fontId="2" fillId="4" borderId="3" xfId="0" applyNumberFormat="1" applyFont="1" applyFill="1" applyBorder="1" applyAlignment="1">
      <alignment horizontal="left"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 wrapText="1"/>
    </xf>
    <xf numFmtId="2" fontId="4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3" xfId="0" applyFont="1" applyFill="1" applyBorder="1" applyAlignment="1">
      <alignment horizontal="left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2" fillId="4" borderId="3" xfId="0" applyFont="1" applyFill="1" applyBorder="1" applyAlignment="1" applyProtection="1">
      <alignment horizontal="center" vertical="center" wrapText="1"/>
    </xf>
    <xf numFmtId="0" fontId="2" fillId="4" borderId="3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" fontId="2" fillId="2" borderId="3" xfId="0" applyNumberFormat="1" applyFont="1" applyFill="1" applyBorder="1" applyAlignment="1">
      <alignment horizontal="center" vertical="center"/>
    </xf>
    <xf numFmtId="4" fontId="2" fillId="4" borderId="2" xfId="0" applyNumberFormat="1" applyFont="1" applyFill="1" applyBorder="1" applyAlignment="1">
      <alignment horizontal="center" vertical="center" wrapText="1"/>
    </xf>
    <xf numFmtId="4" fontId="15" fillId="2" borderId="6" xfId="0" applyNumberFormat="1" applyFont="1" applyFill="1" applyBorder="1" applyAlignment="1">
      <alignment horizontal="center" vertical="center"/>
    </xf>
    <xf numFmtId="4" fontId="15" fillId="4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0" fontId="4" fillId="4" borderId="3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horizontal="center" vertical="center"/>
    </xf>
    <xf numFmtId="4" fontId="15" fillId="4" borderId="7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4" fontId="15" fillId="2" borderId="8" xfId="0" applyNumberFormat="1" applyFont="1" applyFill="1" applyBorder="1" applyAlignment="1">
      <alignment horizontal="center" vertical="center"/>
    </xf>
    <xf numFmtId="4" fontId="4" fillId="2" borderId="9" xfId="0" applyNumberFormat="1" applyFont="1" applyFill="1" applyBorder="1" applyAlignment="1">
      <alignment horizontal="center" vertical="center"/>
    </xf>
    <xf numFmtId="4" fontId="2" fillId="0" borderId="0" xfId="0" applyNumberFormat="1" applyFont="1"/>
    <xf numFmtId="0" fontId="2" fillId="0" borderId="0" xfId="0" applyFont="1"/>
    <xf numFmtId="4" fontId="16" fillId="0" borderId="0" xfId="0" applyNumberFormat="1" applyFont="1"/>
    <xf numFmtId="0" fontId="16" fillId="0" borderId="0" xfId="0" applyFont="1"/>
    <xf numFmtId="0" fontId="17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0" fontId="2" fillId="12" borderId="3" xfId="0" applyNumberFormat="1" applyFont="1" applyFill="1" applyBorder="1" applyAlignment="1" applyProtection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4" fontId="4" fillId="10" borderId="3" xfId="0" applyNumberFormat="1" applyFont="1" applyFill="1" applyBorder="1" applyAlignment="1">
      <alignment horizontal="center" vertical="center"/>
    </xf>
    <xf numFmtId="4" fontId="15" fillId="2" borderId="3" xfId="0" applyNumberFormat="1" applyFont="1" applyFill="1" applyBorder="1" applyAlignment="1">
      <alignment horizontal="center" vertical="center"/>
    </xf>
    <xf numFmtId="4" fontId="15" fillId="8" borderId="3" xfId="0" applyNumberFormat="1" applyFont="1" applyFill="1" applyBorder="1" applyAlignment="1">
      <alignment horizontal="center" vertical="center"/>
    </xf>
    <xf numFmtId="4" fontId="4" fillId="8" borderId="3" xfId="0" applyNumberFormat="1" applyFont="1" applyFill="1" applyBorder="1" applyAlignment="1">
      <alignment horizontal="center" vertical="center"/>
    </xf>
    <xf numFmtId="4" fontId="2" fillId="4" borderId="7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0" fontId="2" fillId="4" borderId="3" xfId="0" applyNumberFormat="1" applyFont="1" applyFill="1" applyBorder="1" applyAlignment="1" applyProtection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7" borderId="18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vertical="center"/>
    </xf>
    <xf numFmtId="4" fontId="2" fillId="2" borderId="20" xfId="0" applyNumberFormat="1" applyFont="1" applyFill="1" applyBorder="1" applyAlignment="1">
      <alignment horizontal="center" vertical="center" wrapText="1"/>
    </xf>
    <xf numFmtId="4" fontId="4" fillId="5" borderId="7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2" fillId="4" borderId="12" xfId="0" applyNumberFormat="1" applyFont="1" applyFill="1" applyBorder="1" applyAlignment="1" applyProtection="1">
      <alignment horizontal="center" vertical="center" wrapText="1"/>
    </xf>
    <xf numFmtId="4" fontId="4" fillId="9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4" fontId="4" fillId="0" borderId="3" xfId="0" applyNumberFormat="1" applyFont="1" applyFill="1" applyBorder="1" applyAlignment="1">
      <alignment horizontal="center" vertical="center"/>
    </xf>
    <xf numFmtId="4" fontId="4" fillId="0" borderId="3" xfId="0" applyNumberFormat="1" applyFont="1" applyFill="1" applyBorder="1" applyAlignment="1">
      <alignment horizontal="center" vertical="center" wrapText="1"/>
    </xf>
    <xf numFmtId="4" fontId="4" fillId="0" borderId="7" xfId="0" applyNumberFormat="1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/>
    </xf>
    <xf numFmtId="4" fontId="2" fillId="9" borderId="7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3" fontId="2" fillId="8" borderId="3" xfId="0" applyNumberFormat="1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/>
    </xf>
    <xf numFmtId="4" fontId="0" fillId="8" borderId="3" xfId="0" applyNumberForma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center" vertical="center" wrapText="1"/>
    </xf>
    <xf numFmtId="165" fontId="2" fillId="4" borderId="3" xfId="0" applyNumberFormat="1" applyFont="1" applyFill="1" applyBorder="1" applyAlignment="1">
      <alignment horizontal="center" vertical="center"/>
    </xf>
    <xf numFmtId="0" fontId="18" fillId="4" borderId="12" xfId="0" applyFont="1" applyFill="1" applyBorder="1" applyAlignment="1">
      <alignment horizontal="center" vertical="center" wrapText="1"/>
    </xf>
    <xf numFmtId="0" fontId="18" fillId="4" borderId="12" xfId="0" applyFont="1" applyFill="1" applyBorder="1" applyAlignment="1">
      <alignment horizontal="left" vertical="center" wrapText="1"/>
    </xf>
    <xf numFmtId="0" fontId="2" fillId="4" borderId="3" xfId="0" applyNumberFormat="1" applyFont="1" applyFill="1" applyBorder="1" applyAlignment="1" applyProtection="1">
      <alignment horizontal="left" vertical="center" wrapText="1"/>
    </xf>
    <xf numFmtId="4" fontId="2" fillId="8" borderId="12" xfId="0" applyNumberFormat="1" applyFont="1" applyFill="1" applyBorder="1" applyAlignment="1">
      <alignment horizontal="center" vertical="center"/>
    </xf>
    <xf numFmtId="0" fontId="0" fillId="0" borderId="0" xfId="0" applyFill="1"/>
    <xf numFmtId="0" fontId="18" fillId="0" borderId="3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left" vertic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4" fontId="8" fillId="0" borderId="7" xfId="0" applyNumberFormat="1" applyFont="1" applyBorder="1" applyAlignment="1">
      <alignment horizontal="center" vertical="center"/>
    </xf>
    <xf numFmtId="4" fontId="8" fillId="0" borderId="10" xfId="0" applyNumberFormat="1" applyFont="1" applyBorder="1" applyAlignment="1">
      <alignment horizontal="center" vertical="center"/>
    </xf>
    <xf numFmtId="4" fontId="8" fillId="0" borderId="11" xfId="0" applyNumberFormat="1" applyFont="1" applyBorder="1" applyAlignment="1">
      <alignment horizontal="center" vertical="center"/>
    </xf>
    <xf numFmtId="4" fontId="9" fillId="0" borderId="7" xfId="0" applyNumberFormat="1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4" fontId="9" fillId="0" borderId="1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Z136"/>
  <sheetViews>
    <sheetView tabSelected="1" view="pageBreakPreview" zoomScaleNormal="75" zoomScaleSheetLayoutView="100" workbookViewId="0">
      <pane ySplit="7" topLeftCell="A118" activePane="bottomLeft" state="frozen"/>
      <selection activeCell="B1" sqref="B1"/>
      <selection pane="bottomLeft" activeCell="G113" sqref="G113"/>
    </sheetView>
  </sheetViews>
  <sheetFormatPr defaultRowHeight="12.75"/>
  <cols>
    <col min="1" max="1" width="14.42578125" customWidth="1"/>
    <col min="2" max="2" width="42.85546875" customWidth="1"/>
    <col min="3" max="3" width="9.140625" customWidth="1"/>
    <col min="4" max="4" width="22" customWidth="1"/>
    <col min="5" max="7" width="10.140625" customWidth="1"/>
    <col min="8" max="8" width="11.5703125" customWidth="1"/>
    <col min="9" max="20" width="9.85546875" customWidth="1"/>
    <col min="21" max="21" width="12.28515625" customWidth="1"/>
  </cols>
  <sheetData>
    <row r="1" spans="1:21" ht="14.25" customHeight="1"/>
    <row r="3" spans="1:21" ht="18">
      <c r="A3" s="1"/>
      <c r="B3" s="175" t="s">
        <v>0</v>
      </c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13"/>
      <c r="N3" s="113"/>
      <c r="O3" s="113"/>
      <c r="P3" s="113"/>
      <c r="Q3" s="113"/>
      <c r="R3" s="113"/>
      <c r="S3" s="113"/>
      <c r="T3" s="113"/>
      <c r="U3" s="113"/>
    </row>
    <row r="4" spans="1:21" ht="34.5" customHeight="1">
      <c r="B4" s="176" t="s">
        <v>1</v>
      </c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13"/>
      <c r="N4" s="113"/>
      <c r="O4" s="113"/>
      <c r="P4" s="113"/>
      <c r="Q4" s="113"/>
      <c r="R4" s="113"/>
      <c r="S4" s="113"/>
      <c r="T4" s="113"/>
      <c r="U4" s="113"/>
    </row>
    <row r="5" spans="1:21" ht="18">
      <c r="B5" s="176" t="s">
        <v>230</v>
      </c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13"/>
      <c r="N5" s="113"/>
      <c r="O5" s="113"/>
      <c r="P5" s="113"/>
      <c r="Q5" s="113"/>
      <c r="R5" s="113"/>
      <c r="S5" s="113"/>
      <c r="T5" s="113"/>
      <c r="U5" s="113"/>
    </row>
    <row r="6" spans="1:21" ht="14.25">
      <c r="B6" s="177" t="s">
        <v>128</v>
      </c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13"/>
      <c r="N6" s="113"/>
      <c r="O6" s="113"/>
      <c r="P6" s="113"/>
      <c r="Q6" s="113"/>
      <c r="R6" s="113"/>
      <c r="S6" s="113"/>
      <c r="T6" s="113"/>
      <c r="U6" s="113"/>
    </row>
    <row r="7" spans="1:21" ht="54" customHeight="1">
      <c r="A7" s="130" t="s">
        <v>2</v>
      </c>
      <c r="B7" s="131" t="s">
        <v>3</v>
      </c>
      <c r="C7" s="131" t="s">
        <v>4</v>
      </c>
      <c r="D7" s="131" t="s">
        <v>5</v>
      </c>
      <c r="E7" s="131" t="s">
        <v>6</v>
      </c>
      <c r="F7" s="131" t="s">
        <v>7</v>
      </c>
      <c r="G7" s="131" t="s">
        <v>8</v>
      </c>
      <c r="H7" s="132" t="s">
        <v>9</v>
      </c>
      <c r="I7" s="25" t="s">
        <v>113</v>
      </c>
      <c r="J7" s="25" t="s">
        <v>114</v>
      </c>
      <c r="K7" s="25" t="s">
        <v>115</v>
      </c>
      <c r="L7" s="25" t="s">
        <v>116</v>
      </c>
      <c r="M7" s="25" t="s">
        <v>117</v>
      </c>
      <c r="N7" s="25" t="s">
        <v>118</v>
      </c>
      <c r="O7" s="25" t="s">
        <v>119</v>
      </c>
      <c r="P7" s="25" t="s">
        <v>120</v>
      </c>
      <c r="Q7" s="25" t="s">
        <v>121</v>
      </c>
      <c r="R7" s="25" t="s">
        <v>122</v>
      </c>
      <c r="S7" s="25" t="s">
        <v>123</v>
      </c>
      <c r="T7" s="25" t="s">
        <v>124</v>
      </c>
      <c r="U7" s="25" t="s">
        <v>125</v>
      </c>
    </row>
    <row r="8" spans="1:21">
      <c r="A8" s="133">
        <v>1</v>
      </c>
      <c r="B8" s="9">
        <v>2</v>
      </c>
      <c r="C8" s="26">
        <v>3</v>
      </c>
      <c r="D8" s="9">
        <v>4</v>
      </c>
      <c r="E8" s="9">
        <v>5</v>
      </c>
      <c r="F8" s="26">
        <v>6</v>
      </c>
      <c r="G8" s="26">
        <v>7</v>
      </c>
      <c r="H8" s="27">
        <v>8</v>
      </c>
      <c r="I8" s="28">
        <v>9</v>
      </c>
      <c r="J8" s="28">
        <v>10</v>
      </c>
      <c r="K8" s="28">
        <v>11</v>
      </c>
      <c r="L8" s="28">
        <v>12</v>
      </c>
      <c r="M8" s="29">
        <v>13</v>
      </c>
      <c r="N8" s="28">
        <v>14</v>
      </c>
      <c r="O8" s="29">
        <v>15</v>
      </c>
      <c r="P8" s="28">
        <v>16</v>
      </c>
      <c r="Q8" s="29">
        <v>13</v>
      </c>
      <c r="R8" s="28">
        <v>14</v>
      </c>
      <c r="S8" s="29">
        <v>15</v>
      </c>
      <c r="T8" s="28">
        <v>16</v>
      </c>
      <c r="U8" s="157">
        <v>17</v>
      </c>
    </row>
    <row r="9" spans="1:21" ht="38.25">
      <c r="A9" s="133"/>
      <c r="B9" s="11" t="s">
        <v>10</v>
      </c>
      <c r="C9" s="26"/>
      <c r="D9" s="12"/>
      <c r="E9" s="12"/>
      <c r="F9" s="26"/>
      <c r="G9" s="26"/>
      <c r="H9" s="30"/>
      <c r="I9" s="31"/>
      <c r="J9" s="31"/>
      <c r="K9" s="31"/>
      <c r="L9" s="31"/>
      <c r="M9" s="32"/>
      <c r="N9" s="33"/>
      <c r="O9" s="33"/>
      <c r="P9" s="33"/>
      <c r="Q9" s="33"/>
      <c r="R9" s="33"/>
      <c r="S9" s="33"/>
      <c r="T9" s="33"/>
      <c r="U9" s="33"/>
    </row>
    <row r="10" spans="1:21">
      <c r="A10" s="133"/>
      <c r="B10" s="11" t="s">
        <v>11</v>
      </c>
      <c r="C10" s="26"/>
      <c r="D10" s="12"/>
      <c r="E10" s="12"/>
      <c r="F10" s="26"/>
      <c r="G10" s="26"/>
      <c r="H10" s="30"/>
      <c r="I10" s="31"/>
      <c r="J10" s="31"/>
      <c r="K10" s="31"/>
      <c r="L10" s="31"/>
      <c r="M10" s="32"/>
      <c r="N10" s="33"/>
      <c r="O10" s="33"/>
      <c r="P10" s="33"/>
      <c r="Q10" s="33"/>
      <c r="R10" s="33"/>
      <c r="S10" s="33"/>
      <c r="T10" s="33"/>
      <c r="U10" s="33"/>
    </row>
    <row r="11" spans="1:21" ht="25.5">
      <c r="A11" s="133" t="s">
        <v>173</v>
      </c>
      <c r="B11" s="12" t="s">
        <v>12</v>
      </c>
      <c r="C11" s="26" t="s">
        <v>13</v>
      </c>
      <c r="D11" s="12" t="s">
        <v>14</v>
      </c>
      <c r="E11" s="34">
        <v>54.3</v>
      </c>
      <c r="F11" s="35">
        <f>SUM(E11*156/100)</f>
        <v>84.707999999999998</v>
      </c>
      <c r="G11" s="35">
        <v>218.21</v>
      </c>
      <c r="H11" s="36">
        <f t="shared" ref="H11:H21" si="0">SUM(F11*G11/1000)</f>
        <v>18.484132679999998</v>
      </c>
      <c r="I11" s="37">
        <f>F11/12*G11</f>
        <v>1540.3443900000002</v>
      </c>
      <c r="J11" s="37">
        <f>F11/12*G11</f>
        <v>1540.3443900000002</v>
      </c>
      <c r="K11" s="37">
        <f>F11/12*G11</f>
        <v>1540.3443900000002</v>
      </c>
      <c r="L11" s="37">
        <f>F11/12*G11</f>
        <v>1540.3443900000002</v>
      </c>
      <c r="M11" s="37">
        <f>F11/12*G11</f>
        <v>1540.3443900000002</v>
      </c>
      <c r="N11" s="37">
        <f>F11/12*G11</f>
        <v>1540.3443900000002</v>
      </c>
      <c r="O11" s="37">
        <f>F11/12*G11</f>
        <v>1540.3443900000002</v>
      </c>
      <c r="P11" s="37">
        <f>F11/12*G11</f>
        <v>1540.3443900000002</v>
      </c>
      <c r="Q11" s="37">
        <f>F11/12*G11</f>
        <v>1540.3443900000002</v>
      </c>
      <c r="R11" s="37">
        <f>F11/12*G11</f>
        <v>1540.3443900000002</v>
      </c>
      <c r="S11" s="37">
        <f>F11/12*G11</f>
        <v>1540.3443900000002</v>
      </c>
      <c r="T11" s="37">
        <f>F11/12*G11</f>
        <v>1540.3443900000002</v>
      </c>
      <c r="U11" s="37">
        <f>SUM(I11:T11)</f>
        <v>18484.132680000002</v>
      </c>
    </row>
    <row r="12" spans="1:21" ht="25.5">
      <c r="A12" s="133" t="s">
        <v>173</v>
      </c>
      <c r="B12" s="12" t="s">
        <v>138</v>
      </c>
      <c r="C12" s="26" t="s">
        <v>13</v>
      </c>
      <c r="D12" s="12" t="s">
        <v>15</v>
      </c>
      <c r="E12" s="34">
        <v>108.4</v>
      </c>
      <c r="F12" s="35">
        <f>SUM(E12*104/100)</f>
        <v>112.736</v>
      </c>
      <c r="G12" s="35">
        <v>218.21</v>
      </c>
      <c r="H12" s="36">
        <f t="shared" si="0"/>
        <v>24.600122560000003</v>
      </c>
      <c r="I12" s="37">
        <f>F12/12*G12</f>
        <v>2050.0102133333335</v>
      </c>
      <c r="J12" s="37">
        <f>F12/12*G12</f>
        <v>2050.0102133333335</v>
      </c>
      <c r="K12" s="37">
        <f t="shared" ref="K12:K13" si="1">F12/12*G12</f>
        <v>2050.0102133333335</v>
      </c>
      <c r="L12" s="37">
        <f t="shared" ref="L12:L13" si="2">F12/12*G12</f>
        <v>2050.0102133333335</v>
      </c>
      <c r="M12" s="37">
        <f t="shared" ref="M12:M13" si="3">F12/12*G12</f>
        <v>2050.0102133333335</v>
      </c>
      <c r="N12" s="37">
        <f t="shared" ref="N12:N13" si="4">F12/12*G12</f>
        <v>2050.0102133333335</v>
      </c>
      <c r="O12" s="37">
        <f t="shared" ref="O12:O13" si="5">F12/12*G12</f>
        <v>2050.0102133333335</v>
      </c>
      <c r="P12" s="37">
        <f t="shared" ref="P12:P13" si="6">F12/12*G12</f>
        <v>2050.0102133333335</v>
      </c>
      <c r="Q12" s="37">
        <f t="shared" ref="Q12:Q13" si="7">F12/12*G12</f>
        <v>2050.0102133333335</v>
      </c>
      <c r="R12" s="37">
        <f t="shared" ref="R12:R13" si="8">F12/12*G12</f>
        <v>2050.0102133333335</v>
      </c>
      <c r="S12" s="37">
        <f t="shared" ref="S12:S13" si="9">F12/12*G12</f>
        <v>2050.0102133333335</v>
      </c>
      <c r="T12" s="37">
        <f t="shared" ref="T12:T13" si="10">F12/12*G12</f>
        <v>2050.0102133333335</v>
      </c>
      <c r="U12" s="37">
        <f t="shared" ref="U12:U21" si="11">SUM(I12:T12)</f>
        <v>24600.122560000007</v>
      </c>
    </row>
    <row r="13" spans="1:21" ht="25.5">
      <c r="A13" s="133" t="s">
        <v>174</v>
      </c>
      <c r="B13" s="12" t="s">
        <v>139</v>
      </c>
      <c r="C13" s="26" t="s">
        <v>13</v>
      </c>
      <c r="D13" s="12" t="s">
        <v>16</v>
      </c>
      <c r="E13" s="34">
        <f>SUM(E11+E12)</f>
        <v>162.69999999999999</v>
      </c>
      <c r="F13" s="35">
        <f>SUM(E13*24/100)</f>
        <v>39.047999999999995</v>
      </c>
      <c r="G13" s="35">
        <v>627.77</v>
      </c>
      <c r="H13" s="36">
        <f t="shared" si="0"/>
        <v>24.513162959999995</v>
      </c>
      <c r="I13" s="37">
        <f>F13/12*G13</f>
        <v>2042.7635799999996</v>
      </c>
      <c r="J13" s="37">
        <f>F13/12*G13</f>
        <v>2042.7635799999996</v>
      </c>
      <c r="K13" s="37">
        <f t="shared" si="1"/>
        <v>2042.7635799999996</v>
      </c>
      <c r="L13" s="37">
        <f t="shared" si="2"/>
        <v>2042.7635799999996</v>
      </c>
      <c r="M13" s="37">
        <f t="shared" si="3"/>
        <v>2042.7635799999996</v>
      </c>
      <c r="N13" s="37">
        <f t="shared" si="4"/>
        <v>2042.7635799999996</v>
      </c>
      <c r="O13" s="37">
        <f t="shared" si="5"/>
        <v>2042.7635799999996</v>
      </c>
      <c r="P13" s="37">
        <f t="shared" si="6"/>
        <v>2042.7635799999996</v>
      </c>
      <c r="Q13" s="37">
        <f t="shared" si="7"/>
        <v>2042.7635799999996</v>
      </c>
      <c r="R13" s="37">
        <f t="shared" si="8"/>
        <v>2042.7635799999996</v>
      </c>
      <c r="S13" s="37">
        <f t="shared" si="9"/>
        <v>2042.7635799999996</v>
      </c>
      <c r="T13" s="37">
        <f t="shared" si="10"/>
        <v>2042.7635799999996</v>
      </c>
      <c r="U13" s="37">
        <f t="shared" si="11"/>
        <v>24513.162959999991</v>
      </c>
    </row>
    <row r="14" spans="1:21">
      <c r="A14" s="133" t="s">
        <v>175</v>
      </c>
      <c r="B14" s="12" t="s">
        <v>17</v>
      </c>
      <c r="C14" s="26" t="s">
        <v>18</v>
      </c>
      <c r="D14" s="12" t="s">
        <v>96</v>
      </c>
      <c r="E14" s="34">
        <v>15.3</v>
      </c>
      <c r="F14" s="35">
        <f>SUM(E14/10)</f>
        <v>1.53</v>
      </c>
      <c r="G14" s="35">
        <v>211.74</v>
      </c>
      <c r="H14" s="36">
        <f t="shared" si="0"/>
        <v>0.32396219999999998</v>
      </c>
      <c r="I14" s="37">
        <v>0</v>
      </c>
      <c r="J14" s="37">
        <v>0</v>
      </c>
      <c r="K14" s="37">
        <v>0</v>
      </c>
      <c r="L14" s="37">
        <v>0</v>
      </c>
      <c r="M14" s="37">
        <f>F14/2*G14</f>
        <v>161.9811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37">
        <f t="shared" si="11"/>
        <v>161.9811</v>
      </c>
    </row>
    <row r="15" spans="1:21">
      <c r="A15" s="133" t="s">
        <v>176</v>
      </c>
      <c r="B15" s="12" t="s">
        <v>102</v>
      </c>
      <c r="C15" s="26" t="s">
        <v>22</v>
      </c>
      <c r="D15" s="12" t="s">
        <v>96</v>
      </c>
      <c r="E15" s="40">
        <v>4.5</v>
      </c>
      <c r="F15" s="41">
        <v>0.05</v>
      </c>
      <c r="G15" s="35">
        <v>484.94</v>
      </c>
      <c r="H15" s="36">
        <f t="shared" si="0"/>
        <v>2.4247000000000001E-2</v>
      </c>
      <c r="I15" s="37">
        <v>0</v>
      </c>
      <c r="J15" s="37">
        <v>0</v>
      </c>
      <c r="K15" s="37">
        <v>0</v>
      </c>
      <c r="L15" s="37">
        <v>0</v>
      </c>
      <c r="M15" s="37">
        <f>F15*G15</f>
        <v>24.247</v>
      </c>
      <c r="N15" s="37">
        <v>0</v>
      </c>
      <c r="O15" s="37">
        <v>0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7">
        <f t="shared" si="11"/>
        <v>24.247</v>
      </c>
    </row>
    <row r="16" spans="1:21">
      <c r="A16" s="133" t="s">
        <v>177</v>
      </c>
      <c r="B16" s="12" t="s">
        <v>19</v>
      </c>
      <c r="C16" s="26" t="s">
        <v>13</v>
      </c>
      <c r="D16" s="12" t="s">
        <v>49</v>
      </c>
      <c r="E16" s="34">
        <v>19.62</v>
      </c>
      <c r="F16" s="35">
        <f>SUM(E16*12/100)</f>
        <v>2.3544</v>
      </c>
      <c r="G16" s="35">
        <v>271.12</v>
      </c>
      <c r="H16" s="36">
        <f t="shared" si="0"/>
        <v>0.63832492799999996</v>
      </c>
      <c r="I16" s="37">
        <v>0</v>
      </c>
      <c r="J16" s="37">
        <v>0</v>
      </c>
      <c r="K16" s="37">
        <v>0</v>
      </c>
      <c r="L16" s="37">
        <v>0</v>
      </c>
      <c r="M16" s="37">
        <f>F16/2*G16</f>
        <v>319.162464</v>
      </c>
      <c r="N16" s="37">
        <v>0</v>
      </c>
      <c r="O16" s="37">
        <v>0</v>
      </c>
      <c r="P16" s="37">
        <v>0</v>
      </c>
      <c r="Q16" s="37">
        <f>F16/2*G16</f>
        <v>319.162464</v>
      </c>
      <c r="R16" s="37">
        <v>0</v>
      </c>
      <c r="S16" s="37">
        <v>0</v>
      </c>
      <c r="T16" s="37">
        <v>0</v>
      </c>
      <c r="U16" s="37">
        <f t="shared" si="11"/>
        <v>638.324928</v>
      </c>
    </row>
    <row r="17" spans="1:21">
      <c r="A17" s="133" t="s">
        <v>178</v>
      </c>
      <c r="B17" s="12" t="s">
        <v>20</v>
      </c>
      <c r="C17" s="26" t="s">
        <v>13</v>
      </c>
      <c r="D17" s="12" t="s">
        <v>49</v>
      </c>
      <c r="E17" s="34">
        <v>8.68</v>
      </c>
      <c r="F17" s="35">
        <f>SUM(E17*12/100)</f>
        <v>1.0415999999999999</v>
      </c>
      <c r="G17" s="35">
        <v>268.92</v>
      </c>
      <c r="H17" s="36">
        <f t="shared" si="0"/>
        <v>0.28010707199999996</v>
      </c>
      <c r="I17" s="37">
        <v>0</v>
      </c>
      <c r="J17" s="37">
        <v>0</v>
      </c>
      <c r="K17" s="37">
        <v>0</v>
      </c>
      <c r="L17" s="37">
        <v>0</v>
      </c>
      <c r="M17" s="37">
        <f>F17/2*G17</f>
        <v>140.05353599999998</v>
      </c>
      <c r="N17" s="37">
        <v>0</v>
      </c>
      <c r="O17" s="37">
        <v>0</v>
      </c>
      <c r="P17" s="37">
        <v>0</v>
      </c>
      <c r="Q17" s="37">
        <f>F17/2*G17</f>
        <v>140.05353599999998</v>
      </c>
      <c r="R17" s="37">
        <v>0</v>
      </c>
      <c r="S17" s="37">
        <v>0</v>
      </c>
      <c r="T17" s="37">
        <v>0</v>
      </c>
      <c r="U17" s="37">
        <f t="shared" si="11"/>
        <v>280.10707199999996</v>
      </c>
    </row>
    <row r="18" spans="1:21">
      <c r="A18" s="133" t="s">
        <v>179</v>
      </c>
      <c r="B18" s="12" t="s">
        <v>21</v>
      </c>
      <c r="C18" s="26" t="s">
        <v>22</v>
      </c>
      <c r="D18" s="12" t="s">
        <v>96</v>
      </c>
      <c r="E18" s="34">
        <v>215</v>
      </c>
      <c r="F18" s="35">
        <f>SUM(E18/100)</f>
        <v>2.15</v>
      </c>
      <c r="G18" s="35">
        <v>335.05</v>
      </c>
      <c r="H18" s="36">
        <f t="shared" si="0"/>
        <v>0.72035749999999998</v>
      </c>
      <c r="I18" s="37">
        <v>0</v>
      </c>
      <c r="J18" s="37">
        <v>0</v>
      </c>
      <c r="K18" s="37">
        <v>0</v>
      </c>
      <c r="L18" s="37">
        <v>0</v>
      </c>
      <c r="M18" s="37">
        <f t="shared" ref="M18:M20" si="12">F18*G18</f>
        <v>720.35749999999996</v>
      </c>
      <c r="N18" s="37">
        <v>0</v>
      </c>
      <c r="O18" s="37">
        <v>0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7">
        <f t="shared" si="11"/>
        <v>720.35749999999996</v>
      </c>
    </row>
    <row r="19" spans="1:21">
      <c r="A19" s="133" t="s">
        <v>180</v>
      </c>
      <c r="B19" s="12" t="s">
        <v>23</v>
      </c>
      <c r="C19" s="26" t="s">
        <v>22</v>
      </c>
      <c r="D19" s="12" t="s">
        <v>96</v>
      </c>
      <c r="E19" s="39">
        <v>17.64</v>
      </c>
      <c r="F19" s="35">
        <f>SUM(E19/100)</f>
        <v>0.1764</v>
      </c>
      <c r="G19" s="35">
        <v>55.1</v>
      </c>
      <c r="H19" s="36">
        <f t="shared" si="0"/>
        <v>9.7196399999999999E-3</v>
      </c>
      <c r="I19" s="37">
        <v>0</v>
      </c>
      <c r="J19" s="37">
        <v>0</v>
      </c>
      <c r="K19" s="37">
        <v>0</v>
      </c>
      <c r="L19" s="37">
        <v>0</v>
      </c>
      <c r="M19" s="37">
        <f t="shared" si="12"/>
        <v>9.7196400000000001</v>
      </c>
      <c r="N19" s="37">
        <v>0</v>
      </c>
      <c r="O19" s="37">
        <v>0</v>
      </c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37">
        <f t="shared" si="11"/>
        <v>9.7196400000000001</v>
      </c>
    </row>
    <row r="20" spans="1:21">
      <c r="A20" s="133" t="s">
        <v>181</v>
      </c>
      <c r="B20" s="12" t="s">
        <v>24</v>
      </c>
      <c r="C20" s="26" t="s">
        <v>22</v>
      </c>
      <c r="D20" s="12" t="s">
        <v>96</v>
      </c>
      <c r="E20" s="34">
        <v>14.4</v>
      </c>
      <c r="F20" s="35">
        <f>SUM(E20/100)</f>
        <v>0.14400000000000002</v>
      </c>
      <c r="G20" s="35">
        <v>648.04999999999995</v>
      </c>
      <c r="H20" s="36">
        <f t="shared" si="0"/>
        <v>9.3319200000000005E-2</v>
      </c>
      <c r="I20" s="37">
        <v>0</v>
      </c>
      <c r="J20" s="37">
        <v>0</v>
      </c>
      <c r="K20" s="37">
        <v>0</v>
      </c>
      <c r="L20" s="37">
        <v>0</v>
      </c>
      <c r="M20" s="37">
        <f t="shared" si="12"/>
        <v>93.319200000000009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7">
        <f t="shared" si="11"/>
        <v>93.319200000000009</v>
      </c>
    </row>
    <row r="21" spans="1:21" ht="25.5">
      <c r="A21" s="133" t="s">
        <v>182</v>
      </c>
      <c r="B21" s="12" t="s">
        <v>103</v>
      </c>
      <c r="C21" s="26" t="s">
        <v>22</v>
      </c>
      <c r="D21" s="12" t="s">
        <v>96</v>
      </c>
      <c r="E21" s="39">
        <v>9.4499999999999993</v>
      </c>
      <c r="F21" s="35">
        <v>0.09</v>
      </c>
      <c r="G21" s="35">
        <v>268.92</v>
      </c>
      <c r="H21" s="36">
        <f t="shared" si="0"/>
        <v>2.42028E-2</v>
      </c>
      <c r="I21" s="37">
        <v>0</v>
      </c>
      <c r="J21" s="37">
        <v>0</v>
      </c>
      <c r="K21" s="37">
        <v>0</v>
      </c>
      <c r="L21" s="37">
        <v>0</v>
      </c>
      <c r="M21" s="37">
        <f>F21*G21</f>
        <v>24.2028</v>
      </c>
      <c r="N21" s="37">
        <v>0</v>
      </c>
      <c r="O21" s="37">
        <v>0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7">
        <f t="shared" si="11"/>
        <v>24.2028</v>
      </c>
    </row>
    <row r="22" spans="1:21" s="20" customFormat="1">
      <c r="A22" s="134"/>
      <c r="B22" s="21" t="s">
        <v>25</v>
      </c>
      <c r="C22" s="42"/>
      <c r="D22" s="21"/>
      <c r="E22" s="43"/>
      <c r="F22" s="44"/>
      <c r="G22" s="44"/>
      <c r="H22" s="45">
        <f>SUM(H11:H21)</f>
        <v>69.711658540000002</v>
      </c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>
        <f>SUM(U11:U21)</f>
        <v>69549.677439999999</v>
      </c>
    </row>
    <row r="23" spans="1:21">
      <c r="A23" s="133"/>
      <c r="B23" s="13" t="s">
        <v>26</v>
      </c>
      <c r="C23" s="26"/>
      <c r="D23" s="12"/>
      <c r="E23" s="34"/>
      <c r="F23" s="35"/>
      <c r="G23" s="35"/>
      <c r="H23" s="36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</row>
    <row r="24" spans="1:21" ht="25.5" customHeight="1">
      <c r="A24" s="133" t="s">
        <v>183</v>
      </c>
      <c r="B24" s="12" t="s">
        <v>140</v>
      </c>
      <c r="C24" s="26" t="s">
        <v>28</v>
      </c>
      <c r="D24" s="12" t="s">
        <v>27</v>
      </c>
      <c r="E24" s="35">
        <v>288.33999999999997</v>
      </c>
      <c r="F24" s="35">
        <f>SUM(E24*52/1000)</f>
        <v>14.993679999999998</v>
      </c>
      <c r="G24" s="35">
        <v>193.97</v>
      </c>
      <c r="H24" s="36">
        <f t="shared" ref="H24:H32" si="13">SUM(F24*G24/1000)</f>
        <v>2.9083241095999997</v>
      </c>
      <c r="I24" s="37">
        <v>0</v>
      </c>
      <c r="J24" s="37">
        <v>0</v>
      </c>
      <c r="K24" s="37">
        <v>0</v>
      </c>
      <c r="L24" s="37">
        <v>0</v>
      </c>
      <c r="M24" s="37">
        <f>F24/6*G24</f>
        <v>484.7206849333333</v>
      </c>
      <c r="N24" s="37">
        <f>F24/6*G24</f>
        <v>484.7206849333333</v>
      </c>
      <c r="O24" s="37">
        <f>F24/6*G24</f>
        <v>484.7206849333333</v>
      </c>
      <c r="P24" s="37">
        <f>F24/6*G24</f>
        <v>484.7206849333333</v>
      </c>
      <c r="Q24" s="37">
        <f>F24/6*G24</f>
        <v>484.7206849333333</v>
      </c>
      <c r="R24" s="37">
        <f>F24/6*G24</f>
        <v>484.7206849333333</v>
      </c>
      <c r="S24" s="37">
        <v>0</v>
      </c>
      <c r="T24" s="37">
        <v>0</v>
      </c>
      <c r="U24" s="37">
        <f t="shared" ref="U24:U32" si="14">SUM(I24:T24)</f>
        <v>2908.3241095999997</v>
      </c>
    </row>
    <row r="25" spans="1:21" ht="38.25" customHeight="1">
      <c r="A25" s="133" t="s">
        <v>184</v>
      </c>
      <c r="B25" s="12" t="s">
        <v>141</v>
      </c>
      <c r="C25" s="26" t="s">
        <v>28</v>
      </c>
      <c r="D25" s="12" t="s">
        <v>29</v>
      </c>
      <c r="E25" s="35">
        <v>34.200000000000003</v>
      </c>
      <c r="F25" s="35">
        <f>SUM(E25*78/1000)</f>
        <v>2.6676000000000002</v>
      </c>
      <c r="G25" s="35">
        <v>321.82</v>
      </c>
      <c r="H25" s="36">
        <f t="shared" si="13"/>
        <v>0.85848703199999998</v>
      </c>
      <c r="I25" s="37">
        <v>0</v>
      </c>
      <c r="J25" s="37">
        <v>0</v>
      </c>
      <c r="K25" s="37">
        <v>0</v>
      </c>
      <c r="L25" s="37">
        <v>0</v>
      </c>
      <c r="M25" s="37">
        <f t="shared" ref="M25" si="15">F25/6*G25</f>
        <v>143.08117200000001</v>
      </c>
      <c r="N25" s="37">
        <f t="shared" ref="N25:N28" si="16">F25/6*G25</f>
        <v>143.08117200000001</v>
      </c>
      <c r="O25" s="37">
        <f t="shared" ref="O25:O28" si="17">F25/6*G25</f>
        <v>143.08117200000001</v>
      </c>
      <c r="P25" s="37">
        <f t="shared" ref="P25:P28" si="18">F25/6*G25</f>
        <v>143.08117200000001</v>
      </c>
      <c r="Q25" s="37">
        <f t="shared" ref="Q25:Q28" si="19">F25/6*G25</f>
        <v>143.08117200000001</v>
      </c>
      <c r="R25" s="37">
        <f t="shared" ref="R25:R28" si="20">F25/6*G25</f>
        <v>143.08117200000001</v>
      </c>
      <c r="S25" s="37">
        <v>0</v>
      </c>
      <c r="T25" s="37">
        <v>0</v>
      </c>
      <c r="U25" s="37">
        <f t="shared" si="14"/>
        <v>858.48703200000011</v>
      </c>
    </row>
    <row r="26" spans="1:21">
      <c r="A26" s="133" t="s">
        <v>185</v>
      </c>
      <c r="B26" s="12" t="s">
        <v>30</v>
      </c>
      <c r="C26" s="26" t="s">
        <v>28</v>
      </c>
      <c r="D26" s="12" t="s">
        <v>31</v>
      </c>
      <c r="E26" s="35">
        <f>E24</f>
        <v>288.33999999999997</v>
      </c>
      <c r="F26" s="35">
        <f>SUM(E26/1000)</f>
        <v>0.28833999999999999</v>
      </c>
      <c r="G26" s="35">
        <v>3758.28</v>
      </c>
      <c r="H26" s="36">
        <f t="shared" si="13"/>
        <v>1.0836624552</v>
      </c>
      <c r="I26" s="37">
        <v>0</v>
      </c>
      <c r="J26" s="37">
        <v>0</v>
      </c>
      <c r="K26" s="37">
        <v>0</v>
      </c>
      <c r="L26" s="37">
        <v>0</v>
      </c>
      <c r="M26" s="37">
        <f>F26*G26</f>
        <v>1083.6624552000001</v>
      </c>
      <c r="N26" s="37">
        <v>0</v>
      </c>
      <c r="O26" s="37">
        <v>0</v>
      </c>
      <c r="P26" s="37">
        <v>0</v>
      </c>
      <c r="Q26" s="37">
        <v>0</v>
      </c>
      <c r="R26" s="37">
        <v>0</v>
      </c>
      <c r="S26" s="37">
        <v>0</v>
      </c>
      <c r="T26" s="37">
        <v>0</v>
      </c>
      <c r="U26" s="37">
        <f t="shared" si="14"/>
        <v>1083.6624552000001</v>
      </c>
    </row>
    <row r="27" spans="1:21">
      <c r="A27" s="133" t="s">
        <v>186</v>
      </c>
      <c r="B27" s="12" t="s">
        <v>144</v>
      </c>
      <c r="C27" s="26" t="s">
        <v>59</v>
      </c>
      <c r="D27" s="12" t="s">
        <v>34</v>
      </c>
      <c r="E27" s="35">
        <v>3</v>
      </c>
      <c r="F27" s="35">
        <f>E27*155/100</f>
        <v>4.6500000000000004</v>
      </c>
      <c r="G27" s="35">
        <v>1620.15</v>
      </c>
      <c r="H27" s="36">
        <f t="shared" ref="H27:H28" si="21">SUM(F27*G27/1000)</f>
        <v>7.5336975000000015</v>
      </c>
      <c r="I27" s="37">
        <v>0</v>
      </c>
      <c r="J27" s="37">
        <v>0</v>
      </c>
      <c r="K27" s="37">
        <v>0</v>
      </c>
      <c r="L27" s="37">
        <v>0</v>
      </c>
      <c r="M27" s="37">
        <f>F27/6*G27</f>
        <v>1255.61625</v>
      </c>
      <c r="N27" s="37">
        <f t="shared" si="16"/>
        <v>1255.61625</v>
      </c>
      <c r="O27" s="37">
        <f t="shared" si="17"/>
        <v>1255.61625</v>
      </c>
      <c r="P27" s="37">
        <f t="shared" si="18"/>
        <v>1255.61625</v>
      </c>
      <c r="Q27" s="37">
        <f t="shared" si="19"/>
        <v>1255.61625</v>
      </c>
      <c r="R27" s="37">
        <f t="shared" si="20"/>
        <v>1255.61625</v>
      </c>
      <c r="S27" s="37">
        <v>0</v>
      </c>
      <c r="T27" s="37">
        <v>0</v>
      </c>
      <c r="U27" s="37">
        <f t="shared" si="14"/>
        <v>7533.6975000000002</v>
      </c>
    </row>
    <row r="28" spans="1:21">
      <c r="A28" s="133" t="s">
        <v>187</v>
      </c>
      <c r="B28" s="12" t="s">
        <v>32</v>
      </c>
      <c r="C28" s="26" t="s">
        <v>33</v>
      </c>
      <c r="D28" s="12" t="s">
        <v>34</v>
      </c>
      <c r="E28" s="48">
        <f>1/3</f>
        <v>0.33333333333333331</v>
      </c>
      <c r="F28" s="35">
        <f>155/3</f>
        <v>51.666666666666664</v>
      </c>
      <c r="G28" s="35">
        <v>70.540000000000006</v>
      </c>
      <c r="H28" s="36">
        <f t="shared" si="21"/>
        <v>3.6445666666666665</v>
      </c>
      <c r="I28" s="37">
        <v>0</v>
      </c>
      <c r="J28" s="37">
        <v>0</v>
      </c>
      <c r="K28" s="37">
        <v>0</v>
      </c>
      <c r="L28" s="37">
        <v>0</v>
      </c>
      <c r="M28" s="37">
        <f>F28/6*G28</f>
        <v>607.42777777777781</v>
      </c>
      <c r="N28" s="37">
        <f t="shared" si="16"/>
        <v>607.42777777777781</v>
      </c>
      <c r="O28" s="37">
        <f t="shared" si="17"/>
        <v>607.42777777777781</v>
      </c>
      <c r="P28" s="37">
        <f t="shared" si="18"/>
        <v>607.42777777777781</v>
      </c>
      <c r="Q28" s="37">
        <f t="shared" si="19"/>
        <v>607.42777777777781</v>
      </c>
      <c r="R28" s="37">
        <f t="shared" si="20"/>
        <v>607.42777777777781</v>
      </c>
      <c r="S28" s="37">
        <v>0</v>
      </c>
      <c r="T28" s="37">
        <v>0</v>
      </c>
      <c r="U28" s="37">
        <f t="shared" si="14"/>
        <v>3644.5666666666671</v>
      </c>
    </row>
    <row r="29" spans="1:21" ht="12.75" customHeight="1">
      <c r="A29" s="133" t="s">
        <v>188</v>
      </c>
      <c r="B29" s="12" t="s">
        <v>35</v>
      </c>
      <c r="C29" s="26" t="s">
        <v>36</v>
      </c>
      <c r="D29" s="12" t="s">
        <v>37</v>
      </c>
      <c r="E29" s="49">
        <v>0.1</v>
      </c>
      <c r="F29" s="35">
        <f>SUM(E29*365)</f>
        <v>36.5</v>
      </c>
      <c r="G29" s="35">
        <v>182.96</v>
      </c>
      <c r="H29" s="36">
        <f t="shared" si="13"/>
        <v>6.6780400000000002</v>
      </c>
      <c r="I29" s="37">
        <f>F29/12*G29</f>
        <v>556.50333333333333</v>
      </c>
      <c r="J29" s="37">
        <f>F29/12*G29</f>
        <v>556.50333333333333</v>
      </c>
      <c r="K29" s="37">
        <f>F29/12*G29</f>
        <v>556.50333333333333</v>
      </c>
      <c r="L29" s="37">
        <f>F29/12*G29</f>
        <v>556.50333333333333</v>
      </c>
      <c r="M29" s="37">
        <f>F29/12*G29</f>
        <v>556.50333333333333</v>
      </c>
      <c r="N29" s="37">
        <f>F29/12*G29</f>
        <v>556.50333333333333</v>
      </c>
      <c r="O29" s="37">
        <f>F29/12*G29</f>
        <v>556.50333333333333</v>
      </c>
      <c r="P29" s="37">
        <f>F29/12*G29</f>
        <v>556.50333333333333</v>
      </c>
      <c r="Q29" s="37">
        <f>F29/12*G29</f>
        <v>556.50333333333333</v>
      </c>
      <c r="R29" s="37">
        <f>F29/12*G29</f>
        <v>556.50333333333333</v>
      </c>
      <c r="S29" s="37">
        <f>F29/12*G29</f>
        <v>556.50333333333333</v>
      </c>
      <c r="T29" s="37">
        <f>F29/12*G29</f>
        <v>556.50333333333333</v>
      </c>
      <c r="U29" s="37">
        <f t="shared" si="14"/>
        <v>6678.0399999999981</v>
      </c>
    </row>
    <row r="30" spans="1:21" ht="12.75" customHeight="1">
      <c r="A30" s="133" t="s">
        <v>189</v>
      </c>
      <c r="B30" s="12" t="s">
        <v>142</v>
      </c>
      <c r="C30" s="26" t="s">
        <v>36</v>
      </c>
      <c r="D30" s="12" t="s">
        <v>38</v>
      </c>
      <c r="E30" s="34"/>
      <c r="F30" s="35">
        <v>2</v>
      </c>
      <c r="G30" s="35">
        <v>238.07</v>
      </c>
      <c r="H30" s="36">
        <f t="shared" si="13"/>
        <v>0.47614000000000001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v>0</v>
      </c>
      <c r="R30" s="37">
        <v>0</v>
      </c>
      <c r="S30" s="37">
        <v>0</v>
      </c>
      <c r="T30" s="37">
        <v>0</v>
      </c>
      <c r="U30" s="37">
        <f t="shared" si="14"/>
        <v>0</v>
      </c>
    </row>
    <row r="31" spans="1:21" ht="13.5" customHeight="1">
      <c r="A31" s="133" t="s">
        <v>132</v>
      </c>
      <c r="B31" s="12" t="s">
        <v>143</v>
      </c>
      <c r="C31" s="26" t="s">
        <v>39</v>
      </c>
      <c r="D31" s="12" t="s">
        <v>38</v>
      </c>
      <c r="E31" s="34"/>
      <c r="F31" s="35">
        <v>2</v>
      </c>
      <c r="G31" s="35">
        <v>1413.96</v>
      </c>
      <c r="H31" s="36">
        <f t="shared" si="13"/>
        <v>2.8279200000000002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7">
        <v>0</v>
      </c>
      <c r="T31" s="37">
        <v>0</v>
      </c>
      <c r="U31" s="37">
        <f t="shared" si="14"/>
        <v>0</v>
      </c>
    </row>
    <row r="32" spans="1:21">
      <c r="A32" s="133"/>
      <c r="B32" s="50" t="s">
        <v>40</v>
      </c>
      <c r="C32" s="26" t="s">
        <v>41</v>
      </c>
      <c r="D32" s="50" t="s">
        <v>37</v>
      </c>
      <c r="E32" s="34">
        <v>1810.5</v>
      </c>
      <c r="F32" s="35">
        <f>SUM(E32*12)</f>
        <v>21726</v>
      </c>
      <c r="G32" s="35">
        <v>5.25</v>
      </c>
      <c r="H32" s="36">
        <f t="shared" si="13"/>
        <v>114.0615</v>
      </c>
      <c r="I32" s="37">
        <f>F32/12*G32</f>
        <v>9505.125</v>
      </c>
      <c r="J32" s="37">
        <f>F32/12*G32</f>
        <v>9505.125</v>
      </c>
      <c r="K32" s="37">
        <f>F32/12*G32</f>
        <v>9505.125</v>
      </c>
      <c r="L32" s="37">
        <f>F32/12*G32</f>
        <v>9505.125</v>
      </c>
      <c r="M32" s="37">
        <f>F32/12*G32</f>
        <v>9505.125</v>
      </c>
      <c r="N32" s="37">
        <f>F32/12*G32</f>
        <v>9505.125</v>
      </c>
      <c r="O32" s="37">
        <f>F32/12*G32</f>
        <v>9505.125</v>
      </c>
      <c r="P32" s="37">
        <f>F32/12*G32</f>
        <v>9505.125</v>
      </c>
      <c r="Q32" s="37">
        <f t="shared" ref="Q32" si="22">F32/12*G32</f>
        <v>9505.125</v>
      </c>
      <c r="R32" s="37">
        <f t="shared" ref="R32" si="23">F32/12*G32</f>
        <v>9505.125</v>
      </c>
      <c r="S32" s="37">
        <f t="shared" ref="S32" si="24">F32/12*G32</f>
        <v>9505.125</v>
      </c>
      <c r="T32" s="37">
        <f t="shared" ref="T32" si="25">F32/12*G32</f>
        <v>9505.125</v>
      </c>
      <c r="U32" s="37">
        <f t="shared" si="14"/>
        <v>114061.5</v>
      </c>
    </row>
    <row r="33" spans="1:21" s="20" customFormat="1">
      <c r="A33" s="134"/>
      <c r="B33" s="21" t="s">
        <v>25</v>
      </c>
      <c r="C33" s="42"/>
      <c r="D33" s="21"/>
      <c r="E33" s="43"/>
      <c r="F33" s="44"/>
      <c r="G33" s="44"/>
      <c r="H33" s="51">
        <f>SUM(H24:H32)</f>
        <v>140.07233776346666</v>
      </c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>
        <f>SUM(U24:U32)</f>
        <v>136768.27776346667</v>
      </c>
    </row>
    <row r="34" spans="1:21">
      <c r="A34" s="133"/>
      <c r="B34" s="13" t="s">
        <v>43</v>
      </c>
      <c r="C34" s="26"/>
      <c r="D34" s="12"/>
      <c r="E34" s="34"/>
      <c r="F34" s="35"/>
      <c r="G34" s="35"/>
      <c r="H34" s="36" t="s">
        <v>42</v>
      </c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</row>
    <row r="35" spans="1:21" ht="12.75" customHeight="1">
      <c r="A35" s="133" t="s">
        <v>132</v>
      </c>
      <c r="B35" s="14" t="s">
        <v>44</v>
      </c>
      <c r="C35" s="26" t="s">
        <v>39</v>
      </c>
      <c r="D35" s="12"/>
      <c r="E35" s="34"/>
      <c r="F35" s="35">
        <v>2</v>
      </c>
      <c r="G35" s="35">
        <v>1900.37</v>
      </c>
      <c r="H35" s="36">
        <f t="shared" ref="H35:H40" si="26">SUM(F35*G35/1000)</f>
        <v>3.8007399999999998</v>
      </c>
      <c r="I35" s="37">
        <f t="shared" ref="I35:I40" si="27">F35/6*G35</f>
        <v>633.45666666666659</v>
      </c>
      <c r="J35" s="37">
        <f t="shared" ref="J35:J40" si="28">F35/6*G35</f>
        <v>633.45666666666659</v>
      </c>
      <c r="K35" s="37">
        <f>F35/6*G35</f>
        <v>633.45666666666659</v>
      </c>
      <c r="L35" s="37">
        <f>F35/6*G35</f>
        <v>633.45666666666659</v>
      </c>
      <c r="M35" s="37">
        <v>0</v>
      </c>
      <c r="N35" s="37">
        <v>0</v>
      </c>
      <c r="O35" s="37">
        <v>0</v>
      </c>
      <c r="P35" s="37">
        <v>0</v>
      </c>
      <c r="Q35" s="37">
        <v>0</v>
      </c>
      <c r="R35" s="37">
        <v>0</v>
      </c>
      <c r="S35" s="37">
        <f>F35/6*G35</f>
        <v>633.45666666666659</v>
      </c>
      <c r="T35" s="37">
        <f>F35/6*G35</f>
        <v>633.45666666666659</v>
      </c>
      <c r="U35" s="37">
        <f t="shared" ref="U35:U40" si="29">SUM(I35:T35)</f>
        <v>3800.7399999999993</v>
      </c>
    </row>
    <row r="36" spans="1:21" s="2" customFormat="1">
      <c r="A36" s="135" t="s">
        <v>190</v>
      </c>
      <c r="B36" s="14" t="s">
        <v>45</v>
      </c>
      <c r="C36" s="52" t="s">
        <v>46</v>
      </c>
      <c r="D36" s="14" t="s">
        <v>149</v>
      </c>
      <c r="E36" s="53">
        <v>34.200000000000003</v>
      </c>
      <c r="F36" s="53">
        <f>SUM(E36*30/1000)</f>
        <v>1.026</v>
      </c>
      <c r="G36" s="53">
        <v>2616.4899999999998</v>
      </c>
      <c r="H36" s="36">
        <f t="shared" si="26"/>
        <v>2.6845187400000001</v>
      </c>
      <c r="I36" s="54">
        <f t="shared" si="27"/>
        <v>447.41978999999998</v>
      </c>
      <c r="J36" s="54">
        <f t="shared" si="28"/>
        <v>447.41978999999998</v>
      </c>
      <c r="K36" s="37">
        <f>F36/6*G36</f>
        <v>447.41978999999998</v>
      </c>
      <c r="L36" s="37">
        <f t="shared" ref="L36:L40" si="30">F36/6*G36</f>
        <v>447.41978999999998</v>
      </c>
      <c r="M36" s="37">
        <v>0</v>
      </c>
      <c r="N36" s="37">
        <v>0</v>
      </c>
      <c r="O36" s="37">
        <v>0</v>
      </c>
      <c r="P36" s="37">
        <v>0</v>
      </c>
      <c r="Q36" s="37">
        <v>0</v>
      </c>
      <c r="R36" s="37">
        <v>0</v>
      </c>
      <c r="S36" s="37">
        <f t="shared" ref="S36:S40" si="31">F36/6*G36</f>
        <v>447.41978999999998</v>
      </c>
      <c r="T36" s="37">
        <f t="shared" ref="T36:T40" si="32">F36/6*G36</f>
        <v>447.41978999999998</v>
      </c>
      <c r="U36" s="37">
        <f t="shared" si="29"/>
        <v>2684.51874</v>
      </c>
    </row>
    <row r="37" spans="1:21" ht="25.5" customHeight="1">
      <c r="A37" s="133" t="s">
        <v>191</v>
      </c>
      <c r="B37" s="12" t="s">
        <v>145</v>
      </c>
      <c r="C37" s="26" t="s">
        <v>46</v>
      </c>
      <c r="D37" s="12" t="s">
        <v>47</v>
      </c>
      <c r="E37" s="35">
        <f>E36</f>
        <v>34.200000000000003</v>
      </c>
      <c r="F37" s="53">
        <f>SUM(E37*155/1000)</f>
        <v>5.3010000000000002</v>
      </c>
      <c r="G37" s="35">
        <v>436.45</v>
      </c>
      <c r="H37" s="36">
        <f t="shared" si="26"/>
        <v>2.3136214500000003</v>
      </c>
      <c r="I37" s="37">
        <f t="shared" si="27"/>
        <v>385.60357500000003</v>
      </c>
      <c r="J37" s="37">
        <f t="shared" si="28"/>
        <v>385.60357500000003</v>
      </c>
      <c r="K37" s="37">
        <f>F37/6*G37</f>
        <v>385.60357500000003</v>
      </c>
      <c r="L37" s="37">
        <f t="shared" si="30"/>
        <v>385.60357500000003</v>
      </c>
      <c r="M37" s="37">
        <v>0</v>
      </c>
      <c r="N37" s="37">
        <v>0</v>
      </c>
      <c r="O37" s="37">
        <v>0</v>
      </c>
      <c r="P37" s="37">
        <v>0</v>
      </c>
      <c r="Q37" s="37">
        <v>0</v>
      </c>
      <c r="R37" s="37">
        <v>0</v>
      </c>
      <c r="S37" s="37">
        <f t="shared" si="31"/>
        <v>385.60357500000003</v>
      </c>
      <c r="T37" s="37">
        <f t="shared" si="32"/>
        <v>385.60357500000003</v>
      </c>
      <c r="U37" s="37">
        <f t="shared" si="29"/>
        <v>2313.6214500000001</v>
      </c>
    </row>
    <row r="38" spans="1:21" ht="51" customHeight="1">
      <c r="A38" s="133" t="s">
        <v>192</v>
      </c>
      <c r="B38" s="12" t="s">
        <v>146</v>
      </c>
      <c r="C38" s="26" t="s">
        <v>28</v>
      </c>
      <c r="D38" s="12" t="s">
        <v>150</v>
      </c>
      <c r="E38" s="35">
        <f>E37</f>
        <v>34.200000000000003</v>
      </c>
      <c r="F38" s="53">
        <f>SUM(E38*35/1000)</f>
        <v>1.1970000000000001</v>
      </c>
      <c r="G38" s="35">
        <v>7221.21</v>
      </c>
      <c r="H38" s="36">
        <f t="shared" si="26"/>
        <v>8.6437883699999993</v>
      </c>
      <c r="I38" s="37">
        <f t="shared" si="27"/>
        <v>1440.6313950000001</v>
      </c>
      <c r="J38" s="37">
        <f t="shared" si="28"/>
        <v>1440.6313950000001</v>
      </c>
      <c r="K38" s="37">
        <f t="shared" ref="K38:K40" si="33">F38/6*G38</f>
        <v>1440.6313950000001</v>
      </c>
      <c r="L38" s="37">
        <f t="shared" si="30"/>
        <v>1440.6313950000001</v>
      </c>
      <c r="M38" s="37">
        <v>0</v>
      </c>
      <c r="N38" s="37">
        <v>0</v>
      </c>
      <c r="O38" s="37">
        <v>0</v>
      </c>
      <c r="P38" s="37">
        <v>0</v>
      </c>
      <c r="Q38" s="37">
        <v>0</v>
      </c>
      <c r="R38" s="37">
        <v>0</v>
      </c>
      <c r="S38" s="37">
        <f t="shared" si="31"/>
        <v>1440.6313950000001</v>
      </c>
      <c r="T38" s="37">
        <f t="shared" si="32"/>
        <v>1440.6313950000001</v>
      </c>
      <c r="U38" s="37">
        <f t="shared" si="29"/>
        <v>8643.7883700000002</v>
      </c>
    </row>
    <row r="39" spans="1:21" ht="12.75" customHeight="1">
      <c r="A39" s="133" t="s">
        <v>193</v>
      </c>
      <c r="B39" s="12" t="s">
        <v>147</v>
      </c>
      <c r="C39" s="26" t="s">
        <v>28</v>
      </c>
      <c r="D39" s="12" t="s">
        <v>104</v>
      </c>
      <c r="E39" s="35">
        <f>E38</f>
        <v>34.200000000000003</v>
      </c>
      <c r="F39" s="53">
        <f>SUM(E39*20/1000)</f>
        <v>0.68400000000000005</v>
      </c>
      <c r="G39" s="35">
        <v>533.45000000000005</v>
      </c>
      <c r="H39" s="36">
        <f t="shared" si="26"/>
        <v>0.36487980000000003</v>
      </c>
      <c r="I39" s="37">
        <v>0</v>
      </c>
      <c r="J39" s="37">
        <v>0</v>
      </c>
      <c r="K39" s="37">
        <f>F39/2*G39</f>
        <v>182.43990000000002</v>
      </c>
      <c r="L39" s="37">
        <f>F39/2*G39</f>
        <v>182.43990000000002</v>
      </c>
      <c r="M39" s="37">
        <v>0</v>
      </c>
      <c r="N39" s="37">
        <v>0</v>
      </c>
      <c r="O39" s="37">
        <v>0</v>
      </c>
      <c r="P39" s="37">
        <v>0</v>
      </c>
      <c r="Q39" s="37">
        <v>0</v>
      </c>
      <c r="R39" s="37">
        <v>0</v>
      </c>
      <c r="S39" s="37">
        <v>0</v>
      </c>
      <c r="T39" s="37">
        <v>0</v>
      </c>
      <c r="U39" s="37">
        <f t="shared" si="29"/>
        <v>364.87980000000005</v>
      </c>
    </row>
    <row r="40" spans="1:21" s="3" customFormat="1">
      <c r="A40" s="135"/>
      <c r="B40" s="14" t="s">
        <v>148</v>
      </c>
      <c r="C40" s="52" t="s">
        <v>36</v>
      </c>
      <c r="D40" s="14"/>
      <c r="E40" s="49"/>
      <c r="F40" s="53">
        <v>0.5</v>
      </c>
      <c r="G40" s="53">
        <v>992.97</v>
      </c>
      <c r="H40" s="36">
        <f t="shared" si="26"/>
        <v>0.49648500000000001</v>
      </c>
      <c r="I40" s="54">
        <f t="shared" si="27"/>
        <v>82.747500000000002</v>
      </c>
      <c r="J40" s="54">
        <f t="shared" si="28"/>
        <v>82.747500000000002</v>
      </c>
      <c r="K40" s="37">
        <f t="shared" si="33"/>
        <v>82.747500000000002</v>
      </c>
      <c r="L40" s="37">
        <f t="shared" si="30"/>
        <v>82.747500000000002</v>
      </c>
      <c r="M40" s="37">
        <v>0</v>
      </c>
      <c r="N40" s="37">
        <v>0</v>
      </c>
      <c r="O40" s="37">
        <v>0</v>
      </c>
      <c r="P40" s="37">
        <v>0</v>
      </c>
      <c r="Q40" s="37">
        <v>0</v>
      </c>
      <c r="R40" s="37">
        <v>0</v>
      </c>
      <c r="S40" s="37">
        <f t="shared" si="31"/>
        <v>82.747500000000002</v>
      </c>
      <c r="T40" s="37">
        <f t="shared" si="32"/>
        <v>82.747500000000002</v>
      </c>
      <c r="U40" s="37">
        <f t="shared" si="29"/>
        <v>496.48500000000001</v>
      </c>
    </row>
    <row r="41" spans="1:21" s="20" customFormat="1">
      <c r="A41" s="134"/>
      <c r="B41" s="21" t="s">
        <v>25</v>
      </c>
      <c r="C41" s="42"/>
      <c r="D41" s="21"/>
      <c r="E41" s="43"/>
      <c r="F41" s="44" t="s">
        <v>42</v>
      </c>
      <c r="G41" s="44"/>
      <c r="H41" s="51">
        <f>SUM(H35:H40)</f>
        <v>18.304033360000002</v>
      </c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>
        <f>SUM(U35:U40)</f>
        <v>18304.033359999998</v>
      </c>
    </row>
    <row r="42" spans="1:21">
      <c r="A42" s="133"/>
      <c r="B42" s="15" t="s">
        <v>48</v>
      </c>
      <c r="C42" s="26"/>
      <c r="D42" s="12"/>
      <c r="E42" s="34"/>
      <c r="F42" s="35"/>
      <c r="G42" s="35"/>
      <c r="H42" s="36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</row>
    <row r="43" spans="1:21">
      <c r="A43" s="133" t="s">
        <v>194</v>
      </c>
      <c r="B43" s="12" t="s">
        <v>137</v>
      </c>
      <c r="C43" s="26" t="s">
        <v>28</v>
      </c>
      <c r="D43" s="12" t="s">
        <v>49</v>
      </c>
      <c r="E43" s="34">
        <v>1033.2</v>
      </c>
      <c r="F43" s="35">
        <f>SUM(E43*2/1000)</f>
        <v>2.0664000000000002</v>
      </c>
      <c r="G43" s="55">
        <v>1283.46</v>
      </c>
      <c r="H43" s="36">
        <f t="shared" ref="H43:H53" si="34">SUM(F43*G43/1000)</f>
        <v>2.6521417440000006</v>
      </c>
      <c r="I43" s="37">
        <v>0</v>
      </c>
      <c r="J43" s="37">
        <v>0</v>
      </c>
      <c r="K43" s="37">
        <v>0</v>
      </c>
      <c r="L43" s="37">
        <v>0</v>
      </c>
      <c r="M43" s="37">
        <f>F43/2*G43</f>
        <v>1326.0708720000002</v>
      </c>
      <c r="N43" s="37">
        <v>0</v>
      </c>
      <c r="O43" s="37">
        <v>0</v>
      </c>
      <c r="P43" s="37">
        <v>0</v>
      </c>
      <c r="Q43" s="37">
        <f>F43/2*G43</f>
        <v>1326.0708720000002</v>
      </c>
      <c r="R43" s="37">
        <v>0</v>
      </c>
      <c r="S43" s="37">
        <v>0</v>
      </c>
      <c r="T43" s="37">
        <v>0</v>
      </c>
      <c r="U43" s="37">
        <f t="shared" ref="U43:U53" si="35">SUM(I43:T43)</f>
        <v>2652.1417440000005</v>
      </c>
    </row>
    <row r="44" spans="1:21">
      <c r="A44" s="133" t="s">
        <v>195</v>
      </c>
      <c r="B44" s="12" t="s">
        <v>50</v>
      </c>
      <c r="C44" s="26" t="s">
        <v>28</v>
      </c>
      <c r="D44" s="12" t="s">
        <v>49</v>
      </c>
      <c r="E44" s="34">
        <v>19.8</v>
      </c>
      <c r="F44" s="35">
        <f>SUM(E44*2/1000)</f>
        <v>3.9600000000000003E-2</v>
      </c>
      <c r="G44" s="55">
        <v>721.04</v>
      </c>
      <c r="H44" s="36">
        <f t="shared" si="34"/>
        <v>2.8553184000000002E-2</v>
      </c>
      <c r="I44" s="37">
        <v>0</v>
      </c>
      <c r="J44" s="37">
        <v>0</v>
      </c>
      <c r="K44" s="37">
        <v>0</v>
      </c>
      <c r="L44" s="37">
        <v>0</v>
      </c>
      <c r="M44" s="37">
        <f t="shared" ref="M44:M47" si="36">F44/2*G44</f>
        <v>14.276592000000001</v>
      </c>
      <c r="N44" s="37">
        <v>0</v>
      </c>
      <c r="O44" s="37">
        <v>0</v>
      </c>
      <c r="P44" s="37">
        <v>0</v>
      </c>
      <c r="Q44" s="37">
        <f t="shared" ref="Q44:Q47" si="37">F44/2*G44</f>
        <v>14.276592000000001</v>
      </c>
      <c r="R44" s="37">
        <v>0</v>
      </c>
      <c r="S44" s="37">
        <v>0</v>
      </c>
      <c r="T44" s="37">
        <v>0</v>
      </c>
      <c r="U44" s="37">
        <f t="shared" si="35"/>
        <v>28.553184000000002</v>
      </c>
    </row>
    <row r="45" spans="1:21" ht="12.75" customHeight="1">
      <c r="A45" s="133" t="s">
        <v>196</v>
      </c>
      <c r="B45" s="12" t="s">
        <v>51</v>
      </c>
      <c r="C45" s="26" t="s">
        <v>28</v>
      </c>
      <c r="D45" s="12" t="s">
        <v>49</v>
      </c>
      <c r="E45" s="34">
        <v>660.84</v>
      </c>
      <c r="F45" s="35">
        <f>SUM(E45*2/1000)</f>
        <v>1.32168</v>
      </c>
      <c r="G45" s="55">
        <v>1711.28</v>
      </c>
      <c r="H45" s="36">
        <f t="shared" si="34"/>
        <v>2.2617645503999997</v>
      </c>
      <c r="I45" s="37">
        <v>0</v>
      </c>
      <c r="J45" s="37">
        <v>0</v>
      </c>
      <c r="K45" s="37">
        <v>0</v>
      </c>
      <c r="L45" s="37">
        <v>0</v>
      </c>
      <c r="M45" s="37">
        <f t="shared" si="36"/>
        <v>1130.8822751999999</v>
      </c>
      <c r="N45" s="37">
        <v>0</v>
      </c>
      <c r="O45" s="37">
        <v>0</v>
      </c>
      <c r="P45" s="37">
        <v>0</v>
      </c>
      <c r="Q45" s="37">
        <f t="shared" si="37"/>
        <v>1130.8822751999999</v>
      </c>
      <c r="R45" s="37">
        <v>0</v>
      </c>
      <c r="S45" s="37">
        <v>0</v>
      </c>
      <c r="T45" s="37">
        <v>0</v>
      </c>
      <c r="U45" s="37">
        <f t="shared" si="35"/>
        <v>2261.7645503999997</v>
      </c>
    </row>
    <row r="46" spans="1:21">
      <c r="A46" s="133" t="s">
        <v>197</v>
      </c>
      <c r="B46" s="12" t="s">
        <v>52</v>
      </c>
      <c r="C46" s="26" t="s">
        <v>28</v>
      </c>
      <c r="D46" s="12" t="s">
        <v>49</v>
      </c>
      <c r="E46" s="34">
        <v>1156.21</v>
      </c>
      <c r="F46" s="35">
        <f>SUM(E46*2/1000)</f>
        <v>2.3124199999999999</v>
      </c>
      <c r="G46" s="55">
        <v>1179.73</v>
      </c>
      <c r="H46" s="36">
        <f t="shared" si="34"/>
        <v>2.7280312466000001</v>
      </c>
      <c r="I46" s="37">
        <v>0</v>
      </c>
      <c r="J46" s="37">
        <v>0</v>
      </c>
      <c r="K46" s="37">
        <v>0</v>
      </c>
      <c r="L46" s="37">
        <v>0</v>
      </c>
      <c r="M46" s="37">
        <f t="shared" si="36"/>
        <v>1364.0156233</v>
      </c>
      <c r="N46" s="37">
        <v>0</v>
      </c>
      <c r="O46" s="37">
        <v>0</v>
      </c>
      <c r="P46" s="37">
        <v>0</v>
      </c>
      <c r="Q46" s="37">
        <f t="shared" si="37"/>
        <v>1364.0156233</v>
      </c>
      <c r="R46" s="37">
        <v>0</v>
      </c>
      <c r="S46" s="37">
        <v>0</v>
      </c>
      <c r="T46" s="37">
        <v>0</v>
      </c>
      <c r="U46" s="37">
        <f t="shared" si="35"/>
        <v>2728.0312466</v>
      </c>
    </row>
    <row r="47" spans="1:21">
      <c r="A47" s="133" t="s">
        <v>198</v>
      </c>
      <c r="B47" s="12" t="s">
        <v>105</v>
      </c>
      <c r="C47" s="26" t="s">
        <v>106</v>
      </c>
      <c r="D47" s="12" t="s">
        <v>49</v>
      </c>
      <c r="E47" s="34">
        <v>17.14</v>
      </c>
      <c r="F47" s="35">
        <f>SUM(E47*2/100)</f>
        <v>0.34279999999999999</v>
      </c>
      <c r="G47" s="55">
        <v>90.61</v>
      </c>
      <c r="H47" s="36">
        <f t="shared" si="34"/>
        <v>3.1061108E-2</v>
      </c>
      <c r="I47" s="37">
        <v>0</v>
      </c>
      <c r="J47" s="37">
        <v>0</v>
      </c>
      <c r="K47" s="37">
        <v>0</v>
      </c>
      <c r="L47" s="37">
        <v>0</v>
      </c>
      <c r="M47" s="37">
        <f t="shared" si="36"/>
        <v>15.530554</v>
      </c>
      <c r="N47" s="37">
        <v>0</v>
      </c>
      <c r="O47" s="37">
        <v>0</v>
      </c>
      <c r="P47" s="37">
        <v>0</v>
      </c>
      <c r="Q47" s="37">
        <f t="shared" si="37"/>
        <v>15.530554</v>
      </c>
      <c r="R47" s="37">
        <v>0</v>
      </c>
      <c r="S47" s="37">
        <v>0</v>
      </c>
      <c r="T47" s="37">
        <v>0</v>
      </c>
      <c r="U47" s="37">
        <f t="shared" si="35"/>
        <v>31.061108000000001</v>
      </c>
    </row>
    <row r="48" spans="1:21" ht="25.5">
      <c r="A48" s="133" t="s">
        <v>199</v>
      </c>
      <c r="B48" s="12" t="s">
        <v>53</v>
      </c>
      <c r="C48" s="26" t="s">
        <v>28</v>
      </c>
      <c r="D48" s="12" t="s">
        <v>54</v>
      </c>
      <c r="E48" s="34">
        <v>823</v>
      </c>
      <c r="F48" s="35">
        <f>SUM(E48*5/1000)</f>
        <v>4.1150000000000002</v>
      </c>
      <c r="G48" s="55">
        <v>1711.28</v>
      </c>
      <c r="H48" s="36">
        <f t="shared" si="34"/>
        <v>7.0419171999999994</v>
      </c>
      <c r="I48" s="37">
        <f>F48/5*G48</f>
        <v>1408.3834400000001</v>
      </c>
      <c r="J48" s="37">
        <f>F48/5*G48</f>
        <v>1408.3834400000001</v>
      </c>
      <c r="K48" s="37">
        <v>0</v>
      </c>
      <c r="L48" s="37">
        <v>0</v>
      </c>
      <c r="M48" s="37">
        <f>F48/5*G48</f>
        <v>1408.3834400000001</v>
      </c>
      <c r="N48" s="37">
        <v>0</v>
      </c>
      <c r="O48" s="37">
        <v>0</v>
      </c>
      <c r="P48" s="37">
        <v>0</v>
      </c>
      <c r="Q48" s="37">
        <f>F48/5*G48</f>
        <v>1408.3834400000001</v>
      </c>
      <c r="R48" s="37">
        <v>0</v>
      </c>
      <c r="S48" s="37">
        <v>0</v>
      </c>
      <c r="T48" s="37">
        <f>F48/5*G48</f>
        <v>1408.3834400000001</v>
      </c>
      <c r="U48" s="37">
        <f t="shared" si="35"/>
        <v>7041.9171999999999</v>
      </c>
    </row>
    <row r="49" spans="1:21" ht="38.25" customHeight="1">
      <c r="A49" s="133" t="s">
        <v>200</v>
      </c>
      <c r="B49" s="12" t="s">
        <v>55</v>
      </c>
      <c r="C49" s="26" t="s">
        <v>28</v>
      </c>
      <c r="D49" s="12" t="s">
        <v>49</v>
      </c>
      <c r="E49" s="34">
        <v>823</v>
      </c>
      <c r="F49" s="35">
        <f>SUM(E49*2/1000)</f>
        <v>1.6459999999999999</v>
      </c>
      <c r="G49" s="55">
        <v>1510.06</v>
      </c>
      <c r="H49" s="36">
        <f t="shared" si="34"/>
        <v>2.48555876</v>
      </c>
      <c r="I49" s="37">
        <v>0</v>
      </c>
      <c r="J49" s="37">
        <v>0</v>
      </c>
      <c r="K49" s="37">
        <v>0</v>
      </c>
      <c r="L49" s="37">
        <v>0</v>
      </c>
      <c r="M49" s="37">
        <f>F49/2*G49</f>
        <v>1242.7793799999999</v>
      </c>
      <c r="N49" s="37">
        <v>0</v>
      </c>
      <c r="O49" s="37">
        <v>0</v>
      </c>
      <c r="P49" s="37">
        <v>0</v>
      </c>
      <c r="Q49" s="37">
        <v>0</v>
      </c>
      <c r="R49" s="37">
        <f>F49/2*G49</f>
        <v>1242.7793799999999</v>
      </c>
      <c r="S49" s="37">
        <v>0</v>
      </c>
      <c r="T49" s="37">
        <v>0</v>
      </c>
      <c r="U49" s="37">
        <f t="shared" si="35"/>
        <v>2485.5587599999999</v>
      </c>
    </row>
    <row r="50" spans="1:21" ht="25.5" customHeight="1">
      <c r="A50" s="133" t="s">
        <v>201</v>
      </c>
      <c r="B50" s="12" t="s">
        <v>56</v>
      </c>
      <c r="C50" s="26" t="s">
        <v>57</v>
      </c>
      <c r="D50" s="12" t="s">
        <v>49</v>
      </c>
      <c r="E50" s="34">
        <v>9</v>
      </c>
      <c r="F50" s="35">
        <f>SUM(E50*2/100)</f>
        <v>0.18</v>
      </c>
      <c r="G50" s="55">
        <v>3850.4</v>
      </c>
      <c r="H50" s="36">
        <f t="shared" si="34"/>
        <v>0.69307200000000002</v>
      </c>
      <c r="I50" s="37">
        <v>0</v>
      </c>
      <c r="J50" s="37">
        <v>0</v>
      </c>
      <c r="K50" s="37">
        <v>0</v>
      </c>
      <c r="L50" s="37">
        <v>0</v>
      </c>
      <c r="M50" s="37">
        <f>F50/2*G50</f>
        <v>346.536</v>
      </c>
      <c r="N50" s="37">
        <v>0</v>
      </c>
      <c r="O50" s="37">
        <v>0</v>
      </c>
      <c r="P50" s="37">
        <v>0</v>
      </c>
      <c r="Q50" s="37">
        <v>0</v>
      </c>
      <c r="R50" s="37">
        <f>F50/2*G50</f>
        <v>346.536</v>
      </c>
      <c r="S50" s="37">
        <v>0</v>
      </c>
      <c r="T50" s="37">
        <v>0</v>
      </c>
      <c r="U50" s="37">
        <f t="shared" si="35"/>
        <v>693.072</v>
      </c>
    </row>
    <row r="51" spans="1:21">
      <c r="A51" s="133" t="s">
        <v>202</v>
      </c>
      <c r="B51" s="12" t="s">
        <v>58</v>
      </c>
      <c r="C51" s="26" t="s">
        <v>59</v>
      </c>
      <c r="D51" s="12" t="s">
        <v>49</v>
      </c>
      <c r="E51" s="34">
        <v>1</v>
      </c>
      <c r="F51" s="35">
        <v>0.02</v>
      </c>
      <c r="G51" s="55">
        <v>7033.13</v>
      </c>
      <c r="H51" s="36">
        <f t="shared" si="34"/>
        <v>0.1406626</v>
      </c>
      <c r="I51" s="37">
        <v>0</v>
      </c>
      <c r="J51" s="37">
        <v>0</v>
      </c>
      <c r="K51" s="37">
        <v>0</v>
      </c>
      <c r="L51" s="37">
        <v>0</v>
      </c>
      <c r="M51" s="37">
        <f>F51/2*G51</f>
        <v>70.331299999999999</v>
      </c>
      <c r="N51" s="37">
        <v>0</v>
      </c>
      <c r="O51" s="37">
        <v>0</v>
      </c>
      <c r="P51" s="37">
        <v>0</v>
      </c>
      <c r="Q51" s="37">
        <v>0</v>
      </c>
      <c r="R51" s="37">
        <f>F51/2*G51</f>
        <v>70.331299999999999</v>
      </c>
      <c r="S51" s="37">
        <v>0</v>
      </c>
      <c r="T51" s="37">
        <v>0</v>
      </c>
      <c r="U51" s="37">
        <f t="shared" si="35"/>
        <v>140.6626</v>
      </c>
    </row>
    <row r="52" spans="1:21">
      <c r="A52" s="133" t="s">
        <v>107</v>
      </c>
      <c r="B52" s="12" t="s">
        <v>108</v>
      </c>
      <c r="C52" s="26" t="s">
        <v>33</v>
      </c>
      <c r="D52" s="12" t="s">
        <v>97</v>
      </c>
      <c r="E52" s="34">
        <v>36</v>
      </c>
      <c r="F52" s="35">
        <f>E52*3</f>
        <v>108</v>
      </c>
      <c r="G52" s="55">
        <v>175.6</v>
      </c>
      <c r="H52" s="36">
        <f t="shared" si="34"/>
        <v>18.9648</v>
      </c>
      <c r="I52" s="37">
        <f>E52*G52</f>
        <v>6321.5999999999995</v>
      </c>
      <c r="J52" s="37">
        <v>0</v>
      </c>
      <c r="K52" s="37">
        <v>0</v>
      </c>
      <c r="L52" s="37">
        <v>0</v>
      </c>
      <c r="M52" s="37">
        <v>0</v>
      </c>
      <c r="N52" s="37">
        <f>E52*G52</f>
        <v>6321.5999999999995</v>
      </c>
      <c r="O52" s="37">
        <v>0</v>
      </c>
      <c r="P52" s="37">
        <v>0</v>
      </c>
      <c r="Q52" s="37">
        <v>0</v>
      </c>
      <c r="R52" s="37">
        <f>E52*G52</f>
        <v>6321.5999999999995</v>
      </c>
      <c r="S52" s="37">
        <v>0</v>
      </c>
      <c r="T52" s="37">
        <v>0</v>
      </c>
      <c r="U52" s="37">
        <f t="shared" si="35"/>
        <v>18964.8</v>
      </c>
    </row>
    <row r="53" spans="1:21" ht="13.5" customHeight="1">
      <c r="A53" s="133" t="s">
        <v>61</v>
      </c>
      <c r="B53" s="12" t="s">
        <v>62</v>
      </c>
      <c r="C53" s="26" t="s">
        <v>33</v>
      </c>
      <c r="D53" s="12" t="s">
        <v>97</v>
      </c>
      <c r="E53" s="34">
        <v>36</v>
      </c>
      <c r="F53" s="35">
        <f>SUM(E53)*3</f>
        <v>108</v>
      </c>
      <c r="G53" s="56">
        <v>81.73</v>
      </c>
      <c r="H53" s="36">
        <f t="shared" si="34"/>
        <v>8.8268400000000007</v>
      </c>
      <c r="I53" s="37">
        <f>E53*G53</f>
        <v>2942.28</v>
      </c>
      <c r="J53" s="37">
        <v>0</v>
      </c>
      <c r="K53" s="37">
        <v>0</v>
      </c>
      <c r="L53" s="37">
        <v>0</v>
      </c>
      <c r="M53" s="37">
        <v>0</v>
      </c>
      <c r="N53" s="37">
        <f>E53*G53</f>
        <v>2942.28</v>
      </c>
      <c r="O53" s="37">
        <v>0</v>
      </c>
      <c r="P53" s="37">
        <v>0</v>
      </c>
      <c r="Q53" s="37">
        <v>0</v>
      </c>
      <c r="R53" s="37">
        <f>E53*G53</f>
        <v>2942.28</v>
      </c>
      <c r="S53" s="37">
        <v>0</v>
      </c>
      <c r="T53" s="37">
        <v>0</v>
      </c>
      <c r="U53" s="37">
        <f t="shared" si="35"/>
        <v>8826.84</v>
      </c>
    </row>
    <row r="54" spans="1:21" s="22" customFormat="1">
      <c r="A54" s="136"/>
      <c r="B54" s="21" t="s">
        <v>25</v>
      </c>
      <c r="C54" s="57"/>
      <c r="D54" s="21"/>
      <c r="E54" s="58"/>
      <c r="F54" s="59"/>
      <c r="G54" s="59"/>
      <c r="H54" s="51">
        <f>SUM(H43:H53)</f>
        <v>45.854402393000001</v>
      </c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>
        <f>SUM(U43:U53)</f>
        <v>45854.402392999997</v>
      </c>
    </row>
    <row r="55" spans="1:21">
      <c r="A55" s="133"/>
      <c r="B55" s="13" t="s">
        <v>63</v>
      </c>
      <c r="C55" s="26"/>
      <c r="D55" s="12"/>
      <c r="E55" s="34"/>
      <c r="F55" s="35"/>
      <c r="G55" s="35"/>
      <c r="H55" s="36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</row>
    <row r="56" spans="1:21" ht="38.25">
      <c r="A56" s="158" t="s">
        <v>203</v>
      </c>
      <c r="B56" s="12" t="s">
        <v>151</v>
      </c>
      <c r="C56" s="26" t="s">
        <v>13</v>
      </c>
      <c r="D56" s="12" t="s">
        <v>109</v>
      </c>
      <c r="E56" s="40">
        <v>69.66</v>
      </c>
      <c r="F56" s="55">
        <f>E56*6/100</f>
        <v>4.1795999999999998</v>
      </c>
      <c r="G56" s="53">
        <v>2306.62</v>
      </c>
      <c r="H56" s="36">
        <f>SUM(F56*G56/1000)</f>
        <v>9.6407489519999974</v>
      </c>
      <c r="I56" s="37">
        <f>F56/6*G56</f>
        <v>1606.7914919999998</v>
      </c>
      <c r="J56" s="37">
        <f>F56/6*G56</f>
        <v>1606.7914919999998</v>
      </c>
      <c r="K56" s="37">
        <f>F56/6*G56</f>
        <v>1606.7914919999998</v>
      </c>
      <c r="L56" s="37">
        <f>F56/6*G56</f>
        <v>1606.7914919999998</v>
      </c>
      <c r="M56" s="37">
        <v>0</v>
      </c>
      <c r="N56" s="37">
        <v>0</v>
      </c>
      <c r="O56" s="37">
        <v>0</v>
      </c>
      <c r="P56" s="37">
        <v>0</v>
      </c>
      <c r="Q56" s="37">
        <v>0</v>
      </c>
      <c r="R56" s="37">
        <v>0</v>
      </c>
      <c r="S56" s="37">
        <f>F56/6*G56</f>
        <v>1606.7914919999998</v>
      </c>
      <c r="T56" s="37">
        <f>F56/6*G56</f>
        <v>1606.7914919999998</v>
      </c>
      <c r="U56" s="37">
        <f t="shared" ref="U56:U77" si="38">SUM(I56:T56)</f>
        <v>9640.7489519999999</v>
      </c>
    </row>
    <row r="57" spans="1:21">
      <c r="A57" s="133" t="s">
        <v>132</v>
      </c>
      <c r="B57" s="12" t="s">
        <v>134</v>
      </c>
      <c r="C57" s="26" t="s">
        <v>152</v>
      </c>
      <c r="D57" s="12" t="s">
        <v>38</v>
      </c>
      <c r="E57" s="34"/>
      <c r="F57" s="35">
        <v>2</v>
      </c>
      <c r="G57" s="61">
        <v>1501</v>
      </c>
      <c r="H57" s="36">
        <f>F57*G57/1000</f>
        <v>3.0019999999999998</v>
      </c>
      <c r="I57" s="37">
        <v>0</v>
      </c>
      <c r="J57" s="37">
        <f>G57*2</f>
        <v>3002</v>
      </c>
      <c r="K57" s="37">
        <v>0</v>
      </c>
      <c r="L57" s="37">
        <f>G57</f>
        <v>1501</v>
      </c>
      <c r="M57" s="37">
        <v>0</v>
      </c>
      <c r="N57" s="37">
        <v>0</v>
      </c>
      <c r="O57" s="37">
        <v>0</v>
      </c>
      <c r="P57" s="37">
        <v>0</v>
      </c>
      <c r="Q57" s="37">
        <v>0</v>
      </c>
      <c r="R57" s="37">
        <v>0</v>
      </c>
      <c r="S57" s="37">
        <v>0</v>
      </c>
      <c r="T57" s="37">
        <v>0</v>
      </c>
      <c r="U57" s="37">
        <f t="shared" si="38"/>
        <v>4503</v>
      </c>
    </row>
    <row r="58" spans="1:21" ht="12.75" customHeight="1">
      <c r="A58" s="137"/>
      <c r="B58" s="24" t="s">
        <v>64</v>
      </c>
      <c r="C58" s="62"/>
      <c r="D58" s="23"/>
      <c r="E58" s="63"/>
      <c r="F58" s="64"/>
      <c r="G58" s="65"/>
      <c r="H58" s="66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</row>
    <row r="59" spans="1:21" ht="12.75" customHeight="1">
      <c r="A59" s="133" t="s">
        <v>204</v>
      </c>
      <c r="B59" s="23" t="s">
        <v>110</v>
      </c>
      <c r="C59" s="62" t="s">
        <v>22</v>
      </c>
      <c r="D59" s="23" t="s">
        <v>31</v>
      </c>
      <c r="E59" s="63">
        <v>408</v>
      </c>
      <c r="F59" s="64">
        <f>E59/100</f>
        <v>4.08</v>
      </c>
      <c r="G59" s="67">
        <v>987.51</v>
      </c>
      <c r="H59" s="66">
        <f>G59*F59/1000</f>
        <v>4.0290408000000006</v>
      </c>
      <c r="I59" s="37">
        <v>0</v>
      </c>
      <c r="J59" s="37">
        <v>0</v>
      </c>
      <c r="K59" s="37">
        <v>0</v>
      </c>
      <c r="L59" s="37">
        <v>0</v>
      </c>
      <c r="M59" s="37">
        <v>0</v>
      </c>
      <c r="N59" s="37">
        <v>0</v>
      </c>
      <c r="O59" s="37">
        <v>0</v>
      </c>
      <c r="P59" s="37">
        <v>0</v>
      </c>
      <c r="Q59" s="37">
        <v>0</v>
      </c>
      <c r="R59" s="37">
        <v>0</v>
      </c>
      <c r="S59" s="37">
        <v>0</v>
      </c>
      <c r="T59" s="37">
        <v>0</v>
      </c>
      <c r="U59" s="37">
        <f t="shared" si="38"/>
        <v>0</v>
      </c>
    </row>
    <row r="60" spans="1:21">
      <c r="A60" s="137"/>
      <c r="B60" s="16" t="s">
        <v>65</v>
      </c>
      <c r="C60" s="62"/>
      <c r="D60" s="23"/>
      <c r="E60" s="63"/>
      <c r="F60" s="64"/>
      <c r="G60" s="64"/>
      <c r="H60" s="66" t="s">
        <v>42</v>
      </c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</row>
    <row r="61" spans="1:21" ht="12.75" customHeight="1">
      <c r="A61" s="68" t="s">
        <v>205</v>
      </c>
      <c r="B61" s="17" t="s">
        <v>66</v>
      </c>
      <c r="C61" s="68" t="s">
        <v>60</v>
      </c>
      <c r="D61" s="10" t="s">
        <v>38</v>
      </c>
      <c r="E61" s="40">
        <v>10</v>
      </c>
      <c r="F61" s="35">
        <v>10</v>
      </c>
      <c r="G61" s="55">
        <v>276.74</v>
      </c>
      <c r="H61" s="127">
        <f t="shared" ref="H61:H77" si="39">SUM(F61*G61/1000)</f>
        <v>2.7674000000000003</v>
      </c>
      <c r="I61" s="37">
        <v>0</v>
      </c>
      <c r="J61" s="37">
        <v>0</v>
      </c>
      <c r="K61" s="37">
        <v>0</v>
      </c>
      <c r="L61" s="37">
        <v>0</v>
      </c>
      <c r="M61" s="37">
        <v>0</v>
      </c>
      <c r="N61" s="37">
        <f>G61</f>
        <v>276.74</v>
      </c>
      <c r="O61" s="37">
        <v>0</v>
      </c>
      <c r="P61" s="37">
        <v>0</v>
      </c>
      <c r="Q61" s="37">
        <v>0</v>
      </c>
      <c r="R61" s="37">
        <v>0</v>
      </c>
      <c r="S61" s="37">
        <v>0</v>
      </c>
      <c r="T61" s="37">
        <v>0</v>
      </c>
      <c r="U61" s="37">
        <f t="shared" si="38"/>
        <v>276.74</v>
      </c>
    </row>
    <row r="62" spans="1:21" ht="12.75" customHeight="1">
      <c r="A62" s="68" t="s">
        <v>206</v>
      </c>
      <c r="B62" s="17" t="s">
        <v>67</v>
      </c>
      <c r="C62" s="68" t="s">
        <v>60</v>
      </c>
      <c r="D62" s="10" t="s">
        <v>38</v>
      </c>
      <c r="E62" s="40">
        <v>3</v>
      </c>
      <c r="F62" s="35">
        <v>3</v>
      </c>
      <c r="G62" s="55">
        <v>94.89</v>
      </c>
      <c r="H62" s="127">
        <f t="shared" si="39"/>
        <v>0.28467000000000003</v>
      </c>
      <c r="I62" s="37">
        <v>0</v>
      </c>
      <c r="J62" s="37">
        <v>0</v>
      </c>
      <c r="K62" s="37">
        <v>0</v>
      </c>
      <c r="L62" s="37">
        <v>0</v>
      </c>
      <c r="M62" s="37">
        <v>0</v>
      </c>
      <c r="N62" s="37">
        <v>0</v>
      </c>
      <c r="O62" s="37">
        <v>0</v>
      </c>
      <c r="P62" s="37">
        <v>0</v>
      </c>
      <c r="Q62" s="37">
        <v>0</v>
      </c>
      <c r="R62" s="37">
        <v>0</v>
      </c>
      <c r="S62" s="37">
        <v>0</v>
      </c>
      <c r="T62" s="37">
        <v>0</v>
      </c>
      <c r="U62" s="37">
        <f t="shared" si="38"/>
        <v>0</v>
      </c>
    </row>
    <row r="63" spans="1:21" s="3" customFormat="1">
      <c r="A63" s="69" t="s">
        <v>207</v>
      </c>
      <c r="B63" s="17" t="s">
        <v>68</v>
      </c>
      <c r="C63" s="69" t="s">
        <v>69</v>
      </c>
      <c r="D63" s="10" t="s">
        <v>31</v>
      </c>
      <c r="E63" s="34">
        <v>7508</v>
      </c>
      <c r="F63" s="56">
        <f>SUM(E63/100)</f>
        <v>75.08</v>
      </c>
      <c r="G63" s="55">
        <v>263.99</v>
      </c>
      <c r="H63" s="127">
        <f t="shared" si="39"/>
        <v>19.820369200000002</v>
      </c>
      <c r="I63" s="54">
        <v>0</v>
      </c>
      <c r="J63" s="54">
        <v>0</v>
      </c>
      <c r="K63" s="37">
        <v>0</v>
      </c>
      <c r="L63" s="37">
        <v>0</v>
      </c>
      <c r="M63" s="37">
        <f>F63*G63</f>
        <v>19820.369200000001</v>
      </c>
      <c r="N63" s="37">
        <v>0</v>
      </c>
      <c r="O63" s="37">
        <v>0</v>
      </c>
      <c r="P63" s="37">
        <v>0</v>
      </c>
      <c r="Q63" s="37">
        <v>0</v>
      </c>
      <c r="R63" s="37">
        <v>0</v>
      </c>
      <c r="S63" s="37">
        <v>0</v>
      </c>
      <c r="T63" s="37">
        <v>0</v>
      </c>
      <c r="U63" s="37">
        <f t="shared" si="38"/>
        <v>19820.369200000001</v>
      </c>
    </row>
    <row r="64" spans="1:21" ht="12.75" customHeight="1">
      <c r="A64" s="68" t="s">
        <v>208</v>
      </c>
      <c r="B64" s="17" t="s">
        <v>70</v>
      </c>
      <c r="C64" s="68" t="s">
        <v>71</v>
      </c>
      <c r="D64" s="10" t="s">
        <v>31</v>
      </c>
      <c r="E64" s="34">
        <v>7508</v>
      </c>
      <c r="F64" s="55">
        <f>SUM(E64/1000)</f>
        <v>7.508</v>
      </c>
      <c r="G64" s="55">
        <v>205.57</v>
      </c>
      <c r="H64" s="127">
        <f t="shared" si="39"/>
        <v>1.54341956</v>
      </c>
      <c r="I64" s="37">
        <v>0</v>
      </c>
      <c r="J64" s="37">
        <v>0</v>
      </c>
      <c r="K64" s="37">
        <v>0</v>
      </c>
      <c r="L64" s="37">
        <v>0</v>
      </c>
      <c r="M64" s="37">
        <f t="shared" ref="M64:M67" si="40">F64*G64</f>
        <v>1543.41956</v>
      </c>
      <c r="N64" s="37">
        <v>0</v>
      </c>
      <c r="O64" s="37">
        <v>0</v>
      </c>
      <c r="P64" s="37">
        <v>0</v>
      </c>
      <c r="Q64" s="37">
        <v>0</v>
      </c>
      <c r="R64" s="37">
        <v>0</v>
      </c>
      <c r="S64" s="37">
        <v>0</v>
      </c>
      <c r="T64" s="37">
        <v>0</v>
      </c>
      <c r="U64" s="37">
        <f t="shared" si="38"/>
        <v>1543.41956</v>
      </c>
    </row>
    <row r="65" spans="1:21">
      <c r="A65" s="68" t="s">
        <v>209</v>
      </c>
      <c r="B65" s="17" t="s">
        <v>72</v>
      </c>
      <c r="C65" s="68" t="s">
        <v>73</v>
      </c>
      <c r="D65" s="10" t="s">
        <v>31</v>
      </c>
      <c r="E65" s="34">
        <v>1090</v>
      </c>
      <c r="F65" s="55">
        <f>SUM(E65/100)</f>
        <v>10.9</v>
      </c>
      <c r="G65" s="55">
        <v>2581.5300000000002</v>
      </c>
      <c r="H65" s="127">
        <f t="shared" si="39"/>
        <v>28.138677000000005</v>
      </c>
      <c r="I65" s="37">
        <v>0</v>
      </c>
      <c r="J65" s="37">
        <v>0</v>
      </c>
      <c r="K65" s="37">
        <v>0</v>
      </c>
      <c r="L65" s="37">
        <v>0</v>
      </c>
      <c r="M65" s="37">
        <f t="shared" si="40"/>
        <v>28138.677000000003</v>
      </c>
      <c r="N65" s="37">
        <v>0</v>
      </c>
      <c r="O65" s="37">
        <v>0</v>
      </c>
      <c r="P65" s="37">
        <v>0</v>
      </c>
      <c r="Q65" s="37">
        <v>0</v>
      </c>
      <c r="R65" s="37">
        <v>0</v>
      </c>
      <c r="S65" s="37">
        <v>0</v>
      </c>
      <c r="T65" s="37">
        <v>0</v>
      </c>
      <c r="U65" s="37">
        <f t="shared" si="38"/>
        <v>28138.677000000003</v>
      </c>
    </row>
    <row r="66" spans="1:21">
      <c r="A66" s="68"/>
      <c r="B66" s="18" t="s">
        <v>98</v>
      </c>
      <c r="C66" s="68" t="s">
        <v>36</v>
      </c>
      <c r="D66" s="10"/>
      <c r="E66" s="34">
        <v>7.4</v>
      </c>
      <c r="F66" s="55">
        <f>SUM(E66)</f>
        <v>7.4</v>
      </c>
      <c r="G66" s="55">
        <v>47.45</v>
      </c>
      <c r="H66" s="127">
        <f t="shared" si="39"/>
        <v>0.35113000000000005</v>
      </c>
      <c r="I66" s="37">
        <v>0</v>
      </c>
      <c r="J66" s="37">
        <v>0</v>
      </c>
      <c r="K66" s="37">
        <v>0</v>
      </c>
      <c r="L66" s="37">
        <v>0</v>
      </c>
      <c r="M66" s="37">
        <f t="shared" si="40"/>
        <v>351.13000000000005</v>
      </c>
      <c r="N66" s="37">
        <v>0</v>
      </c>
      <c r="O66" s="37">
        <v>0</v>
      </c>
      <c r="P66" s="37">
        <v>0</v>
      </c>
      <c r="Q66" s="37">
        <v>0</v>
      </c>
      <c r="R66" s="37">
        <v>0</v>
      </c>
      <c r="S66" s="37">
        <v>0</v>
      </c>
      <c r="T66" s="37">
        <v>0</v>
      </c>
      <c r="U66" s="37">
        <f t="shared" si="38"/>
        <v>351.13000000000005</v>
      </c>
    </row>
    <row r="67" spans="1:21" ht="12.75" customHeight="1">
      <c r="A67" s="68"/>
      <c r="B67" s="18" t="s">
        <v>99</v>
      </c>
      <c r="C67" s="68" t="s">
        <v>36</v>
      </c>
      <c r="D67" s="10"/>
      <c r="E67" s="34">
        <v>7.4</v>
      </c>
      <c r="F67" s="55">
        <f>SUM(E67)</f>
        <v>7.4</v>
      </c>
      <c r="G67" s="55">
        <v>44.27</v>
      </c>
      <c r="H67" s="127">
        <f t="shared" si="39"/>
        <v>0.327598</v>
      </c>
      <c r="I67" s="37">
        <v>0</v>
      </c>
      <c r="J67" s="37">
        <v>0</v>
      </c>
      <c r="K67" s="37">
        <v>0</v>
      </c>
      <c r="L67" s="37">
        <v>0</v>
      </c>
      <c r="M67" s="37">
        <f t="shared" si="40"/>
        <v>327.59800000000001</v>
      </c>
      <c r="N67" s="37">
        <v>0</v>
      </c>
      <c r="O67" s="37">
        <v>0</v>
      </c>
      <c r="P67" s="37">
        <v>0</v>
      </c>
      <c r="Q67" s="37">
        <v>0</v>
      </c>
      <c r="R67" s="37">
        <v>0</v>
      </c>
      <c r="S67" s="37">
        <v>0</v>
      </c>
      <c r="T67" s="37">
        <v>0</v>
      </c>
      <c r="U67" s="37">
        <f t="shared" si="38"/>
        <v>327.59800000000001</v>
      </c>
    </row>
    <row r="68" spans="1:21">
      <c r="A68" s="68" t="s">
        <v>210</v>
      </c>
      <c r="B68" s="10" t="s">
        <v>74</v>
      </c>
      <c r="C68" s="68" t="s">
        <v>75</v>
      </c>
      <c r="D68" s="10" t="s">
        <v>31</v>
      </c>
      <c r="E68" s="40">
        <v>3</v>
      </c>
      <c r="F68" s="35">
        <f>SUM(E68)</f>
        <v>3</v>
      </c>
      <c r="G68" s="55">
        <v>62.07</v>
      </c>
      <c r="H68" s="127">
        <f t="shared" si="39"/>
        <v>0.18621000000000001</v>
      </c>
      <c r="I68" s="37">
        <v>0</v>
      </c>
      <c r="J68" s="37">
        <v>0</v>
      </c>
      <c r="K68" s="37">
        <v>0</v>
      </c>
      <c r="L68" s="37">
        <v>0</v>
      </c>
      <c r="M68" s="37">
        <v>0</v>
      </c>
      <c r="N68" s="37">
        <v>0</v>
      </c>
      <c r="O68" s="37">
        <v>0</v>
      </c>
      <c r="P68" s="37">
        <v>0</v>
      </c>
      <c r="Q68" s="37">
        <f>G68*3</f>
        <v>186.21</v>
      </c>
      <c r="R68" s="37">
        <v>0</v>
      </c>
      <c r="S68" s="37">
        <v>0</v>
      </c>
      <c r="T68" s="37">
        <v>0</v>
      </c>
      <c r="U68" s="37">
        <f t="shared" si="38"/>
        <v>186.21</v>
      </c>
    </row>
    <row r="69" spans="1:21">
      <c r="A69" s="68"/>
      <c r="B69" s="19" t="s">
        <v>76</v>
      </c>
      <c r="C69" s="68"/>
      <c r="D69" s="10"/>
      <c r="E69" s="40"/>
      <c r="F69" s="55"/>
      <c r="G69" s="55"/>
      <c r="H69" s="127" t="s">
        <v>42</v>
      </c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</row>
    <row r="70" spans="1:21">
      <c r="A70" s="68" t="s">
        <v>211</v>
      </c>
      <c r="B70" s="10" t="s">
        <v>153</v>
      </c>
      <c r="C70" s="68" t="s">
        <v>154</v>
      </c>
      <c r="D70" s="10" t="s">
        <v>38</v>
      </c>
      <c r="E70" s="40">
        <v>3</v>
      </c>
      <c r="F70" s="55">
        <v>3</v>
      </c>
      <c r="G70" s="55">
        <v>976.4</v>
      </c>
      <c r="H70" s="127">
        <f t="shared" si="39"/>
        <v>2.9291999999999998</v>
      </c>
      <c r="I70" s="37">
        <v>0</v>
      </c>
      <c r="J70" s="37">
        <v>0</v>
      </c>
      <c r="K70" s="37">
        <v>0</v>
      </c>
      <c r="L70" s="37">
        <v>0</v>
      </c>
      <c r="M70" s="37">
        <v>0</v>
      </c>
      <c r="N70" s="37">
        <v>0</v>
      </c>
      <c r="O70" s="37">
        <v>0</v>
      </c>
      <c r="P70" s="37">
        <v>0</v>
      </c>
      <c r="Q70" s="37">
        <v>0</v>
      </c>
      <c r="R70" s="37">
        <v>0</v>
      </c>
      <c r="S70" s="37">
        <v>0</v>
      </c>
      <c r="T70" s="37">
        <v>0</v>
      </c>
      <c r="U70" s="37">
        <f t="shared" si="38"/>
        <v>0</v>
      </c>
    </row>
    <row r="71" spans="1:21">
      <c r="A71" s="68" t="s">
        <v>155</v>
      </c>
      <c r="B71" s="10" t="s">
        <v>156</v>
      </c>
      <c r="C71" s="68" t="s">
        <v>157</v>
      </c>
      <c r="D71" s="10"/>
      <c r="E71" s="40">
        <v>1</v>
      </c>
      <c r="F71" s="55">
        <v>1</v>
      </c>
      <c r="G71" s="55">
        <v>750</v>
      </c>
      <c r="H71" s="127">
        <f t="shared" si="39"/>
        <v>0.75</v>
      </c>
      <c r="I71" s="37">
        <v>0</v>
      </c>
      <c r="J71" s="37">
        <v>0</v>
      </c>
      <c r="K71" s="37">
        <v>0</v>
      </c>
      <c r="L71" s="37">
        <v>0</v>
      </c>
      <c r="M71" s="37">
        <v>0</v>
      </c>
      <c r="N71" s="37">
        <v>0</v>
      </c>
      <c r="O71" s="37">
        <v>0</v>
      </c>
      <c r="P71" s="37">
        <v>0</v>
      </c>
      <c r="Q71" s="37">
        <v>0</v>
      </c>
      <c r="R71" s="37">
        <v>0</v>
      </c>
      <c r="S71" s="37">
        <v>0</v>
      </c>
      <c r="T71" s="37">
        <v>0</v>
      </c>
      <c r="U71" s="37">
        <f t="shared" si="38"/>
        <v>0</v>
      </c>
    </row>
    <row r="72" spans="1:21">
      <c r="A72" s="68" t="s">
        <v>212</v>
      </c>
      <c r="B72" s="10" t="s">
        <v>112</v>
      </c>
      <c r="C72" s="68" t="s">
        <v>111</v>
      </c>
      <c r="D72" s="10" t="s">
        <v>38</v>
      </c>
      <c r="E72" s="40">
        <v>3</v>
      </c>
      <c r="F72" s="55">
        <f>E72/10</f>
        <v>0.3</v>
      </c>
      <c r="G72" s="55">
        <v>624.16999999999996</v>
      </c>
      <c r="H72" s="127">
        <f t="shared" si="39"/>
        <v>0.18725099999999997</v>
      </c>
      <c r="I72" s="37">
        <v>0</v>
      </c>
      <c r="J72" s="37">
        <v>0</v>
      </c>
      <c r="K72" s="37">
        <v>0</v>
      </c>
      <c r="L72" s="37">
        <v>0</v>
      </c>
      <c r="M72" s="37">
        <v>0</v>
      </c>
      <c r="N72" s="37">
        <v>0</v>
      </c>
      <c r="O72" s="37">
        <v>0</v>
      </c>
      <c r="P72" s="37">
        <v>0</v>
      </c>
      <c r="Q72" s="37">
        <v>0</v>
      </c>
      <c r="R72" s="37">
        <v>0</v>
      </c>
      <c r="S72" s="37">
        <v>0</v>
      </c>
      <c r="T72" s="37">
        <v>0</v>
      </c>
      <c r="U72" s="37">
        <f t="shared" si="38"/>
        <v>0</v>
      </c>
    </row>
    <row r="73" spans="1:21">
      <c r="A73" s="68" t="s">
        <v>213</v>
      </c>
      <c r="B73" s="10" t="s">
        <v>100</v>
      </c>
      <c r="C73" s="68" t="s">
        <v>33</v>
      </c>
      <c r="D73" s="10" t="s">
        <v>38</v>
      </c>
      <c r="E73" s="40">
        <v>1</v>
      </c>
      <c r="F73" s="55">
        <v>1</v>
      </c>
      <c r="G73" s="55">
        <v>1061.4100000000001</v>
      </c>
      <c r="H73" s="127">
        <f t="shared" si="39"/>
        <v>1.0614100000000002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37">
        <v>0</v>
      </c>
      <c r="O73" s="37">
        <v>0</v>
      </c>
      <c r="P73" s="37">
        <v>0</v>
      </c>
      <c r="Q73" s="37">
        <v>0</v>
      </c>
      <c r="R73" s="37">
        <v>0</v>
      </c>
      <c r="S73" s="37">
        <v>0</v>
      </c>
      <c r="T73" s="37">
        <v>0</v>
      </c>
      <c r="U73" s="37">
        <f t="shared" si="38"/>
        <v>0</v>
      </c>
    </row>
    <row r="74" spans="1:21">
      <c r="A74" s="68" t="s">
        <v>214</v>
      </c>
      <c r="B74" s="10" t="s">
        <v>77</v>
      </c>
      <c r="C74" s="68" t="s">
        <v>33</v>
      </c>
      <c r="D74" s="10" t="s">
        <v>38</v>
      </c>
      <c r="E74" s="40">
        <v>1</v>
      </c>
      <c r="F74" s="35">
        <f>SUM(E74)</f>
        <v>1</v>
      </c>
      <c r="G74" s="55">
        <v>446.12</v>
      </c>
      <c r="H74" s="127">
        <f t="shared" si="39"/>
        <v>0.44612000000000002</v>
      </c>
      <c r="I74" s="37">
        <v>0</v>
      </c>
      <c r="J74" s="37">
        <v>0</v>
      </c>
      <c r="K74" s="37">
        <v>0</v>
      </c>
      <c r="L74" s="37">
        <v>0</v>
      </c>
      <c r="M74" s="37">
        <v>0</v>
      </c>
      <c r="N74" s="37">
        <v>0</v>
      </c>
      <c r="O74" s="37">
        <v>0</v>
      </c>
      <c r="P74" s="37">
        <v>0</v>
      </c>
      <c r="Q74" s="37">
        <v>0</v>
      </c>
      <c r="R74" s="37">
        <v>0</v>
      </c>
      <c r="S74" s="37">
        <v>0</v>
      </c>
      <c r="T74" s="37">
        <v>0</v>
      </c>
      <c r="U74" s="37">
        <f t="shared" si="38"/>
        <v>0</v>
      </c>
    </row>
    <row r="75" spans="1:21" hidden="1">
      <c r="A75" s="68" t="s">
        <v>78</v>
      </c>
      <c r="B75" s="10" t="s">
        <v>79</v>
      </c>
      <c r="C75" s="68" t="s">
        <v>80</v>
      </c>
      <c r="D75" s="10" t="s">
        <v>38</v>
      </c>
      <c r="E75" s="40"/>
      <c r="F75" s="55"/>
      <c r="G75" s="55">
        <v>31.54</v>
      </c>
      <c r="H75" s="127">
        <f t="shared" si="39"/>
        <v>0</v>
      </c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>
        <f t="shared" si="38"/>
        <v>0</v>
      </c>
    </row>
    <row r="76" spans="1:21">
      <c r="A76" s="68"/>
      <c r="B76" s="70" t="s">
        <v>81</v>
      </c>
      <c r="C76" s="68"/>
      <c r="D76" s="10"/>
      <c r="E76" s="40"/>
      <c r="F76" s="55"/>
      <c r="G76" s="55" t="s">
        <v>42</v>
      </c>
      <c r="H76" s="127" t="s">
        <v>42</v>
      </c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</row>
    <row r="77" spans="1:21" s="3" customFormat="1">
      <c r="A77" s="69" t="s">
        <v>82</v>
      </c>
      <c r="B77" s="71" t="s">
        <v>83</v>
      </c>
      <c r="C77" s="69" t="s">
        <v>73</v>
      </c>
      <c r="D77" s="17"/>
      <c r="E77" s="72"/>
      <c r="F77" s="56">
        <v>1.35</v>
      </c>
      <c r="G77" s="56">
        <v>3433.68</v>
      </c>
      <c r="H77" s="127">
        <f t="shared" si="39"/>
        <v>4.6354679999999995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  <c r="N77" s="54">
        <v>0</v>
      </c>
      <c r="O77" s="54">
        <v>0</v>
      </c>
      <c r="P77" s="54">
        <v>0</v>
      </c>
      <c r="Q77" s="54">
        <v>0</v>
      </c>
      <c r="R77" s="54">
        <v>0</v>
      </c>
      <c r="S77" s="54">
        <v>0</v>
      </c>
      <c r="T77" s="54">
        <v>0</v>
      </c>
      <c r="U77" s="37">
        <f t="shared" si="38"/>
        <v>0</v>
      </c>
    </row>
    <row r="78" spans="1:21" s="22" customFormat="1">
      <c r="A78" s="73"/>
      <c r="B78" s="21" t="s">
        <v>25</v>
      </c>
      <c r="C78" s="74"/>
      <c r="D78" s="75"/>
      <c r="E78" s="76"/>
      <c r="F78" s="60"/>
      <c r="G78" s="60"/>
      <c r="H78" s="77">
        <f>SUM(H56:H77)</f>
        <v>80.100712511999987</v>
      </c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>
        <f>SUM(U56:U77)</f>
        <v>64787.892712000001</v>
      </c>
    </row>
    <row r="79" spans="1:21" s="22" customFormat="1">
      <c r="A79" s="141"/>
      <c r="B79" s="142" t="s">
        <v>158</v>
      </c>
      <c r="C79" s="143"/>
      <c r="D79" s="147"/>
      <c r="E79" s="149"/>
      <c r="F79" s="148"/>
      <c r="G79" s="148"/>
      <c r="H79" s="150"/>
      <c r="I79" s="146"/>
      <c r="J79" s="146"/>
      <c r="K79" s="146"/>
      <c r="L79" s="146"/>
      <c r="M79" s="146"/>
      <c r="N79" s="146"/>
      <c r="O79" s="146"/>
      <c r="P79" s="146"/>
      <c r="Q79" s="146"/>
      <c r="R79" s="146"/>
      <c r="S79" s="146"/>
      <c r="T79" s="146"/>
      <c r="U79" s="146"/>
    </row>
    <row r="80" spans="1:21" s="22" customFormat="1" ht="25.5">
      <c r="A80" s="129" t="s">
        <v>215</v>
      </c>
      <c r="B80" s="144" t="s">
        <v>159</v>
      </c>
      <c r="C80" s="141" t="s">
        <v>160</v>
      </c>
      <c r="D80" s="144" t="s">
        <v>38</v>
      </c>
      <c r="E80" s="153">
        <v>6</v>
      </c>
      <c r="F80" s="154">
        <f>E80</f>
        <v>6</v>
      </c>
      <c r="G80" s="154">
        <v>297.44</v>
      </c>
      <c r="H80" s="127">
        <f t="shared" ref="H80:H89" si="41">SUM(F80*G80/1000)</f>
        <v>1.7846399999999998</v>
      </c>
      <c r="I80" s="54">
        <v>0</v>
      </c>
      <c r="J80" s="54">
        <v>0</v>
      </c>
      <c r="K80" s="54">
        <v>0</v>
      </c>
      <c r="L80" s="54">
        <v>0</v>
      </c>
      <c r="M80" s="155">
        <v>0</v>
      </c>
      <c r="N80" s="155">
        <v>0</v>
      </c>
      <c r="O80" s="54">
        <v>0</v>
      </c>
      <c r="P80" s="54">
        <v>0</v>
      </c>
      <c r="Q80" s="37">
        <v>0</v>
      </c>
      <c r="R80" s="37">
        <v>0</v>
      </c>
      <c r="S80" s="37">
        <v>0</v>
      </c>
      <c r="T80" s="37">
        <v>0</v>
      </c>
      <c r="U80" s="37">
        <f t="shared" ref="U80:U94" si="42">SUM(I80:T80)</f>
        <v>0</v>
      </c>
    </row>
    <row r="81" spans="1:26" s="22" customFormat="1">
      <c r="A81" s="129" t="s">
        <v>216</v>
      </c>
      <c r="B81" s="144" t="s">
        <v>161</v>
      </c>
      <c r="C81" s="141" t="s">
        <v>130</v>
      </c>
      <c r="D81" s="144" t="s">
        <v>38</v>
      </c>
      <c r="E81" s="153">
        <v>12</v>
      </c>
      <c r="F81" s="154">
        <f>E81</f>
        <v>12</v>
      </c>
      <c r="G81" s="154">
        <v>122.35</v>
      </c>
      <c r="H81" s="127">
        <f t="shared" si="41"/>
        <v>1.4681999999999997</v>
      </c>
      <c r="I81" s="54">
        <v>0</v>
      </c>
      <c r="J81" s="54">
        <v>0</v>
      </c>
      <c r="K81" s="54">
        <v>0</v>
      </c>
      <c r="L81" s="54">
        <v>0</v>
      </c>
      <c r="M81" s="155">
        <v>0</v>
      </c>
      <c r="N81" s="155">
        <v>0</v>
      </c>
      <c r="O81" s="54">
        <v>0</v>
      </c>
      <c r="P81" s="54">
        <v>0</v>
      </c>
      <c r="Q81" s="37">
        <v>0</v>
      </c>
      <c r="R81" s="37">
        <v>0</v>
      </c>
      <c r="S81" s="37">
        <v>0</v>
      </c>
      <c r="T81" s="37">
        <v>0</v>
      </c>
      <c r="U81" s="37">
        <f t="shared" si="42"/>
        <v>0</v>
      </c>
    </row>
    <row r="82" spans="1:26" s="22" customFormat="1">
      <c r="A82" s="145" t="s">
        <v>217</v>
      </c>
      <c r="B82" s="144" t="s">
        <v>162</v>
      </c>
      <c r="C82" s="141" t="s">
        <v>163</v>
      </c>
      <c r="D82" s="144" t="s">
        <v>38</v>
      </c>
      <c r="E82" s="153">
        <v>9</v>
      </c>
      <c r="F82" s="154">
        <f>E82/3</f>
        <v>3</v>
      </c>
      <c r="G82" s="154">
        <v>1063.47</v>
      </c>
      <c r="H82" s="127">
        <f t="shared" si="41"/>
        <v>3.19041</v>
      </c>
      <c r="I82" s="54">
        <v>0</v>
      </c>
      <c r="J82" s="54">
        <v>0</v>
      </c>
      <c r="K82" s="54">
        <v>0</v>
      </c>
      <c r="L82" s="54">
        <v>0</v>
      </c>
      <c r="M82" s="155">
        <v>0</v>
      </c>
      <c r="N82" s="155">
        <v>0</v>
      </c>
      <c r="O82" s="54">
        <f>G82*((10+10)/3)</f>
        <v>7089.8</v>
      </c>
      <c r="P82" s="54">
        <v>0</v>
      </c>
      <c r="Q82" s="37">
        <v>0</v>
      </c>
      <c r="R82" s="37">
        <f>G82*(10/3)</f>
        <v>3544.9</v>
      </c>
      <c r="S82" s="37">
        <v>0</v>
      </c>
      <c r="T82" s="37">
        <v>0</v>
      </c>
      <c r="U82" s="37">
        <f t="shared" si="42"/>
        <v>10634.7</v>
      </c>
    </row>
    <row r="83" spans="1:26" s="22" customFormat="1" ht="38.25">
      <c r="A83" s="129" t="s">
        <v>218</v>
      </c>
      <c r="B83" s="144" t="s">
        <v>164</v>
      </c>
      <c r="C83" s="141" t="s">
        <v>130</v>
      </c>
      <c r="D83" s="144" t="s">
        <v>38</v>
      </c>
      <c r="E83" s="153">
        <v>6</v>
      </c>
      <c r="F83" s="154">
        <f>E83</f>
        <v>6</v>
      </c>
      <c r="G83" s="154">
        <v>1564.44</v>
      </c>
      <c r="H83" s="127">
        <f t="shared" si="41"/>
        <v>9.3866399999999999</v>
      </c>
      <c r="I83" s="54">
        <v>0</v>
      </c>
      <c r="J83" s="54">
        <v>0</v>
      </c>
      <c r="K83" s="54">
        <v>0</v>
      </c>
      <c r="L83" s="54">
        <v>0</v>
      </c>
      <c r="M83" s="155">
        <v>0</v>
      </c>
      <c r="N83" s="155">
        <v>0</v>
      </c>
      <c r="O83" s="54">
        <v>0</v>
      </c>
      <c r="P83" s="54">
        <v>0</v>
      </c>
      <c r="Q83" s="37">
        <v>0</v>
      </c>
      <c r="R83" s="37">
        <v>0</v>
      </c>
      <c r="S83" s="37">
        <v>0</v>
      </c>
      <c r="T83" s="37">
        <v>0</v>
      </c>
      <c r="U83" s="37">
        <f t="shared" si="42"/>
        <v>0</v>
      </c>
    </row>
    <row r="84" spans="1:26" s="22" customFormat="1" ht="38.25">
      <c r="A84" s="129" t="s">
        <v>219</v>
      </c>
      <c r="B84" s="144" t="s">
        <v>165</v>
      </c>
      <c r="C84" s="141" t="s">
        <v>130</v>
      </c>
      <c r="D84" s="144" t="s">
        <v>38</v>
      </c>
      <c r="E84" s="153">
        <v>6</v>
      </c>
      <c r="F84" s="154">
        <f>E84</f>
        <v>6</v>
      </c>
      <c r="G84" s="154">
        <v>1906.89</v>
      </c>
      <c r="H84" s="127">
        <f t="shared" si="41"/>
        <v>11.44134</v>
      </c>
      <c r="I84" s="54">
        <v>0</v>
      </c>
      <c r="J84" s="54">
        <v>0</v>
      </c>
      <c r="K84" s="54">
        <v>0</v>
      </c>
      <c r="L84" s="54">
        <v>0</v>
      </c>
      <c r="M84" s="155">
        <v>0</v>
      </c>
      <c r="N84" s="155">
        <v>0</v>
      </c>
      <c r="O84" s="54">
        <v>0</v>
      </c>
      <c r="P84" s="54">
        <v>0</v>
      </c>
      <c r="Q84" s="37">
        <v>0</v>
      </c>
      <c r="R84" s="37">
        <v>0</v>
      </c>
      <c r="S84" s="37">
        <v>0</v>
      </c>
      <c r="T84" s="37">
        <v>0</v>
      </c>
      <c r="U84" s="37">
        <f t="shared" si="42"/>
        <v>0</v>
      </c>
    </row>
    <row r="85" spans="1:26" s="22" customFormat="1" ht="25.5" customHeight="1">
      <c r="A85" s="129" t="s">
        <v>220</v>
      </c>
      <c r="B85" s="144" t="s">
        <v>166</v>
      </c>
      <c r="C85" s="141" t="s">
        <v>130</v>
      </c>
      <c r="D85" s="144" t="s">
        <v>38</v>
      </c>
      <c r="E85" s="153">
        <v>6</v>
      </c>
      <c r="F85" s="154">
        <f>E85</f>
        <v>6</v>
      </c>
      <c r="G85" s="154">
        <v>664.35</v>
      </c>
      <c r="H85" s="127">
        <f t="shared" si="41"/>
        <v>3.9861000000000004</v>
      </c>
      <c r="I85" s="54">
        <v>0</v>
      </c>
      <c r="J85" s="54">
        <v>0</v>
      </c>
      <c r="K85" s="54">
        <v>0</v>
      </c>
      <c r="L85" s="54">
        <v>0</v>
      </c>
      <c r="M85" s="155">
        <v>0</v>
      </c>
      <c r="N85" s="155">
        <v>0</v>
      </c>
      <c r="O85" s="54">
        <v>0</v>
      </c>
      <c r="P85" s="54">
        <v>0</v>
      </c>
      <c r="Q85" s="37">
        <v>0</v>
      </c>
      <c r="R85" s="37">
        <v>0</v>
      </c>
      <c r="S85" s="37">
        <v>0</v>
      </c>
      <c r="T85" s="37">
        <v>0</v>
      </c>
      <c r="U85" s="37">
        <f t="shared" si="42"/>
        <v>0</v>
      </c>
    </row>
    <row r="86" spans="1:26" s="22" customFormat="1" ht="25.5" customHeight="1">
      <c r="A86" s="129" t="s">
        <v>221</v>
      </c>
      <c r="B86" s="144" t="s">
        <v>167</v>
      </c>
      <c r="C86" s="141" t="s">
        <v>130</v>
      </c>
      <c r="D86" s="144" t="s">
        <v>38</v>
      </c>
      <c r="E86" s="153">
        <v>6</v>
      </c>
      <c r="F86" s="154">
        <f>E86</f>
        <v>6</v>
      </c>
      <c r="G86" s="154">
        <v>778.85</v>
      </c>
      <c r="H86" s="127">
        <f t="shared" si="41"/>
        <v>4.6731000000000007</v>
      </c>
      <c r="I86" s="54">
        <v>0</v>
      </c>
      <c r="J86" s="54">
        <v>0</v>
      </c>
      <c r="K86" s="54">
        <v>0</v>
      </c>
      <c r="L86" s="54">
        <v>0</v>
      </c>
      <c r="M86" s="155">
        <v>0</v>
      </c>
      <c r="N86" s="155">
        <v>0</v>
      </c>
      <c r="O86" s="54">
        <v>0</v>
      </c>
      <c r="P86" s="54">
        <v>0</v>
      </c>
      <c r="Q86" s="37">
        <v>0</v>
      </c>
      <c r="R86" s="37">
        <v>0</v>
      </c>
      <c r="S86" s="37">
        <v>0</v>
      </c>
      <c r="T86" s="37">
        <v>0</v>
      </c>
      <c r="U86" s="37">
        <f t="shared" si="42"/>
        <v>0</v>
      </c>
    </row>
    <row r="87" spans="1:26" s="22" customFormat="1" ht="25.5">
      <c r="A87" s="129" t="s">
        <v>222</v>
      </c>
      <c r="B87" s="144" t="s">
        <v>168</v>
      </c>
      <c r="C87" s="141" t="s">
        <v>154</v>
      </c>
      <c r="D87" s="144" t="s">
        <v>38</v>
      </c>
      <c r="E87" s="153">
        <v>3</v>
      </c>
      <c r="F87" s="154">
        <v>3</v>
      </c>
      <c r="G87" s="154">
        <v>498.11</v>
      </c>
      <c r="H87" s="127">
        <f t="shared" si="41"/>
        <v>1.4943299999999999</v>
      </c>
      <c r="I87" s="54">
        <v>0</v>
      </c>
      <c r="J87" s="54">
        <v>0</v>
      </c>
      <c r="K87" s="54">
        <v>0</v>
      </c>
      <c r="L87" s="54">
        <v>0</v>
      </c>
      <c r="M87" s="155">
        <v>0</v>
      </c>
      <c r="N87" s="155">
        <v>0</v>
      </c>
      <c r="O87" s="54">
        <v>0</v>
      </c>
      <c r="P87" s="54">
        <v>0</v>
      </c>
      <c r="Q87" s="37">
        <v>0</v>
      </c>
      <c r="R87" s="37">
        <v>0</v>
      </c>
      <c r="S87" s="37">
        <v>0</v>
      </c>
      <c r="T87" s="37">
        <v>0</v>
      </c>
      <c r="U87" s="37">
        <f t="shared" si="42"/>
        <v>0</v>
      </c>
    </row>
    <row r="88" spans="1:26" s="22" customFormat="1" ht="38.25">
      <c r="A88" s="129" t="s">
        <v>223</v>
      </c>
      <c r="B88" s="144" t="s">
        <v>169</v>
      </c>
      <c r="C88" s="141" t="s">
        <v>130</v>
      </c>
      <c r="D88" s="144" t="s">
        <v>38</v>
      </c>
      <c r="E88" s="153">
        <v>6</v>
      </c>
      <c r="F88" s="154">
        <f>E88</f>
        <v>6</v>
      </c>
      <c r="G88" s="154">
        <v>1264.3399999999999</v>
      </c>
      <c r="H88" s="127">
        <f t="shared" si="41"/>
        <v>7.5860399999999988</v>
      </c>
      <c r="I88" s="54">
        <v>0</v>
      </c>
      <c r="J88" s="54">
        <v>0</v>
      </c>
      <c r="K88" s="54">
        <v>0</v>
      </c>
      <c r="L88" s="54">
        <v>0</v>
      </c>
      <c r="M88" s="155">
        <v>0</v>
      </c>
      <c r="N88" s="155">
        <v>0</v>
      </c>
      <c r="O88" s="54">
        <v>0</v>
      </c>
      <c r="P88" s="54">
        <v>0</v>
      </c>
      <c r="Q88" s="37">
        <v>0</v>
      </c>
      <c r="R88" s="37">
        <v>0</v>
      </c>
      <c r="S88" s="37">
        <v>0</v>
      </c>
      <c r="T88" s="37">
        <v>0</v>
      </c>
      <c r="U88" s="37">
        <f t="shared" si="42"/>
        <v>0</v>
      </c>
    </row>
    <row r="89" spans="1:26" s="22" customFormat="1">
      <c r="A89" s="129" t="s">
        <v>224</v>
      </c>
      <c r="B89" s="144" t="s">
        <v>170</v>
      </c>
      <c r="C89" s="141" t="s">
        <v>46</v>
      </c>
      <c r="D89" s="144" t="s">
        <v>49</v>
      </c>
      <c r="E89" s="153">
        <v>823</v>
      </c>
      <c r="F89" s="154">
        <f>E89*2/1000</f>
        <v>1.6459999999999999</v>
      </c>
      <c r="G89" s="154">
        <v>1707.71</v>
      </c>
      <c r="H89" s="127">
        <f t="shared" si="41"/>
        <v>2.8108906600000001</v>
      </c>
      <c r="I89" s="54">
        <v>0</v>
      </c>
      <c r="J89" s="54">
        <v>0</v>
      </c>
      <c r="K89" s="54">
        <v>0</v>
      </c>
      <c r="L89" s="54">
        <v>0</v>
      </c>
      <c r="M89" s="155">
        <f>F89/2*G89</f>
        <v>1405.44533</v>
      </c>
      <c r="N89" s="155">
        <v>0</v>
      </c>
      <c r="O89" s="54">
        <v>0</v>
      </c>
      <c r="P89" s="54">
        <v>0</v>
      </c>
      <c r="Q89" s="37">
        <v>0</v>
      </c>
      <c r="R89" s="37">
        <v>0</v>
      </c>
      <c r="S89" s="37">
        <v>0</v>
      </c>
      <c r="T89" s="37">
        <v>0</v>
      </c>
      <c r="U89" s="37">
        <f t="shared" si="42"/>
        <v>1405.44533</v>
      </c>
    </row>
    <row r="90" spans="1:26" s="22" customFormat="1">
      <c r="A90" s="151"/>
      <c r="B90" s="21"/>
      <c r="C90" s="74"/>
      <c r="D90" s="75"/>
      <c r="E90" s="76"/>
      <c r="F90" s="60"/>
      <c r="G90" s="60"/>
      <c r="H90" s="77">
        <f>SUM(H80:H89)</f>
        <v>47.821690659999994</v>
      </c>
      <c r="I90" s="60"/>
      <c r="J90" s="60"/>
      <c r="K90" s="60"/>
      <c r="L90" s="60"/>
      <c r="M90" s="140"/>
      <c r="N90" s="140"/>
      <c r="O90" s="60"/>
      <c r="P90" s="60"/>
      <c r="Q90" s="60"/>
      <c r="R90" s="60"/>
      <c r="S90" s="60"/>
      <c r="T90" s="60"/>
      <c r="U90" s="60">
        <f>SUM(U80:U89)</f>
        <v>12040.145330000001</v>
      </c>
    </row>
    <row r="91" spans="1:26">
      <c r="A91" s="152" t="s">
        <v>126</v>
      </c>
      <c r="B91" s="12" t="s">
        <v>127</v>
      </c>
      <c r="C91" s="79"/>
      <c r="D91" s="80"/>
      <c r="E91" s="40"/>
      <c r="F91" s="81">
        <v>1</v>
      </c>
      <c r="G91" s="82">
        <v>14087.8</v>
      </c>
      <c r="H91" s="127">
        <f>G91*F91/1000</f>
        <v>14.0878</v>
      </c>
      <c r="I91" s="37">
        <v>0</v>
      </c>
      <c r="J91" s="37">
        <f>G91</f>
        <v>14087.8</v>
      </c>
      <c r="K91" s="37">
        <v>0</v>
      </c>
      <c r="L91" s="37">
        <v>0</v>
      </c>
      <c r="M91" s="38">
        <v>0</v>
      </c>
      <c r="N91" s="38">
        <v>0</v>
      </c>
      <c r="O91" s="37">
        <v>0</v>
      </c>
      <c r="P91" s="37">
        <v>0</v>
      </c>
      <c r="Q91" s="160">
        <v>0</v>
      </c>
      <c r="R91" s="160">
        <v>0</v>
      </c>
      <c r="S91" s="160">
        <v>0</v>
      </c>
      <c r="T91" s="160">
        <v>0</v>
      </c>
      <c r="U91" s="37">
        <f t="shared" si="42"/>
        <v>14087.8</v>
      </c>
    </row>
    <row r="92" spans="1:26" ht="12.75" customHeight="1">
      <c r="A92" s="138"/>
      <c r="B92" s="78" t="s">
        <v>84</v>
      </c>
      <c r="C92" s="68" t="s">
        <v>85</v>
      </c>
      <c r="D92" s="83"/>
      <c r="E92" s="55">
        <v>1810.5</v>
      </c>
      <c r="F92" s="55">
        <f>SUM(E92*12)</f>
        <v>21726</v>
      </c>
      <c r="G92" s="84">
        <v>2.95</v>
      </c>
      <c r="H92" s="127">
        <f>SUM(F92*G92/1000)</f>
        <v>64.091700000000003</v>
      </c>
      <c r="I92" s="37">
        <f>F92/12*G92</f>
        <v>5340.9750000000004</v>
      </c>
      <c r="J92" s="37">
        <f>F92/12*G92</f>
        <v>5340.9750000000004</v>
      </c>
      <c r="K92" s="37">
        <f>F92/12*G92</f>
        <v>5340.9750000000004</v>
      </c>
      <c r="L92" s="37">
        <f>F92/12*G92</f>
        <v>5340.9750000000004</v>
      </c>
      <c r="M92" s="38">
        <f>F92/12*G92</f>
        <v>5340.9750000000004</v>
      </c>
      <c r="N92" s="38">
        <f>F92/12*G92</f>
        <v>5340.9750000000004</v>
      </c>
      <c r="O92" s="37">
        <f>F92/12*G92</f>
        <v>5340.9750000000004</v>
      </c>
      <c r="P92" s="37">
        <f>F92/12*G92</f>
        <v>5340.9750000000004</v>
      </c>
      <c r="Q92" s="37">
        <f>F92/12*G92</f>
        <v>5340.9750000000004</v>
      </c>
      <c r="R92" s="37">
        <f>F92/12*G92</f>
        <v>5340.9750000000004</v>
      </c>
      <c r="S92" s="37">
        <f>F92/12*G92</f>
        <v>5340.9750000000004</v>
      </c>
      <c r="T92" s="160">
        <f>F92/12*G92</f>
        <v>5340.9750000000004</v>
      </c>
      <c r="U92" s="37">
        <f t="shared" si="42"/>
        <v>64091.69999999999</v>
      </c>
    </row>
    <row r="93" spans="1:26" s="20" customFormat="1">
      <c r="A93" s="85"/>
      <c r="B93" s="21" t="s">
        <v>25</v>
      </c>
      <c r="C93" s="86"/>
      <c r="D93" s="87"/>
      <c r="E93" s="88"/>
      <c r="F93" s="46"/>
      <c r="G93" s="89"/>
      <c r="H93" s="47">
        <f>SUM(H91:H92)</f>
        <v>78.179500000000004</v>
      </c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>
        <f>SUM(U91:U92)</f>
        <v>78179.499999999985</v>
      </c>
    </row>
    <row r="94" spans="1:26" ht="25.5" customHeight="1">
      <c r="A94" s="90"/>
      <c r="B94" s="10" t="s">
        <v>86</v>
      </c>
      <c r="C94" s="68" t="s">
        <v>85</v>
      </c>
      <c r="D94" s="91"/>
      <c r="E94" s="34">
        <f>E92</f>
        <v>1810.5</v>
      </c>
      <c r="F94" s="55">
        <f>E94*12</f>
        <v>21726</v>
      </c>
      <c r="G94" s="55">
        <v>3.05</v>
      </c>
      <c r="H94" s="127">
        <f>F94*G94/1000</f>
        <v>66.264300000000006</v>
      </c>
      <c r="I94" s="37">
        <f>F94/12*G94</f>
        <v>5522.0249999999996</v>
      </c>
      <c r="J94" s="37">
        <f>F94/12*G94</f>
        <v>5522.0249999999996</v>
      </c>
      <c r="K94" s="37">
        <f>F94/12*G94</f>
        <v>5522.0249999999996</v>
      </c>
      <c r="L94" s="37">
        <f>F94/12*G94</f>
        <v>5522.0249999999996</v>
      </c>
      <c r="M94" s="37">
        <f>F94/12*G94</f>
        <v>5522.0249999999996</v>
      </c>
      <c r="N94" s="37">
        <f>F94/12*G94</f>
        <v>5522.0249999999996</v>
      </c>
      <c r="O94" s="37">
        <f>F94/12*G94</f>
        <v>5522.0249999999996</v>
      </c>
      <c r="P94" s="37">
        <f>F94/12*G94</f>
        <v>5522.0249999999996</v>
      </c>
      <c r="Q94" s="37">
        <f>F94/12*G94</f>
        <v>5522.0249999999996</v>
      </c>
      <c r="R94" s="37">
        <f>F94/12*G94</f>
        <v>5522.0249999999996</v>
      </c>
      <c r="S94" s="37">
        <f>F94/12*G94</f>
        <v>5522.0249999999996</v>
      </c>
      <c r="T94" s="160">
        <f t="shared" ref="T94" si="43">F94/12*G94</f>
        <v>5522.0249999999996</v>
      </c>
      <c r="U94" s="37">
        <f t="shared" si="42"/>
        <v>66264.3</v>
      </c>
      <c r="W94" s="174"/>
      <c r="X94" s="174"/>
      <c r="Y94" s="174"/>
      <c r="Z94" s="174"/>
    </row>
    <row r="95" spans="1:26" s="20" customFormat="1">
      <c r="A95" s="85"/>
      <c r="B95" s="92" t="s">
        <v>87</v>
      </c>
      <c r="C95" s="93"/>
      <c r="D95" s="92"/>
      <c r="E95" s="46"/>
      <c r="F95" s="46"/>
      <c r="G95" s="46"/>
      <c r="H95" s="77">
        <f>SUM(SUM(H94:H94))</f>
        <v>66.264300000000006</v>
      </c>
      <c r="I95" s="46"/>
      <c r="J95" s="46"/>
      <c r="K95" s="46"/>
      <c r="L95" s="46"/>
      <c r="M95" s="46"/>
      <c r="N95" s="46"/>
      <c r="O95" s="46"/>
      <c r="P95" s="46"/>
      <c r="Q95" s="46"/>
      <c r="R95" s="46"/>
      <c r="S95" s="46"/>
      <c r="T95" s="46"/>
      <c r="U95" s="123">
        <f>U94</f>
        <v>66264.3</v>
      </c>
    </row>
    <row r="96" spans="1:26" s="20" customFormat="1">
      <c r="A96" s="85"/>
      <c r="B96" s="92" t="s">
        <v>88</v>
      </c>
      <c r="C96" s="94"/>
      <c r="D96" s="95"/>
      <c r="E96" s="96"/>
      <c r="F96" s="96"/>
      <c r="G96" s="96"/>
      <c r="H96" s="77">
        <f>SUM(H95+H93+H90+H78+H54+H41+H33+H22)</f>
        <v>546.30863522846664</v>
      </c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96"/>
      <c r="U96" s="123">
        <f>SUM(U95+U93+U90+U78+U54+U41+U33+U22)</f>
        <v>491748.22899846663</v>
      </c>
    </row>
    <row r="97" spans="1:25">
      <c r="A97" s="90"/>
      <c r="B97" s="91" t="s">
        <v>89</v>
      </c>
      <c r="C97" s="68"/>
      <c r="D97" s="91"/>
      <c r="E97" s="55"/>
      <c r="F97" s="55"/>
      <c r="G97" s="55" t="s">
        <v>90</v>
      </c>
      <c r="H97" s="97">
        <f>E94</f>
        <v>1810.5</v>
      </c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</row>
    <row r="98" spans="1:25" s="20" customFormat="1">
      <c r="A98" s="85"/>
      <c r="B98" s="95" t="s">
        <v>91</v>
      </c>
      <c r="C98" s="94"/>
      <c r="D98" s="95"/>
      <c r="E98" s="96"/>
      <c r="F98" s="96"/>
      <c r="G98" s="96"/>
      <c r="H98" s="98">
        <f>SUM(H96/H97/12*1000)</f>
        <v>25.145385033069438</v>
      </c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124"/>
    </row>
    <row r="99" spans="1:25">
      <c r="A99" s="90"/>
      <c r="B99" s="91"/>
      <c r="C99" s="68"/>
      <c r="D99" s="91"/>
      <c r="E99" s="55"/>
      <c r="F99" s="55"/>
      <c r="G99" s="55"/>
      <c r="H99" s="99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125"/>
    </row>
    <row r="100" spans="1:25">
      <c r="A100" s="90"/>
      <c r="B100" s="70" t="s">
        <v>92</v>
      </c>
      <c r="C100" s="68"/>
      <c r="D100" s="91"/>
      <c r="E100" s="55"/>
      <c r="F100" s="55"/>
      <c r="G100" s="55"/>
      <c r="H100" s="55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</row>
    <row r="101" spans="1:25">
      <c r="A101" s="90" t="s">
        <v>225</v>
      </c>
      <c r="B101" s="91" t="s">
        <v>235</v>
      </c>
      <c r="C101" s="68" t="s">
        <v>171</v>
      </c>
      <c r="D101" s="91"/>
      <c r="E101" s="55"/>
      <c r="F101" s="55">
        <v>2</v>
      </c>
      <c r="G101" s="55">
        <v>195.85</v>
      </c>
      <c r="H101" s="127">
        <v>0.39</v>
      </c>
      <c r="I101" s="37">
        <f>G101</f>
        <v>195.85</v>
      </c>
      <c r="J101" s="37">
        <v>0</v>
      </c>
      <c r="K101" s="37">
        <v>0</v>
      </c>
      <c r="L101" s="37">
        <f>G101</f>
        <v>195.85</v>
      </c>
      <c r="M101" s="37">
        <v>0</v>
      </c>
      <c r="N101" s="37">
        <v>0</v>
      </c>
      <c r="O101" s="37">
        <v>0</v>
      </c>
      <c r="P101" s="37">
        <v>0</v>
      </c>
      <c r="Q101" s="37">
        <v>0</v>
      </c>
      <c r="R101" s="37">
        <v>0</v>
      </c>
      <c r="S101" s="37">
        <v>0</v>
      </c>
      <c r="T101" s="37">
        <v>0</v>
      </c>
      <c r="U101" s="37">
        <f t="shared" ref="U101:U119" si="44">SUM(I101:T101)</f>
        <v>391.7</v>
      </c>
    </row>
    <row r="102" spans="1:25" ht="25.5">
      <c r="A102" s="159" t="s">
        <v>227</v>
      </c>
      <c r="B102" s="156" t="s">
        <v>129</v>
      </c>
      <c r="C102" s="121" t="s">
        <v>60</v>
      </c>
      <c r="D102" s="91"/>
      <c r="E102" s="55"/>
      <c r="F102" s="55">
        <v>2</v>
      </c>
      <c r="G102" s="55">
        <v>83.36</v>
      </c>
      <c r="H102" s="127">
        <f t="shared" ref="H102:H103" si="45">G102*F102/1000</f>
        <v>0.16672000000000001</v>
      </c>
      <c r="I102" s="37">
        <f>G102*2</f>
        <v>166.72</v>
      </c>
      <c r="J102" s="37">
        <v>0</v>
      </c>
      <c r="K102" s="37">
        <v>0</v>
      </c>
      <c r="L102" s="37">
        <v>0</v>
      </c>
      <c r="M102" s="37">
        <v>0</v>
      </c>
      <c r="N102" s="37">
        <v>0</v>
      </c>
      <c r="O102" s="37">
        <v>0</v>
      </c>
      <c r="P102" s="37">
        <v>0</v>
      </c>
      <c r="Q102" s="37">
        <v>0</v>
      </c>
      <c r="R102" s="37">
        <v>0</v>
      </c>
      <c r="S102" s="37">
        <v>0</v>
      </c>
      <c r="T102" s="37">
        <v>0</v>
      </c>
      <c r="U102" s="37">
        <f t="shared" si="44"/>
        <v>166.72</v>
      </c>
    </row>
    <row r="103" spans="1:25" ht="25.5">
      <c r="A103" s="159" t="s">
        <v>237</v>
      </c>
      <c r="B103" s="156" t="s">
        <v>236</v>
      </c>
      <c r="C103" s="162" t="s">
        <v>160</v>
      </c>
      <c r="D103" s="91"/>
      <c r="E103" s="55"/>
      <c r="F103" s="55">
        <v>1</v>
      </c>
      <c r="G103" s="55">
        <v>589.84</v>
      </c>
      <c r="H103" s="127">
        <f t="shared" si="45"/>
        <v>0.58984000000000003</v>
      </c>
      <c r="I103" s="37">
        <v>0</v>
      </c>
      <c r="J103" s="37">
        <f>G103</f>
        <v>589.84</v>
      </c>
      <c r="K103" s="37">
        <v>0</v>
      </c>
      <c r="L103" s="37">
        <v>0</v>
      </c>
      <c r="M103" s="37">
        <v>0</v>
      </c>
      <c r="N103" s="37">
        <v>0</v>
      </c>
      <c r="O103" s="37">
        <v>0</v>
      </c>
      <c r="P103" s="37">
        <v>0</v>
      </c>
      <c r="Q103" s="37">
        <v>0</v>
      </c>
      <c r="R103" s="37">
        <v>0</v>
      </c>
      <c r="S103" s="37">
        <v>0</v>
      </c>
      <c r="T103" s="37">
        <v>0</v>
      </c>
      <c r="U103" s="37">
        <f t="shared" si="44"/>
        <v>589.84</v>
      </c>
    </row>
    <row r="104" spans="1:25" ht="25.5">
      <c r="A104" s="162" t="s">
        <v>228</v>
      </c>
      <c r="B104" s="156" t="s">
        <v>131</v>
      </c>
      <c r="C104" s="162" t="s">
        <v>60</v>
      </c>
      <c r="D104" s="128"/>
      <c r="E104" s="55"/>
      <c r="F104" s="55">
        <v>4</v>
      </c>
      <c r="G104" s="55">
        <v>189.88</v>
      </c>
      <c r="H104" s="127">
        <f>G104*F104/1000</f>
        <v>0.75951999999999997</v>
      </c>
      <c r="I104" s="37">
        <v>0</v>
      </c>
      <c r="J104" s="37">
        <f>G104</f>
        <v>189.88</v>
      </c>
      <c r="K104" s="37">
        <v>0</v>
      </c>
      <c r="L104" s="37">
        <v>0</v>
      </c>
      <c r="M104" s="37">
        <f>G104</f>
        <v>189.88</v>
      </c>
      <c r="N104" s="37">
        <v>0</v>
      </c>
      <c r="O104" s="37">
        <v>0</v>
      </c>
      <c r="P104" s="37">
        <v>0</v>
      </c>
      <c r="Q104" s="37">
        <v>0</v>
      </c>
      <c r="R104" s="37">
        <f>G104*2</f>
        <v>379.76</v>
      </c>
      <c r="S104" s="37">
        <v>0</v>
      </c>
      <c r="T104" s="37">
        <v>0</v>
      </c>
      <c r="U104" s="37">
        <f t="shared" si="44"/>
        <v>759.52</v>
      </c>
    </row>
    <row r="105" spans="1:25" ht="25.5">
      <c r="A105" s="162" t="s">
        <v>238</v>
      </c>
      <c r="B105" s="156" t="s">
        <v>239</v>
      </c>
      <c r="C105" s="162" t="s">
        <v>130</v>
      </c>
      <c r="D105" s="128"/>
      <c r="E105" s="55"/>
      <c r="F105" s="55">
        <v>0.5</v>
      </c>
      <c r="G105" s="55">
        <v>1183.51</v>
      </c>
      <c r="H105" s="127">
        <f>G105*F105/1000</f>
        <v>0.59175500000000003</v>
      </c>
      <c r="I105" s="37">
        <v>0</v>
      </c>
      <c r="J105" s="37">
        <v>0</v>
      </c>
      <c r="K105" s="37">
        <f>G105*0.5</f>
        <v>591.755</v>
      </c>
      <c r="L105" s="37">
        <v>0</v>
      </c>
      <c r="M105" s="37">
        <v>0</v>
      </c>
      <c r="N105" s="37">
        <v>0</v>
      </c>
      <c r="O105" s="37">
        <v>0</v>
      </c>
      <c r="P105" s="37">
        <v>0</v>
      </c>
      <c r="Q105" s="37">
        <v>0</v>
      </c>
      <c r="R105" s="37">
        <v>0</v>
      </c>
      <c r="S105" s="37">
        <v>0</v>
      </c>
      <c r="T105" s="37">
        <v>0</v>
      </c>
      <c r="U105" s="37">
        <f t="shared" si="44"/>
        <v>591.755</v>
      </c>
    </row>
    <row r="106" spans="1:25" ht="25.5">
      <c r="A106" s="162" t="s">
        <v>242</v>
      </c>
      <c r="B106" s="156" t="s">
        <v>240</v>
      </c>
      <c r="C106" s="162" t="s">
        <v>241</v>
      </c>
      <c r="D106" s="128"/>
      <c r="E106" s="55"/>
      <c r="F106" s="55">
        <v>1</v>
      </c>
      <c r="G106" s="55">
        <v>663.38</v>
      </c>
      <c r="H106" s="127">
        <f>G106*F106/1000</f>
        <v>0.66337999999999997</v>
      </c>
      <c r="I106" s="37">
        <v>0</v>
      </c>
      <c r="J106" s="37">
        <v>0</v>
      </c>
      <c r="K106" s="37">
        <f>G106</f>
        <v>663.38</v>
      </c>
      <c r="L106" s="37">
        <v>0</v>
      </c>
      <c r="M106" s="37">
        <v>0</v>
      </c>
      <c r="N106" s="37">
        <v>0</v>
      </c>
      <c r="O106" s="37">
        <v>0</v>
      </c>
      <c r="P106" s="37">
        <v>0</v>
      </c>
      <c r="Q106" s="37">
        <v>0</v>
      </c>
      <c r="R106" s="37">
        <v>0</v>
      </c>
      <c r="S106" s="37">
        <v>0</v>
      </c>
      <c r="T106" s="37">
        <v>0</v>
      </c>
      <c r="U106" s="37">
        <f t="shared" si="44"/>
        <v>663.38</v>
      </c>
    </row>
    <row r="107" spans="1:25" ht="38.25">
      <c r="A107" s="163" t="s">
        <v>245</v>
      </c>
      <c r="B107" s="164" t="s">
        <v>244</v>
      </c>
      <c r="C107" s="165" t="s">
        <v>18</v>
      </c>
      <c r="D107" s="91"/>
      <c r="E107" s="55"/>
      <c r="F107" s="166">
        <f>0.03/10</f>
        <v>3.0000000000000001E-3</v>
      </c>
      <c r="G107" s="55">
        <v>41341.03</v>
      </c>
      <c r="H107" s="127">
        <f>G107*F107/1000</f>
        <v>0.12402309</v>
      </c>
      <c r="I107" s="37">
        <v>0</v>
      </c>
      <c r="J107" s="37">
        <v>0</v>
      </c>
      <c r="K107" s="37">
        <f>G107*F107</f>
        <v>124.02309</v>
      </c>
      <c r="L107" s="37">
        <v>0</v>
      </c>
      <c r="M107" s="37">
        <v>0</v>
      </c>
      <c r="N107" s="37">
        <v>0</v>
      </c>
      <c r="O107" s="37">
        <v>0</v>
      </c>
      <c r="P107" s="37">
        <v>0</v>
      </c>
      <c r="Q107" s="37">
        <v>0</v>
      </c>
      <c r="R107" s="37">
        <v>0</v>
      </c>
      <c r="S107" s="37">
        <v>0</v>
      </c>
      <c r="T107" s="37">
        <v>0</v>
      </c>
      <c r="U107" s="37">
        <f t="shared" si="44"/>
        <v>124.02309</v>
      </c>
    </row>
    <row r="108" spans="1:25" ht="25.5" customHeight="1">
      <c r="A108" s="159" t="s">
        <v>133</v>
      </c>
      <c r="B108" s="156" t="s">
        <v>243</v>
      </c>
      <c r="C108" s="162" t="s">
        <v>130</v>
      </c>
      <c r="D108" s="128"/>
      <c r="E108" s="55"/>
      <c r="F108" s="55">
        <v>5</v>
      </c>
      <c r="G108" s="55">
        <v>1187</v>
      </c>
      <c r="H108" s="127">
        <f t="shared" ref="H108" si="46">G108*F108/1000</f>
        <v>5.9349999999999996</v>
      </c>
      <c r="I108" s="37">
        <v>0</v>
      </c>
      <c r="J108" s="37">
        <v>0</v>
      </c>
      <c r="K108" s="37">
        <v>0</v>
      </c>
      <c r="L108" s="37">
        <f>G108</f>
        <v>1187</v>
      </c>
      <c r="M108" s="37">
        <v>0</v>
      </c>
      <c r="N108" s="37">
        <v>0</v>
      </c>
      <c r="O108" s="37">
        <v>0</v>
      </c>
      <c r="P108" s="37">
        <v>0</v>
      </c>
      <c r="Q108" s="37">
        <f>G108*4</f>
        <v>4748</v>
      </c>
      <c r="R108" s="37">
        <v>0</v>
      </c>
      <c r="S108" s="37">
        <v>0</v>
      </c>
      <c r="T108" s="37">
        <v>0</v>
      </c>
      <c r="U108" s="37">
        <f t="shared" si="44"/>
        <v>5935</v>
      </c>
    </row>
    <row r="109" spans="1:25" ht="25.5">
      <c r="A109" s="159" t="s">
        <v>226</v>
      </c>
      <c r="B109" s="156" t="s">
        <v>136</v>
      </c>
      <c r="C109" s="162" t="s">
        <v>135</v>
      </c>
      <c r="D109" s="91"/>
      <c r="E109" s="55"/>
      <c r="F109" s="55">
        <v>1.5</v>
      </c>
      <c r="G109" s="55">
        <v>3300.56</v>
      </c>
      <c r="H109" s="127">
        <f t="shared" ref="H109" si="47">G109*F109/1000</f>
        <v>4.9508400000000004</v>
      </c>
      <c r="I109" s="37">
        <v>0</v>
      </c>
      <c r="J109" s="37">
        <v>0</v>
      </c>
      <c r="K109" s="37">
        <v>0</v>
      </c>
      <c r="L109" s="37">
        <f>G109*1.5</f>
        <v>4950.84</v>
      </c>
      <c r="M109" s="37">
        <v>0</v>
      </c>
      <c r="N109" s="37">
        <v>0</v>
      </c>
      <c r="O109" s="37">
        <v>0</v>
      </c>
      <c r="P109" s="37">
        <v>0</v>
      </c>
      <c r="Q109" s="37">
        <v>0</v>
      </c>
      <c r="R109" s="37">
        <v>0</v>
      </c>
      <c r="S109" s="37">
        <v>0</v>
      </c>
      <c r="T109" s="37">
        <v>0</v>
      </c>
      <c r="U109" s="37">
        <f t="shared" si="44"/>
        <v>4950.84</v>
      </c>
    </row>
    <row r="110" spans="1:25">
      <c r="A110" s="167" t="s">
        <v>246</v>
      </c>
      <c r="B110" s="168" t="s">
        <v>247</v>
      </c>
      <c r="C110" s="165" t="s">
        <v>172</v>
      </c>
      <c r="D110" s="91"/>
      <c r="E110" s="55"/>
      <c r="F110" s="55">
        <f>1/10</f>
        <v>0.1</v>
      </c>
      <c r="G110" s="55">
        <v>381.08</v>
      </c>
      <c r="H110" s="127">
        <f t="shared" ref="H110:H119" si="48">G110*F110/1000</f>
        <v>3.8107999999999996E-2</v>
      </c>
      <c r="I110" s="37">
        <v>0</v>
      </c>
      <c r="J110" s="37">
        <v>0</v>
      </c>
      <c r="K110" s="37">
        <v>0</v>
      </c>
      <c r="L110" s="37">
        <f>G110*F110</f>
        <v>38.107999999999997</v>
      </c>
      <c r="M110" s="37">
        <v>0</v>
      </c>
      <c r="N110" s="37">
        <v>0</v>
      </c>
      <c r="O110" s="37">
        <v>0</v>
      </c>
      <c r="P110" s="37">
        <v>0</v>
      </c>
      <c r="Q110" s="37">
        <v>0</v>
      </c>
      <c r="R110" s="37">
        <v>0</v>
      </c>
      <c r="S110" s="37">
        <v>0</v>
      </c>
      <c r="T110" s="37">
        <v>0</v>
      </c>
      <c r="U110" s="37">
        <f t="shared" si="44"/>
        <v>38.107999999999997</v>
      </c>
    </row>
    <row r="111" spans="1:25" ht="25.5">
      <c r="A111" s="129" t="s">
        <v>248</v>
      </c>
      <c r="B111" s="169" t="s">
        <v>249</v>
      </c>
      <c r="C111" s="129" t="s">
        <v>22</v>
      </c>
      <c r="D111" s="91"/>
      <c r="E111" s="55"/>
      <c r="F111" s="55">
        <f>1/100</f>
        <v>0.01</v>
      </c>
      <c r="G111" s="55">
        <v>51118.77</v>
      </c>
      <c r="H111" s="127">
        <f t="shared" si="48"/>
        <v>0.51118770000000002</v>
      </c>
      <c r="I111" s="37">
        <v>0</v>
      </c>
      <c r="J111" s="37">
        <v>0</v>
      </c>
      <c r="K111" s="37">
        <v>0</v>
      </c>
      <c r="L111" s="37">
        <f>G111*F111</f>
        <v>511.18770000000001</v>
      </c>
      <c r="M111" s="37">
        <v>0</v>
      </c>
      <c r="N111" s="37">
        <v>0</v>
      </c>
      <c r="O111" s="37">
        <v>0</v>
      </c>
      <c r="P111" s="37">
        <v>0</v>
      </c>
      <c r="Q111" s="37">
        <v>0</v>
      </c>
      <c r="R111" s="37">
        <v>0</v>
      </c>
      <c r="S111" s="37">
        <v>0</v>
      </c>
      <c r="T111" s="37">
        <v>0</v>
      </c>
      <c r="U111" s="37">
        <f t="shared" si="44"/>
        <v>511.18770000000001</v>
      </c>
    </row>
    <row r="112" spans="1:25" ht="25.5">
      <c r="A112" s="162" t="s">
        <v>255</v>
      </c>
      <c r="B112" s="156" t="s">
        <v>256</v>
      </c>
      <c r="C112" s="159" t="s">
        <v>257</v>
      </c>
      <c r="D112" s="91"/>
      <c r="E112" s="55"/>
      <c r="F112" s="55">
        <v>1</v>
      </c>
      <c r="G112" s="55">
        <v>294.45</v>
      </c>
      <c r="H112" s="127">
        <f>G112*F112/1000</f>
        <v>0.29444999999999999</v>
      </c>
      <c r="I112" s="170">
        <v>0</v>
      </c>
      <c r="J112" s="170">
        <v>0</v>
      </c>
      <c r="K112" s="170">
        <v>0</v>
      </c>
      <c r="L112" s="170">
        <v>0</v>
      </c>
      <c r="M112" s="170">
        <v>0</v>
      </c>
      <c r="N112" s="170">
        <v>0</v>
      </c>
      <c r="O112" s="170">
        <f>G112</f>
        <v>294.45</v>
      </c>
      <c r="P112" s="37">
        <v>0</v>
      </c>
      <c r="Q112" s="170">
        <v>0</v>
      </c>
      <c r="R112" s="170">
        <v>0</v>
      </c>
      <c r="S112" s="170">
        <v>0</v>
      </c>
      <c r="T112" s="170">
        <v>0</v>
      </c>
      <c r="U112" s="37">
        <f t="shared" si="44"/>
        <v>294.45</v>
      </c>
      <c r="V112" s="171"/>
      <c r="W112" s="171"/>
      <c r="X112" s="171"/>
      <c r="Y112" s="171"/>
    </row>
    <row r="113" spans="1:25">
      <c r="A113" s="162" t="s">
        <v>133</v>
      </c>
      <c r="B113" s="156" t="s">
        <v>266</v>
      </c>
      <c r="C113" s="159" t="s">
        <v>267</v>
      </c>
      <c r="D113" s="91"/>
      <c r="E113" s="55"/>
      <c r="F113" s="55">
        <v>20</v>
      </c>
      <c r="G113" s="55">
        <v>2474</v>
      </c>
      <c r="H113" s="127">
        <f>G113*F113/1000</f>
        <v>49.48</v>
      </c>
      <c r="I113" s="170">
        <v>0</v>
      </c>
      <c r="J113" s="170">
        <v>0</v>
      </c>
      <c r="K113" s="170">
        <v>0</v>
      </c>
      <c r="L113" s="170">
        <v>0</v>
      </c>
      <c r="M113" s="170">
        <v>0</v>
      </c>
      <c r="N113" s="170">
        <v>0</v>
      </c>
      <c r="O113" s="170">
        <v>0</v>
      </c>
      <c r="P113" s="37">
        <f>G113*20</f>
        <v>49480</v>
      </c>
      <c r="Q113" s="170">
        <v>0</v>
      </c>
      <c r="R113" s="170">
        <v>0</v>
      </c>
      <c r="S113" s="170">
        <v>0</v>
      </c>
      <c r="T113" s="170">
        <v>0</v>
      </c>
      <c r="U113" s="37">
        <f>T113+S113+R113+Q113+P113+O113+N113+M113+L113+K113+J113+I113</f>
        <v>49480</v>
      </c>
      <c r="V113" s="171"/>
      <c r="W113" s="171"/>
      <c r="X113" s="171"/>
      <c r="Y113" s="171"/>
    </row>
    <row r="114" spans="1:25" ht="25.5">
      <c r="A114" s="162" t="s">
        <v>252</v>
      </c>
      <c r="B114" s="156" t="s">
        <v>250</v>
      </c>
      <c r="C114" s="162" t="s">
        <v>251</v>
      </c>
      <c r="D114" s="91"/>
      <c r="E114" s="55"/>
      <c r="F114" s="55">
        <v>1</v>
      </c>
      <c r="G114" s="55">
        <v>206.54</v>
      </c>
      <c r="H114" s="127">
        <f t="shared" si="48"/>
        <v>0.20654</v>
      </c>
      <c r="I114" s="37">
        <v>0</v>
      </c>
      <c r="J114" s="37">
        <v>0</v>
      </c>
      <c r="K114" s="37">
        <v>0</v>
      </c>
      <c r="L114" s="37">
        <v>0</v>
      </c>
      <c r="M114" s="37">
        <v>0</v>
      </c>
      <c r="N114" s="37">
        <v>0</v>
      </c>
      <c r="O114" s="37">
        <v>0</v>
      </c>
      <c r="P114" s="37">
        <v>0</v>
      </c>
      <c r="Q114" s="37">
        <f>G114</f>
        <v>206.54</v>
      </c>
      <c r="R114" s="37">
        <v>0</v>
      </c>
      <c r="S114" s="37">
        <v>0</v>
      </c>
      <c r="T114" s="37">
        <v>0</v>
      </c>
      <c r="U114" s="37">
        <f t="shared" si="44"/>
        <v>206.54</v>
      </c>
    </row>
    <row r="115" spans="1:25" ht="25.5" customHeight="1">
      <c r="A115" s="162" t="s">
        <v>201</v>
      </c>
      <c r="B115" s="156" t="s">
        <v>253</v>
      </c>
      <c r="C115" s="162" t="s">
        <v>57</v>
      </c>
      <c r="D115" s="91"/>
      <c r="E115" s="55"/>
      <c r="F115" s="55">
        <v>0.01</v>
      </c>
      <c r="G115" s="55">
        <v>3581.13</v>
      </c>
      <c r="H115" s="127">
        <f t="shared" si="48"/>
        <v>3.5811300000000004E-2</v>
      </c>
      <c r="I115" s="37">
        <v>0</v>
      </c>
      <c r="J115" s="37">
        <v>0</v>
      </c>
      <c r="K115" s="37">
        <v>0</v>
      </c>
      <c r="L115" s="37">
        <v>0</v>
      </c>
      <c r="M115" s="37">
        <v>0</v>
      </c>
      <c r="N115" s="37">
        <v>0</v>
      </c>
      <c r="O115" s="37">
        <v>0</v>
      </c>
      <c r="P115" s="37">
        <v>0</v>
      </c>
      <c r="Q115" s="37">
        <f>G115*0.01</f>
        <v>35.811300000000003</v>
      </c>
      <c r="R115" s="37">
        <v>0</v>
      </c>
      <c r="S115" s="37">
        <v>0</v>
      </c>
      <c r="T115" s="37">
        <v>0</v>
      </c>
      <c r="U115" s="37">
        <f t="shared" si="44"/>
        <v>35.811300000000003</v>
      </c>
    </row>
    <row r="116" spans="1:25" ht="25.5" customHeight="1">
      <c r="A116" s="159" t="s">
        <v>133</v>
      </c>
      <c r="B116" s="156" t="s">
        <v>254</v>
      </c>
      <c r="C116" s="162" t="s">
        <v>130</v>
      </c>
      <c r="D116" s="128"/>
      <c r="E116" s="55"/>
      <c r="F116" s="55">
        <v>2</v>
      </c>
      <c r="G116" s="55">
        <v>1272</v>
      </c>
      <c r="H116" s="127">
        <f t="shared" si="48"/>
        <v>2.544</v>
      </c>
      <c r="I116" s="37">
        <v>0</v>
      </c>
      <c r="J116" s="37">
        <v>0</v>
      </c>
      <c r="K116" s="37">
        <v>0</v>
      </c>
      <c r="L116" s="37">
        <v>0</v>
      </c>
      <c r="M116" s="37">
        <v>0</v>
      </c>
      <c r="N116" s="37">
        <v>0</v>
      </c>
      <c r="O116" s="37">
        <v>0</v>
      </c>
      <c r="P116" s="37">
        <v>0</v>
      </c>
      <c r="Q116" s="37">
        <f>G116*2</f>
        <v>2544</v>
      </c>
      <c r="R116" s="37">
        <v>0</v>
      </c>
      <c r="S116" s="37">
        <v>0</v>
      </c>
      <c r="T116" s="37">
        <v>0</v>
      </c>
      <c r="U116" s="37">
        <f t="shared" si="44"/>
        <v>2544</v>
      </c>
    </row>
    <row r="117" spans="1:25" ht="12.75" customHeight="1">
      <c r="A117" s="162" t="s">
        <v>213</v>
      </c>
      <c r="B117" s="156" t="s">
        <v>265</v>
      </c>
      <c r="C117" s="162" t="s">
        <v>60</v>
      </c>
      <c r="D117" s="128"/>
      <c r="E117" s="55"/>
      <c r="F117" s="55">
        <v>4</v>
      </c>
      <c r="G117" s="55">
        <v>1118.72</v>
      </c>
      <c r="H117" s="127">
        <f t="shared" si="48"/>
        <v>4.4748799999999997</v>
      </c>
      <c r="I117" s="37">
        <v>0</v>
      </c>
      <c r="J117" s="37">
        <v>0</v>
      </c>
      <c r="K117" s="37">
        <v>0</v>
      </c>
      <c r="L117" s="37">
        <v>0</v>
      </c>
      <c r="M117" s="37">
        <v>0</v>
      </c>
      <c r="N117" s="37">
        <v>0</v>
      </c>
      <c r="O117" s="37">
        <v>0</v>
      </c>
      <c r="P117" s="37">
        <v>0</v>
      </c>
      <c r="Q117" s="37">
        <v>0</v>
      </c>
      <c r="R117" s="37">
        <v>0</v>
      </c>
      <c r="S117" s="37">
        <f>G117*4</f>
        <v>4474.88</v>
      </c>
      <c r="T117" s="37">
        <v>0</v>
      </c>
      <c r="U117" s="37">
        <f t="shared" si="44"/>
        <v>4474.88</v>
      </c>
    </row>
    <row r="118" spans="1:25" ht="12.75" customHeight="1">
      <c r="A118" s="172" t="s">
        <v>259</v>
      </c>
      <c r="B118" s="173" t="s">
        <v>260</v>
      </c>
      <c r="C118" s="159" t="s">
        <v>258</v>
      </c>
      <c r="D118" s="128"/>
      <c r="E118" s="55"/>
      <c r="F118" s="55">
        <f>2/10</f>
        <v>0.2</v>
      </c>
      <c r="G118" s="55">
        <v>4005.2</v>
      </c>
      <c r="H118" s="127">
        <f t="shared" si="48"/>
        <v>0.80103999999999997</v>
      </c>
      <c r="I118" s="37">
        <v>0</v>
      </c>
      <c r="J118" s="37">
        <v>0</v>
      </c>
      <c r="K118" s="37">
        <v>0</v>
      </c>
      <c r="L118" s="37">
        <v>0</v>
      </c>
      <c r="M118" s="37">
        <v>0</v>
      </c>
      <c r="N118" s="37">
        <v>0</v>
      </c>
      <c r="O118" s="37">
        <v>0</v>
      </c>
      <c r="P118" s="37">
        <v>0</v>
      </c>
      <c r="Q118" s="37">
        <v>0</v>
      </c>
      <c r="R118" s="37">
        <v>0</v>
      </c>
      <c r="S118" s="37">
        <f>G118*0.2</f>
        <v>801.04</v>
      </c>
      <c r="T118" s="37">
        <v>0</v>
      </c>
      <c r="U118" s="37">
        <f t="shared" si="44"/>
        <v>801.04</v>
      </c>
    </row>
    <row r="119" spans="1:25" ht="12.75" customHeight="1">
      <c r="A119" s="172" t="s">
        <v>262</v>
      </c>
      <c r="B119" s="173" t="s">
        <v>261</v>
      </c>
      <c r="C119" s="162" t="s">
        <v>60</v>
      </c>
      <c r="D119" s="128"/>
      <c r="E119" s="55"/>
      <c r="F119" s="55">
        <v>1</v>
      </c>
      <c r="G119" s="55">
        <v>189.67</v>
      </c>
      <c r="H119" s="127">
        <f t="shared" si="48"/>
        <v>0.18966999999999998</v>
      </c>
      <c r="I119" s="37">
        <v>0</v>
      </c>
      <c r="J119" s="37">
        <v>0</v>
      </c>
      <c r="K119" s="37">
        <v>0</v>
      </c>
      <c r="L119" s="37">
        <v>0</v>
      </c>
      <c r="M119" s="37">
        <v>0</v>
      </c>
      <c r="N119" s="37">
        <v>0</v>
      </c>
      <c r="O119" s="37">
        <v>0</v>
      </c>
      <c r="P119" s="37">
        <v>0</v>
      </c>
      <c r="Q119" s="37">
        <v>0</v>
      </c>
      <c r="R119" s="37">
        <v>0</v>
      </c>
      <c r="S119" s="37">
        <f>G119</f>
        <v>189.67</v>
      </c>
      <c r="T119" s="37">
        <v>0</v>
      </c>
      <c r="U119" s="37">
        <f t="shared" si="44"/>
        <v>189.67</v>
      </c>
    </row>
    <row r="120" spans="1:25" s="20" customFormat="1">
      <c r="A120" s="100"/>
      <c r="B120" s="101" t="s">
        <v>93</v>
      </c>
      <c r="C120" s="100"/>
      <c r="D120" s="100"/>
      <c r="E120" s="96"/>
      <c r="F120" s="96"/>
      <c r="G120" s="96"/>
      <c r="H120" s="47">
        <f>SUM(H100:H119)</f>
        <v>72.746765090000011</v>
      </c>
      <c r="I120" s="96"/>
      <c r="J120" s="96"/>
      <c r="K120" s="96"/>
      <c r="L120" s="96"/>
      <c r="M120" s="96"/>
      <c r="N120" s="96"/>
      <c r="O120" s="96"/>
      <c r="P120" s="96"/>
      <c r="Q120" s="96"/>
      <c r="R120" s="96"/>
      <c r="S120" s="96"/>
      <c r="T120" s="96"/>
      <c r="U120" s="46">
        <f>SUM(U100:U119)</f>
        <v>72748.465089999998</v>
      </c>
    </row>
    <row r="121" spans="1:25">
      <c r="A121" s="102"/>
      <c r="B121" s="103"/>
      <c r="C121" s="102"/>
      <c r="D121" s="102"/>
      <c r="E121" s="55"/>
      <c r="F121" s="55"/>
      <c r="G121" s="55"/>
      <c r="H121" s="104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126"/>
    </row>
    <row r="122" spans="1:25" ht="12" customHeight="1">
      <c r="A122" s="90"/>
      <c r="B122" s="19" t="s">
        <v>94</v>
      </c>
      <c r="C122" s="68"/>
      <c r="D122" s="91"/>
      <c r="E122" s="55"/>
      <c r="F122" s="55"/>
      <c r="G122" s="55"/>
      <c r="H122" s="105">
        <f>H120/E123/12*1000</f>
        <v>3.3483736118015281</v>
      </c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126"/>
    </row>
    <row r="123" spans="1:25" s="20" customFormat="1">
      <c r="A123" s="106"/>
      <c r="B123" s="107" t="s">
        <v>95</v>
      </c>
      <c r="C123" s="108"/>
      <c r="D123" s="107"/>
      <c r="E123" s="139">
        <v>1810.5</v>
      </c>
      <c r="F123" s="109">
        <f>SUM(E123*12)</f>
        <v>21726</v>
      </c>
      <c r="G123" s="110">
        <f>H98+H122</f>
        <v>28.493758644870965</v>
      </c>
      <c r="H123" s="111">
        <f>SUM(F123*G123/1000)</f>
        <v>619.05540031846658</v>
      </c>
      <c r="I123" s="96">
        <f t="shared" ref="I123:R123" si="49">SUM(I11:I122)</f>
        <v>42189.23037533334</v>
      </c>
      <c r="J123" s="96">
        <f t="shared" si="49"/>
        <v>50432.300375333332</v>
      </c>
      <c r="K123" s="96">
        <f t="shared" si="49"/>
        <v>32715.994925333343</v>
      </c>
      <c r="L123" s="96">
        <f t="shared" si="49"/>
        <v>39720.82253533334</v>
      </c>
      <c r="M123" s="96">
        <f>SUM(M11:M122)</f>
        <v>90320.623223077797</v>
      </c>
      <c r="N123" s="96">
        <f t="shared" si="49"/>
        <v>38589.212401377779</v>
      </c>
      <c r="O123" s="96">
        <f t="shared" si="49"/>
        <v>36432.842401377777</v>
      </c>
      <c r="P123" s="96">
        <f t="shared" si="49"/>
        <v>78528.592401377769</v>
      </c>
      <c r="Q123" s="96">
        <f t="shared" si="49"/>
        <v>42487.529057877786</v>
      </c>
      <c r="R123" s="96">
        <f t="shared" si="49"/>
        <v>43896.779081377783</v>
      </c>
      <c r="S123" s="96">
        <f>SUM(S11:S122)</f>
        <v>36619.986935333334</v>
      </c>
      <c r="T123" s="96">
        <f>SUM(T11:T122)</f>
        <v>32562.780375333343</v>
      </c>
      <c r="U123" s="46">
        <f>U96+U120</f>
        <v>564496.69408846658</v>
      </c>
    </row>
    <row r="124" spans="1:25">
      <c r="A124" s="113"/>
      <c r="B124" s="113"/>
      <c r="C124" s="113"/>
      <c r="D124" s="113"/>
      <c r="E124" s="112"/>
      <c r="F124" s="112"/>
      <c r="G124" s="112"/>
      <c r="H124" s="112"/>
      <c r="I124" s="112"/>
      <c r="J124" s="112"/>
      <c r="K124" s="112"/>
      <c r="L124" s="112"/>
      <c r="M124" s="113"/>
      <c r="N124" s="112"/>
      <c r="O124" s="113"/>
      <c r="P124" s="113"/>
      <c r="Q124" s="113"/>
      <c r="R124" s="113"/>
      <c r="S124" s="113"/>
      <c r="T124" s="113"/>
      <c r="U124" s="113"/>
    </row>
    <row r="125" spans="1:25">
      <c r="A125" s="113"/>
      <c r="B125" s="113"/>
      <c r="C125" s="113"/>
      <c r="D125" s="113"/>
      <c r="E125" s="112"/>
      <c r="F125" s="112"/>
      <c r="G125" s="112"/>
      <c r="H125" s="112"/>
      <c r="I125" s="112"/>
      <c r="J125" s="114"/>
      <c r="K125" s="115"/>
      <c r="L125" s="114"/>
      <c r="M125" s="112"/>
      <c r="N125" s="113"/>
      <c r="O125" s="113"/>
      <c r="P125" s="113"/>
      <c r="Q125" s="113"/>
      <c r="R125" s="113"/>
      <c r="S125" s="113"/>
      <c r="T125" s="113"/>
      <c r="U125" s="113"/>
    </row>
    <row r="126" spans="1:25" ht="45">
      <c r="A126" s="113"/>
      <c r="B126" s="120" t="s">
        <v>229</v>
      </c>
      <c r="C126" s="178">
        <v>-32874.6</v>
      </c>
      <c r="D126" s="179"/>
      <c r="E126" s="179"/>
      <c r="F126" s="180"/>
      <c r="G126" s="112"/>
      <c r="H126" s="112"/>
      <c r="I126" s="112"/>
      <c r="J126" s="114"/>
      <c r="K126" s="115"/>
      <c r="L126" s="114"/>
      <c r="M126" s="112"/>
      <c r="N126" s="113"/>
      <c r="O126" s="113"/>
      <c r="P126" s="113"/>
      <c r="Q126" s="113"/>
      <c r="R126" s="113"/>
      <c r="S126" s="113"/>
      <c r="T126" s="113"/>
      <c r="U126" s="113"/>
    </row>
    <row r="127" spans="1:25" ht="30">
      <c r="A127" s="113"/>
      <c r="B127" s="120" t="s">
        <v>231</v>
      </c>
      <c r="C127" s="178">
        <f>(47634.28*11)+41203.64</f>
        <v>565180.72</v>
      </c>
      <c r="D127" s="179"/>
      <c r="E127" s="179"/>
      <c r="F127" s="180"/>
      <c r="G127" s="112"/>
      <c r="H127" s="112"/>
      <c r="I127" s="112"/>
      <c r="J127" s="114"/>
      <c r="K127" s="115"/>
      <c r="L127" s="114"/>
      <c r="M127" s="112"/>
      <c r="N127" s="113"/>
      <c r="O127" s="113"/>
      <c r="P127" s="113"/>
      <c r="Q127" s="113"/>
      <c r="R127" s="113"/>
      <c r="S127" s="113"/>
      <c r="T127" s="113"/>
      <c r="U127" s="113"/>
    </row>
    <row r="128" spans="1:25" ht="30">
      <c r="A128" s="113"/>
      <c r="B128" s="120" t="s">
        <v>232</v>
      </c>
      <c r="C128" s="178">
        <f>SUM(U123-U120)</f>
        <v>491748.22899846657</v>
      </c>
      <c r="D128" s="179"/>
      <c r="E128" s="179"/>
      <c r="F128" s="180"/>
      <c r="G128" s="112"/>
      <c r="H128" s="112"/>
      <c r="I128" s="112"/>
      <c r="J128" s="114"/>
      <c r="K128" s="115"/>
      <c r="L128" s="114"/>
      <c r="M128" s="112"/>
      <c r="N128" s="113"/>
      <c r="O128" s="113"/>
      <c r="P128" s="113"/>
      <c r="Q128" s="113"/>
      <c r="R128" s="113"/>
      <c r="S128" s="113"/>
      <c r="T128" s="113"/>
      <c r="U128" s="113"/>
    </row>
    <row r="129" spans="1:21" ht="30">
      <c r="A129" s="113"/>
      <c r="B129" s="120" t="s">
        <v>233</v>
      </c>
      <c r="C129" s="178">
        <f>SUM(U120)</f>
        <v>72748.465089999998</v>
      </c>
      <c r="D129" s="179"/>
      <c r="E129" s="179"/>
      <c r="F129" s="180"/>
      <c r="G129" s="112"/>
      <c r="H129" s="112"/>
      <c r="I129" s="112"/>
      <c r="J129" s="114"/>
      <c r="K129" s="115"/>
      <c r="L129" s="114"/>
      <c r="M129" s="112"/>
      <c r="N129" s="113"/>
      <c r="O129" s="113"/>
      <c r="P129" s="113"/>
      <c r="Q129" s="113"/>
      <c r="R129" s="113"/>
      <c r="S129" s="113"/>
      <c r="T129" s="113"/>
      <c r="U129" s="113"/>
    </row>
    <row r="130" spans="1:21" ht="18">
      <c r="A130" s="113"/>
      <c r="B130" s="122" t="s">
        <v>234</v>
      </c>
      <c r="C130" s="178">
        <f>72963.78+49146.16+55812.58+37857.65+43711.85+41059.84+42216.92+69928.9+38541.64+54330.59+43027.77+48362.18</f>
        <v>596959.86</v>
      </c>
      <c r="D130" s="179"/>
      <c r="E130" s="179"/>
      <c r="F130" s="180"/>
      <c r="G130" s="113"/>
      <c r="H130" s="116" t="s">
        <v>101</v>
      </c>
      <c r="J130" s="117"/>
      <c r="K130" s="118"/>
      <c r="L130" s="119"/>
      <c r="N130" s="116"/>
      <c r="O130" s="113"/>
      <c r="P130" s="113"/>
      <c r="Q130" s="113"/>
      <c r="R130" s="113"/>
      <c r="S130" s="113"/>
      <c r="T130" s="113"/>
      <c r="U130" s="113"/>
    </row>
    <row r="131" spans="1:21" ht="78.75">
      <c r="A131" s="113"/>
      <c r="B131" s="161" t="s">
        <v>263</v>
      </c>
      <c r="C131" s="181">
        <v>101373.19</v>
      </c>
      <c r="D131" s="182"/>
      <c r="E131" s="182"/>
      <c r="F131" s="183"/>
      <c r="G131" s="113"/>
      <c r="H131" s="113"/>
      <c r="I131" s="113"/>
      <c r="J131" s="113"/>
      <c r="K131" s="113"/>
      <c r="L131" s="113"/>
      <c r="M131" s="113"/>
      <c r="N131" s="113"/>
      <c r="O131" s="113"/>
      <c r="P131" s="113"/>
      <c r="Q131" s="113"/>
      <c r="R131" s="113"/>
      <c r="S131" s="113"/>
      <c r="T131" s="113"/>
      <c r="U131" s="113"/>
    </row>
    <row r="132" spans="1:21" ht="45">
      <c r="A132" s="113"/>
      <c r="B132" s="120" t="s">
        <v>264</v>
      </c>
      <c r="C132" s="178">
        <f>SUM(C128+C129-C127)+C126</f>
        <v>-33558.625911533389</v>
      </c>
      <c r="D132" s="179"/>
      <c r="E132" s="179"/>
      <c r="F132" s="180"/>
      <c r="G132" s="113"/>
      <c r="H132" s="113"/>
      <c r="I132" s="113"/>
      <c r="J132" s="113"/>
      <c r="K132" s="113"/>
      <c r="L132" s="113"/>
      <c r="M132" s="113"/>
      <c r="N132" s="113"/>
      <c r="O132" s="113"/>
      <c r="P132" s="113"/>
      <c r="Q132" s="113"/>
      <c r="R132" s="113"/>
      <c r="S132" s="113"/>
      <c r="T132" s="113"/>
      <c r="U132" s="113"/>
    </row>
    <row r="134" spans="1:21">
      <c r="J134" s="5"/>
      <c r="K134" s="6"/>
      <c r="L134" s="6"/>
      <c r="M134" s="4"/>
    </row>
    <row r="135" spans="1:21">
      <c r="G135" s="7"/>
      <c r="H135" s="7"/>
    </row>
    <row r="136" spans="1:21">
      <c r="G136" s="8"/>
    </row>
  </sheetData>
  <mergeCells count="12">
    <mergeCell ref="C126:F126"/>
    <mergeCell ref="C132:F132"/>
    <mergeCell ref="C127:F127"/>
    <mergeCell ref="C128:F128"/>
    <mergeCell ref="C129:F129"/>
    <mergeCell ref="C130:F130"/>
    <mergeCell ref="C131:F131"/>
    <mergeCell ref="W94:Z94"/>
    <mergeCell ref="B3:L3"/>
    <mergeCell ref="B4:L4"/>
    <mergeCell ref="B5:L5"/>
    <mergeCell ref="B6:L6"/>
  </mergeCells>
  <printOptions horizontalCentered="1"/>
  <pageMargins left="0.11811023622047245" right="0.11811023622047245" top="0.15748031496062992" bottom="0.19685039370078741" header="0.15748031496062992" footer="0.15748031496062992"/>
  <pageSetup paperSize="9" scale="55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Нефт., 5</vt:lpstr>
      <vt:lpstr>'Нефт., 5'!Область_печати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Партнёр</dc:creator>
  <cp:lastModifiedBy>user</cp:lastModifiedBy>
  <cp:lastPrinted>2018-07-30T11:03:43Z</cp:lastPrinted>
  <dcterms:created xsi:type="dcterms:W3CDTF">2014-02-05T12:20:20Z</dcterms:created>
  <dcterms:modified xsi:type="dcterms:W3CDTF">2018-07-30T11:20:32Z</dcterms:modified>
</cp:coreProperties>
</file>