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20" windowWidth="15480" windowHeight="8010" activeTab="11"/>
  </bookViews>
  <sheets>
    <sheet name="01.17" sheetId="8" r:id="rId1"/>
    <sheet name="02.17" sheetId="18" r:id="rId2"/>
    <sheet name="03.17" sheetId="27" r:id="rId3"/>
    <sheet name="04.17" sheetId="28" r:id="rId4"/>
    <sheet name="05.17" sheetId="29" r:id="rId5"/>
    <sheet name="06.17" sheetId="30" r:id="rId6"/>
    <sheet name="07.17" sheetId="31" r:id="rId7"/>
    <sheet name="08.17" sheetId="32" r:id="rId8"/>
    <sheet name="09.17" sheetId="33" r:id="rId9"/>
    <sheet name="10.17" sheetId="34" r:id="rId10"/>
    <sheet name="11.17" sheetId="35" r:id="rId11"/>
    <sheet name="12.17" sheetId="36" r:id="rId12"/>
  </sheets>
  <definedNames>
    <definedName name="_xlnm._FilterDatabase" localSheetId="0" hidden="1">'01.17'!$I$15:$I$118</definedName>
    <definedName name="_xlnm._FilterDatabase" localSheetId="1" hidden="1">'02.17'!$I$15:$I$100</definedName>
    <definedName name="_xlnm._FilterDatabase" localSheetId="2" hidden="1">'03.17'!$I$15:$I$98</definedName>
    <definedName name="_xlnm._FilterDatabase" localSheetId="3" hidden="1">'04.17'!$I$15:$I$92</definedName>
    <definedName name="_xlnm._FilterDatabase" localSheetId="4" hidden="1">'05.17'!$I$15:$I$106</definedName>
    <definedName name="_xlnm._FilterDatabase" localSheetId="5" hidden="1">'06.17'!$I$15:$I$95</definedName>
    <definedName name="_xlnm._FilterDatabase" localSheetId="6" hidden="1">'07.17'!$I$15:$I$93</definedName>
    <definedName name="_xlnm._FilterDatabase" localSheetId="7" hidden="1">'08.17'!$I$15:$I$97</definedName>
    <definedName name="_xlnm._FilterDatabase" localSheetId="8" hidden="1">'09.17'!$I$15:$I$98</definedName>
    <definedName name="_xlnm._FilterDatabase" localSheetId="9" hidden="1">'10.17'!$I$15:$I$95</definedName>
    <definedName name="_xlnm._FilterDatabase" localSheetId="10" hidden="1">'11.17'!$I$15:$I$94</definedName>
    <definedName name="_xlnm._FilterDatabase" localSheetId="11" hidden="1">'12.17'!$I$15:$I$94</definedName>
    <definedName name="_xlnm.Print_Area" localSheetId="0">'01.17'!$A$1:$I$135</definedName>
    <definedName name="_xlnm.Print_Area" localSheetId="1">'02.17'!$A$1:$I$117</definedName>
    <definedName name="_xlnm.Print_Area" localSheetId="2">'03.17'!$A$1:$I$115</definedName>
    <definedName name="_xlnm.Print_Area" localSheetId="3">'04.17'!$A$1:$I$109</definedName>
    <definedName name="_xlnm.Print_Area" localSheetId="4">'05.17'!$A$1:$I$123</definedName>
    <definedName name="_xlnm.Print_Area" localSheetId="5">'06.17'!$A$1:$I$112</definedName>
    <definedName name="_xlnm.Print_Area" localSheetId="6">'07.17'!$A$1:$I$110</definedName>
    <definedName name="_xlnm.Print_Area" localSheetId="7">'08.17'!$A$1:$I$114</definedName>
    <definedName name="_xlnm.Print_Area" localSheetId="8">'09.17'!$A$1:$I$115</definedName>
    <definedName name="_xlnm.Print_Area" localSheetId="9">'10.17'!$A$1:$I$112</definedName>
    <definedName name="_xlnm.Print_Area" localSheetId="10">'11.17'!$A$1:$I$111</definedName>
    <definedName name="_xlnm.Print_Area" localSheetId="11">'12.17'!$A$1:$I$111</definedName>
  </definedNames>
  <calcPr calcId="124519"/>
</workbook>
</file>

<file path=xl/calcChain.xml><?xml version="1.0" encoding="utf-8"?>
<calcChain xmlns="http://schemas.openxmlformats.org/spreadsheetml/2006/main">
  <c r="I87" i="36"/>
  <c r="I88" s="1"/>
  <c r="F87"/>
  <c r="H87" s="1"/>
  <c r="I84"/>
  <c r="I84" i="35"/>
  <c r="I88" i="30"/>
  <c r="I89" s="1"/>
  <c r="F88"/>
  <c r="H88" s="1"/>
  <c r="I42" i="27" l="1"/>
  <c r="I84" i="18"/>
  <c r="I84" i="8"/>
  <c r="I86" i="36" l="1"/>
  <c r="G86"/>
  <c r="H86" s="1"/>
  <c r="F83"/>
  <c r="H83" s="1"/>
  <c r="H84" s="1"/>
  <c r="F82"/>
  <c r="I82" s="1"/>
  <c r="I80"/>
  <c r="H80"/>
  <c r="H78"/>
  <c r="F76"/>
  <c r="H76" s="1"/>
  <c r="I75"/>
  <c r="F75"/>
  <c r="H75" s="1"/>
  <c r="H74"/>
  <c r="F74"/>
  <c r="H73"/>
  <c r="F73"/>
  <c r="F71"/>
  <c r="I71" s="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I63"/>
  <c r="F63"/>
  <c r="H63" s="1"/>
  <c r="F61"/>
  <c r="H61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7" i="35"/>
  <c r="I86"/>
  <c r="I88" s="1"/>
  <c r="H87"/>
  <c r="H86"/>
  <c r="I75"/>
  <c r="F83"/>
  <c r="I83" s="1"/>
  <c r="F82"/>
  <c r="H82" s="1"/>
  <c r="I80"/>
  <c r="H80"/>
  <c r="H78"/>
  <c r="F76"/>
  <c r="H76" s="1"/>
  <c r="F75"/>
  <c r="H75" s="1"/>
  <c r="F74"/>
  <c r="H74" s="1"/>
  <c r="F73"/>
  <c r="H73" s="1"/>
  <c r="F71"/>
  <c r="I71" s="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I63"/>
  <c r="F63"/>
  <c r="H63" s="1"/>
  <c r="F61"/>
  <c r="H61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4" i="34"/>
  <c r="I89"/>
  <c r="I88"/>
  <c r="H88"/>
  <c r="H87"/>
  <c r="I86"/>
  <c r="F86"/>
  <c r="H86" s="1"/>
  <c r="H91" i="33"/>
  <c r="I91"/>
  <c r="I92" s="1"/>
  <c r="I89"/>
  <c r="H89"/>
  <c r="H70" i="36" l="1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1"/>
  <c r="H57"/>
  <c r="I61"/>
  <c r="I65"/>
  <c r="H66"/>
  <c r="I67"/>
  <c r="H68"/>
  <c r="H69"/>
  <c r="H71"/>
  <c r="H82"/>
  <c r="I83"/>
  <c r="H70" i="35"/>
  <c r="H57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1"/>
  <c r="I61"/>
  <c r="I65"/>
  <c r="H66"/>
  <c r="I67"/>
  <c r="H68"/>
  <c r="H69"/>
  <c r="H71"/>
  <c r="I82"/>
  <c r="H83"/>
  <c r="H84" s="1"/>
  <c r="I90" i="36" l="1"/>
  <c r="H79"/>
  <c r="H79" i="35"/>
  <c r="I90"/>
  <c r="I87" i="34" l="1"/>
  <c r="F83"/>
  <c r="I83" s="1"/>
  <c r="F82"/>
  <c r="H82" s="1"/>
  <c r="I80"/>
  <c r="H80"/>
  <c r="H78"/>
  <c r="F76"/>
  <c r="H76" s="1"/>
  <c r="F75"/>
  <c r="H75" s="1"/>
  <c r="F74"/>
  <c r="H74" s="1"/>
  <c r="F73"/>
  <c r="H73" s="1"/>
  <c r="F71"/>
  <c r="I71" s="1"/>
  <c r="F70"/>
  <c r="H70" s="1"/>
  <c r="E69"/>
  <c r="F69" s="1"/>
  <c r="F68"/>
  <c r="I68" s="1"/>
  <c r="F67"/>
  <c r="H67" s="1"/>
  <c r="F66"/>
  <c r="I66" s="1"/>
  <c r="F65"/>
  <c r="H65" s="1"/>
  <c r="F64"/>
  <c r="H64" s="1"/>
  <c r="I63"/>
  <c r="F63"/>
  <c r="H63" s="1"/>
  <c r="F61"/>
  <c r="H61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4" i="33"/>
  <c r="I90"/>
  <c r="I88"/>
  <c r="I87"/>
  <c r="H90"/>
  <c r="H88"/>
  <c r="H87"/>
  <c r="I86"/>
  <c r="H86"/>
  <c r="I70"/>
  <c r="F83"/>
  <c r="H83" s="1"/>
  <c r="H84" s="1"/>
  <c r="F82"/>
  <c r="I82" s="1"/>
  <c r="I80"/>
  <c r="H80"/>
  <c r="H78"/>
  <c r="F76"/>
  <c r="H76" s="1"/>
  <c r="F75"/>
  <c r="H75" s="1"/>
  <c r="F74"/>
  <c r="H74" s="1"/>
  <c r="H73"/>
  <c r="F73"/>
  <c r="F71"/>
  <c r="H71" s="1"/>
  <c r="F70"/>
  <c r="H70" s="1"/>
  <c r="E69"/>
  <c r="F69" s="1"/>
  <c r="F68"/>
  <c r="I68" s="1"/>
  <c r="F67"/>
  <c r="H67" s="1"/>
  <c r="F66"/>
  <c r="I66" s="1"/>
  <c r="F65"/>
  <c r="H65" s="1"/>
  <c r="F64"/>
  <c r="H64" s="1"/>
  <c r="I63"/>
  <c r="H63"/>
  <c r="F63"/>
  <c r="F61"/>
  <c r="H61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1" i="32"/>
  <c r="I90"/>
  <c r="I89"/>
  <c r="I88"/>
  <c r="H90"/>
  <c r="H89"/>
  <c r="H88"/>
  <c r="I87"/>
  <c r="H87"/>
  <c r="I86"/>
  <c r="H86"/>
  <c r="F83"/>
  <c r="H83" s="1"/>
  <c r="H84" s="1"/>
  <c r="F82"/>
  <c r="I82" s="1"/>
  <c r="I80"/>
  <c r="H80"/>
  <c r="H78"/>
  <c r="F76"/>
  <c r="H76" s="1"/>
  <c r="F75"/>
  <c r="H75" s="1"/>
  <c r="F74"/>
  <c r="H74" s="1"/>
  <c r="H73"/>
  <c r="F73"/>
  <c r="F71"/>
  <c r="H71" s="1"/>
  <c r="F70"/>
  <c r="H70" s="1"/>
  <c r="E69"/>
  <c r="F69" s="1"/>
  <c r="F68"/>
  <c r="I68" s="1"/>
  <c r="F67"/>
  <c r="H67" s="1"/>
  <c r="F66"/>
  <c r="I66" s="1"/>
  <c r="F65"/>
  <c r="H65" s="1"/>
  <c r="F64"/>
  <c r="H64" s="1"/>
  <c r="I63"/>
  <c r="F63"/>
  <c r="H63" s="1"/>
  <c r="F61"/>
  <c r="H61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H38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7"/>
  <c r="F17"/>
  <c r="I17" s="1"/>
  <c r="F16"/>
  <c r="H16" s="1"/>
  <c r="I86" i="31"/>
  <c r="H86"/>
  <c r="I87"/>
  <c r="F83"/>
  <c r="I83" s="1"/>
  <c r="F82"/>
  <c r="H82" s="1"/>
  <c r="I80"/>
  <c r="H80"/>
  <c r="H78"/>
  <c r="F76"/>
  <c r="H76" s="1"/>
  <c r="F75"/>
  <c r="H75" s="1"/>
  <c r="H74"/>
  <c r="F74"/>
  <c r="H73"/>
  <c r="F73"/>
  <c r="F71"/>
  <c r="I71" s="1"/>
  <c r="F70"/>
  <c r="H70" s="1"/>
  <c r="E69"/>
  <c r="F69" s="1"/>
  <c r="F68"/>
  <c r="H68" s="1"/>
  <c r="F67"/>
  <c r="I67" s="1"/>
  <c r="F66"/>
  <c r="H66" s="1"/>
  <c r="F65"/>
  <c r="I65" s="1"/>
  <c r="F64"/>
  <c r="H64" s="1"/>
  <c r="I63"/>
  <c r="F63"/>
  <c r="H63" s="1"/>
  <c r="F61"/>
  <c r="I61" s="1"/>
  <c r="F60"/>
  <c r="H60" s="1"/>
  <c r="I58"/>
  <c r="H58"/>
  <c r="F57"/>
  <c r="H57" s="1"/>
  <c r="I54"/>
  <c r="H54"/>
  <c r="F54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I33" s="1"/>
  <c r="E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7" i="30"/>
  <c r="H87"/>
  <c r="I86"/>
  <c r="F86"/>
  <c r="H86" s="1"/>
  <c r="F83"/>
  <c r="I83" s="1"/>
  <c r="H82"/>
  <c r="F82"/>
  <c r="I82" s="1"/>
  <c r="I80"/>
  <c r="H80"/>
  <c r="H78"/>
  <c r="F76"/>
  <c r="H76" s="1"/>
  <c r="F75"/>
  <c r="H75" s="1"/>
  <c r="F74"/>
  <c r="H74" s="1"/>
  <c r="F73"/>
  <c r="H73" s="1"/>
  <c r="F71"/>
  <c r="I71" s="1"/>
  <c r="F70"/>
  <c r="H70" s="1"/>
  <c r="E69"/>
  <c r="F69" s="1"/>
  <c r="F68"/>
  <c r="I68" s="1"/>
  <c r="F67"/>
  <c r="I67" s="1"/>
  <c r="F66"/>
  <c r="I66" s="1"/>
  <c r="F65"/>
  <c r="I65" s="1"/>
  <c r="F64"/>
  <c r="H64" s="1"/>
  <c r="I63"/>
  <c r="F63"/>
  <c r="H63" s="1"/>
  <c r="F61"/>
  <c r="I61" s="1"/>
  <c r="F60"/>
  <c r="H60" s="1"/>
  <c r="I58"/>
  <c r="H58"/>
  <c r="F57"/>
  <c r="I57" s="1"/>
  <c r="I54"/>
  <c r="F54"/>
  <c r="H54" s="1"/>
  <c r="I53"/>
  <c r="H53"/>
  <c r="F53"/>
  <c r="I52"/>
  <c r="H52"/>
  <c r="F51"/>
  <c r="I51" s="1"/>
  <c r="E50"/>
  <c r="F50" s="1"/>
  <c r="H49"/>
  <c r="F49"/>
  <c r="I49" s="1"/>
  <c r="F48"/>
  <c r="I48" s="1"/>
  <c r="F47"/>
  <c r="I47" s="1"/>
  <c r="F46"/>
  <c r="I46" s="1"/>
  <c r="F45"/>
  <c r="I45" s="1"/>
  <c r="I43"/>
  <c r="H43"/>
  <c r="F42"/>
  <c r="I42" s="1"/>
  <c r="F41"/>
  <c r="I41" s="1"/>
  <c r="F40"/>
  <c r="I40" s="1"/>
  <c r="I39"/>
  <c r="H39"/>
  <c r="H38"/>
  <c r="F38"/>
  <c r="I38" s="1"/>
  <c r="I37"/>
  <c r="H37"/>
  <c r="H35"/>
  <c r="H34"/>
  <c r="F33"/>
  <c r="I33" s="1"/>
  <c r="E33"/>
  <c r="F32"/>
  <c r="I32" s="1"/>
  <c r="F31"/>
  <c r="I31" s="1"/>
  <c r="F30"/>
  <c r="I30" s="1"/>
  <c r="H27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I84" s="1"/>
  <c r="I99" i="29"/>
  <c r="I98"/>
  <c r="I97"/>
  <c r="I96"/>
  <c r="I95"/>
  <c r="I94"/>
  <c r="I93"/>
  <c r="I92"/>
  <c r="I90"/>
  <c r="I91"/>
  <c r="I89"/>
  <c r="I88"/>
  <c r="I87"/>
  <c r="I100" s="1"/>
  <c r="H99"/>
  <c r="H98"/>
  <c r="H97"/>
  <c r="H96"/>
  <c r="H95"/>
  <c r="H94"/>
  <c r="H93"/>
  <c r="H92"/>
  <c r="H91"/>
  <c r="H90"/>
  <c r="H89"/>
  <c r="H88"/>
  <c r="H87"/>
  <c r="I86"/>
  <c r="H86"/>
  <c r="F86"/>
  <c r="I66"/>
  <c r="I67"/>
  <c r="I68"/>
  <c r="I69"/>
  <c r="I65"/>
  <c r="I32"/>
  <c r="I31"/>
  <c r="I33"/>
  <c r="I30"/>
  <c r="I23"/>
  <c r="I24"/>
  <c r="I25"/>
  <c r="I22"/>
  <c r="I20"/>
  <c r="I84" s="1"/>
  <c r="I21"/>
  <c r="I19"/>
  <c r="I69" i="34" l="1"/>
  <c r="H69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1"/>
  <c r="H57"/>
  <c r="I61"/>
  <c r="I65"/>
  <c r="H66"/>
  <c r="I67"/>
  <c r="H68"/>
  <c r="I70"/>
  <c r="H71"/>
  <c r="I82"/>
  <c r="H83"/>
  <c r="H84" s="1"/>
  <c r="H66" i="33"/>
  <c r="H68"/>
  <c r="I69"/>
  <c r="H69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1"/>
  <c r="H57"/>
  <c r="H79" s="1"/>
  <c r="I61"/>
  <c r="I65"/>
  <c r="I67"/>
  <c r="I71"/>
  <c r="H82"/>
  <c r="I83"/>
  <c r="I50" i="32"/>
  <c r="H50"/>
  <c r="I69"/>
  <c r="H69"/>
  <c r="H18"/>
  <c r="I18"/>
  <c r="I16"/>
  <c r="H19"/>
  <c r="I20"/>
  <c r="H21"/>
  <c r="I22"/>
  <c r="H23"/>
  <c r="I24"/>
  <c r="H25"/>
  <c r="I26"/>
  <c r="H27"/>
  <c r="I30"/>
  <c r="H31"/>
  <c r="I32"/>
  <c r="I33"/>
  <c r="I40"/>
  <c r="H41"/>
  <c r="I42"/>
  <c r="H45"/>
  <c r="I46"/>
  <c r="H47"/>
  <c r="I48"/>
  <c r="H49"/>
  <c r="I51"/>
  <c r="H57"/>
  <c r="I61"/>
  <c r="I65"/>
  <c r="H66"/>
  <c r="I67"/>
  <c r="H68"/>
  <c r="I71"/>
  <c r="H82"/>
  <c r="I83"/>
  <c r="H33" i="31"/>
  <c r="H50"/>
  <c r="I50"/>
  <c r="I18"/>
  <c r="H18"/>
  <c r="H69"/>
  <c r="I69"/>
  <c r="I16"/>
  <c r="H17"/>
  <c r="I19"/>
  <c r="H20"/>
  <c r="I21"/>
  <c r="H22"/>
  <c r="I23"/>
  <c r="H24"/>
  <c r="I25"/>
  <c r="H26"/>
  <c r="I27"/>
  <c r="H30"/>
  <c r="I31"/>
  <c r="H32"/>
  <c r="I38"/>
  <c r="H40"/>
  <c r="I41"/>
  <c r="H42"/>
  <c r="I45"/>
  <c r="H46"/>
  <c r="I47"/>
  <c r="H48"/>
  <c r="I49"/>
  <c r="H51"/>
  <c r="I57"/>
  <c r="H61"/>
  <c r="H65"/>
  <c r="I66"/>
  <c r="H67"/>
  <c r="I68"/>
  <c r="H71"/>
  <c r="I82"/>
  <c r="H83"/>
  <c r="H84" s="1"/>
  <c r="H16" i="30"/>
  <c r="H23"/>
  <c r="H31"/>
  <c r="H41"/>
  <c r="H66"/>
  <c r="H19"/>
  <c r="H45"/>
  <c r="H57"/>
  <c r="H68"/>
  <c r="H47"/>
  <c r="H21"/>
  <c r="H25"/>
  <c r="H50"/>
  <c r="I50"/>
  <c r="H69"/>
  <c r="I69"/>
  <c r="I91" s="1"/>
  <c r="H17"/>
  <c r="H18"/>
  <c r="H20"/>
  <c r="H22"/>
  <c r="H24"/>
  <c r="H26"/>
  <c r="H30"/>
  <c r="H32"/>
  <c r="H33"/>
  <c r="H40"/>
  <c r="H42"/>
  <c r="H46"/>
  <c r="H48"/>
  <c r="H51"/>
  <c r="H61"/>
  <c r="H65"/>
  <c r="H67"/>
  <c r="H71"/>
  <c r="H83"/>
  <c r="H84" s="1"/>
  <c r="I91" i="34" l="1"/>
  <c r="H79"/>
  <c r="I94" i="33"/>
  <c r="I84" i="32"/>
  <c r="I93" s="1"/>
  <c r="H79"/>
  <c r="H79" i="31"/>
  <c r="I84"/>
  <c r="I89" s="1"/>
  <c r="H79" i="30"/>
  <c r="F83" i="29" l="1"/>
  <c r="H83" s="1"/>
  <c r="H84" s="1"/>
  <c r="F82"/>
  <c r="I82" s="1"/>
  <c r="I80"/>
  <c r="H80"/>
  <c r="H78"/>
  <c r="H76"/>
  <c r="F76"/>
  <c r="H75"/>
  <c r="F75"/>
  <c r="H74"/>
  <c r="F74"/>
  <c r="H73"/>
  <c r="F73"/>
  <c r="F71"/>
  <c r="H71" s="1"/>
  <c r="F70"/>
  <c r="H70" s="1"/>
  <c r="F69"/>
  <c r="H69" s="1"/>
  <c r="E69"/>
  <c r="H68"/>
  <c r="F68"/>
  <c r="H67"/>
  <c r="F67"/>
  <c r="H66"/>
  <c r="F66"/>
  <c r="H65"/>
  <c r="F65"/>
  <c r="H64"/>
  <c r="F64"/>
  <c r="I63"/>
  <c r="F63"/>
  <c r="H63" s="1"/>
  <c r="F61"/>
  <c r="I61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I43"/>
  <c r="H43"/>
  <c r="H42"/>
  <c r="F42"/>
  <c r="I42" s="1"/>
  <c r="F41"/>
  <c r="H41" s="1"/>
  <c r="F40"/>
  <c r="I40" s="1"/>
  <c r="I39"/>
  <c r="H39"/>
  <c r="F38"/>
  <c r="H38" s="1"/>
  <c r="I37"/>
  <c r="H37"/>
  <c r="H35"/>
  <c r="H34"/>
  <c r="F33"/>
  <c r="H33" s="1"/>
  <c r="E33"/>
  <c r="H32"/>
  <c r="F32"/>
  <c r="H31"/>
  <c r="F31"/>
  <c r="H30"/>
  <c r="F30"/>
  <c r="F27"/>
  <c r="H27" s="1"/>
  <c r="F26"/>
  <c r="I26" s="1"/>
  <c r="H25"/>
  <c r="F25"/>
  <c r="H24"/>
  <c r="F24"/>
  <c r="H23"/>
  <c r="F23"/>
  <c r="H22"/>
  <c r="F22"/>
  <c r="H21"/>
  <c r="F21"/>
  <c r="H20"/>
  <c r="F20"/>
  <c r="H19"/>
  <c r="F19"/>
  <c r="F18"/>
  <c r="H18" s="1"/>
  <c r="E18"/>
  <c r="F17"/>
  <c r="H17" s="1"/>
  <c r="F16"/>
  <c r="I16" s="1"/>
  <c r="I86" i="28"/>
  <c r="I63"/>
  <c r="F83"/>
  <c r="I83" s="1"/>
  <c r="F82"/>
  <c r="H82" s="1"/>
  <c r="I80"/>
  <c r="H80"/>
  <c r="H78"/>
  <c r="F76"/>
  <c r="H76" s="1"/>
  <c r="F75"/>
  <c r="H75" s="1"/>
  <c r="F74"/>
  <c r="H74" s="1"/>
  <c r="F73"/>
  <c r="H73" s="1"/>
  <c r="F71"/>
  <c r="I71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H60" s="1"/>
  <c r="I58"/>
  <c r="H58"/>
  <c r="F57"/>
  <c r="I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I38" s="1"/>
  <c r="I37"/>
  <c r="H37"/>
  <c r="H35"/>
  <c r="H34"/>
  <c r="F33"/>
  <c r="H33" s="1"/>
  <c r="E33"/>
  <c r="F32"/>
  <c r="H32" s="1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89" i="27"/>
  <c r="I87"/>
  <c r="I88"/>
  <c r="I90"/>
  <c r="I91"/>
  <c r="I86"/>
  <c r="I92" s="1"/>
  <c r="H91"/>
  <c r="H90"/>
  <c r="H89"/>
  <c r="H88"/>
  <c r="H87"/>
  <c r="F87"/>
  <c r="H86"/>
  <c r="F83"/>
  <c r="H83" s="1"/>
  <c r="F82"/>
  <c r="H82" s="1"/>
  <c r="I80"/>
  <c r="H80"/>
  <c r="H78"/>
  <c r="F76"/>
  <c r="H76" s="1"/>
  <c r="F75"/>
  <c r="H75" s="1"/>
  <c r="F74"/>
  <c r="H74" s="1"/>
  <c r="F73"/>
  <c r="H73" s="1"/>
  <c r="F71"/>
  <c r="H71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H61" s="1"/>
  <c r="F60"/>
  <c r="H60" s="1"/>
  <c r="I58"/>
  <c r="H58"/>
  <c r="F57"/>
  <c r="H57" s="1"/>
  <c r="I53"/>
  <c r="I52"/>
  <c r="F54"/>
  <c r="H54" s="1"/>
  <c r="F53"/>
  <c r="H53" s="1"/>
  <c r="H52"/>
  <c r="F51"/>
  <c r="H51" s="1"/>
  <c r="E50"/>
  <c r="F50" s="1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F40"/>
  <c r="H40" s="1"/>
  <c r="H39"/>
  <c r="F38"/>
  <c r="H38" s="1"/>
  <c r="H37"/>
  <c r="H34"/>
  <c r="H35"/>
  <c r="F33"/>
  <c r="H33" s="1"/>
  <c r="E33"/>
  <c r="F32"/>
  <c r="H32" s="1"/>
  <c r="F31"/>
  <c r="H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I17"/>
  <c r="H40" i="29" l="1"/>
  <c r="H26"/>
  <c r="H16"/>
  <c r="H50"/>
  <c r="I50"/>
  <c r="I17"/>
  <c r="I18"/>
  <c r="I27"/>
  <c r="I38"/>
  <c r="I41"/>
  <c r="I45"/>
  <c r="H46"/>
  <c r="I47"/>
  <c r="H48"/>
  <c r="I49"/>
  <c r="H51"/>
  <c r="I57"/>
  <c r="H61"/>
  <c r="H79" s="1"/>
  <c r="I71"/>
  <c r="H82"/>
  <c r="I83"/>
  <c r="H38" i="28"/>
  <c r="H57"/>
  <c r="H50"/>
  <c r="I50"/>
  <c r="H18"/>
  <c r="I18"/>
  <c r="H16"/>
  <c r="I17"/>
  <c r="H26"/>
  <c r="I27"/>
  <c r="H40"/>
  <c r="I41"/>
  <c r="H42"/>
  <c r="I45"/>
  <c r="H46"/>
  <c r="I47"/>
  <c r="H48"/>
  <c r="I49"/>
  <c r="H51"/>
  <c r="H61"/>
  <c r="H71"/>
  <c r="I82"/>
  <c r="H83"/>
  <c r="H84" s="1"/>
  <c r="I61" i="27"/>
  <c r="I71"/>
  <c r="I51"/>
  <c r="I50"/>
  <c r="I49"/>
  <c r="I47"/>
  <c r="I45"/>
  <c r="I48"/>
  <c r="I46"/>
  <c r="I40"/>
  <c r="I16"/>
  <c r="I18"/>
  <c r="I102" i="29" l="1"/>
  <c r="H79" i="28"/>
  <c r="I84"/>
  <c r="I88" s="1"/>
  <c r="I57" i="27" l="1"/>
  <c r="I54"/>
  <c r="I38"/>
  <c r="I37"/>
  <c r="I26"/>
  <c r="I93" i="18"/>
  <c r="I92"/>
  <c r="I90"/>
  <c r="I89"/>
  <c r="I88"/>
  <c r="I87"/>
  <c r="I86"/>
  <c r="H93"/>
  <c r="H92"/>
  <c r="H90"/>
  <c r="H89"/>
  <c r="H88"/>
  <c r="H87"/>
  <c r="H86"/>
  <c r="F27"/>
  <c r="H27" s="1"/>
  <c r="H26"/>
  <c r="F26"/>
  <c r="I26" s="1"/>
  <c r="H25"/>
  <c r="F25"/>
  <c r="H24"/>
  <c r="F24"/>
  <c r="H23"/>
  <c r="F23"/>
  <c r="H22"/>
  <c r="F22"/>
  <c r="H21"/>
  <c r="F21"/>
  <c r="H20"/>
  <c r="F20"/>
  <c r="H19"/>
  <c r="F19"/>
  <c r="F18"/>
  <c r="H18" s="1"/>
  <c r="E18"/>
  <c r="F17"/>
  <c r="H17" s="1"/>
  <c r="H16"/>
  <c r="F16"/>
  <c r="I16" s="1"/>
  <c r="I112" i="8"/>
  <c r="I89"/>
  <c r="H89"/>
  <c r="I88"/>
  <c r="H88"/>
  <c r="I87"/>
  <c r="H87"/>
  <c r="I86"/>
  <c r="F86"/>
  <c r="H86" s="1"/>
  <c r="I72"/>
  <c r="H79" i="27" l="1"/>
  <c r="H84"/>
  <c r="I83"/>
  <c r="I27"/>
  <c r="I84" s="1"/>
  <c r="I39"/>
  <c r="I41"/>
  <c r="I43"/>
  <c r="I82"/>
  <c r="I94" i="18"/>
  <c r="I27"/>
  <c r="I17"/>
  <c r="I18"/>
  <c r="I94" i="27" l="1"/>
  <c r="E83" i="18" l="1"/>
  <c r="F83" s="1"/>
  <c r="F82"/>
  <c r="H82" s="1"/>
  <c r="H80"/>
  <c r="H78"/>
  <c r="H76"/>
  <c r="H75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I55"/>
  <c r="H55"/>
  <c r="F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6"/>
  <c r="F46"/>
  <c r="I44"/>
  <c r="H44"/>
  <c r="F43"/>
  <c r="H43" s="1"/>
  <c r="F42"/>
  <c r="I42" s="1"/>
  <c r="F41"/>
  <c r="H41" s="1"/>
  <c r="H40"/>
  <c r="F39"/>
  <c r="H39" s="1"/>
  <c r="F38"/>
  <c r="I38" s="1"/>
  <c r="I37"/>
  <c r="H37"/>
  <c r="H34"/>
  <c r="H33"/>
  <c r="H32"/>
  <c r="F32"/>
  <c r="F31"/>
  <c r="H31" s="1"/>
  <c r="F30"/>
  <c r="H30" s="1"/>
  <c r="F29"/>
  <c r="H29" s="1"/>
  <c r="H111" i="8"/>
  <c r="H110"/>
  <c r="H109"/>
  <c r="H108"/>
  <c r="F107"/>
  <c r="H107" s="1"/>
  <c r="F106"/>
  <c r="H106" s="1"/>
  <c r="F105"/>
  <c r="H105" s="1"/>
  <c r="H104"/>
  <c r="H103"/>
  <c r="F102"/>
  <c r="H102" s="1"/>
  <c r="H101"/>
  <c r="H100"/>
  <c r="H99"/>
  <c r="H98"/>
  <c r="H97"/>
  <c r="H96"/>
  <c r="H95"/>
  <c r="H94"/>
  <c r="F93"/>
  <c r="H93" s="1"/>
  <c r="H92"/>
  <c r="H91"/>
  <c r="H90"/>
  <c r="E83"/>
  <c r="F83" s="1"/>
  <c r="F82"/>
  <c r="I82" s="1"/>
  <c r="H80"/>
  <c r="H78"/>
  <c r="H76"/>
  <c r="H75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I55"/>
  <c r="H55"/>
  <c r="F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F38"/>
  <c r="I38" s="1"/>
  <c r="I37"/>
  <c r="H37"/>
  <c r="F27"/>
  <c r="I27" s="1"/>
  <c r="H35"/>
  <c r="H34"/>
  <c r="F26"/>
  <c r="H26" s="1"/>
  <c r="H33"/>
  <c r="F33"/>
  <c r="F32"/>
  <c r="H32" s="1"/>
  <c r="F31"/>
  <c r="H31" s="1"/>
  <c r="F30"/>
  <c r="H30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H83" i="18" l="1"/>
  <c r="H84" s="1"/>
  <c r="I83"/>
  <c r="H38"/>
  <c r="I39"/>
  <c r="I41"/>
  <c r="H42"/>
  <c r="I43"/>
  <c r="H51"/>
  <c r="H59"/>
  <c r="H79" s="1"/>
  <c r="I82"/>
  <c r="H41" i="8"/>
  <c r="H82"/>
  <c r="H17"/>
  <c r="H39"/>
  <c r="H43"/>
  <c r="H51"/>
  <c r="H18"/>
  <c r="I18"/>
  <c r="I83"/>
  <c r="H83"/>
  <c r="H84" s="1"/>
  <c r="H16"/>
  <c r="I26"/>
  <c r="H27"/>
  <c r="H38"/>
  <c r="H42"/>
  <c r="H59"/>
  <c r="H79" s="1"/>
  <c r="I96" i="18" l="1"/>
  <c r="I114" i="8"/>
</calcChain>
</file>

<file path=xl/sharedStrings.xml><?xml version="1.0" encoding="utf-8"?>
<sst xmlns="http://schemas.openxmlformats.org/spreadsheetml/2006/main" count="2693" uniqueCount="288">
  <si>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</si>
  <si>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</si>
  <si>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</si>
  <si>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</si>
  <si>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</si>
  <si>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</si>
  <si>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</si>
  <si>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</si>
  <si>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</si>
  <si>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</si>
  <si>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</si>
  <si>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</si>
  <si>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</si>
  <si>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</si>
  <si>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</si>
  <si>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</si>
  <si>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</si>
  <si>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</si>
  <si>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</si>
  <si>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</si>
  <si>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</si>
  <si>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</si>
  <si>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</si>
  <si>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</si>
  <si>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</si>
  <si>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</si>
  <si>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</si>
  <si>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</si>
  <si>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</si>
  <si>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</si>
  <si>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</si>
  <si>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</si>
  <si>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</si>
  <si>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</si>
  <si>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</si>
  <si>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</si>
  <si>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</si>
  <si>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</si>
  <si>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</si>
  <si>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</si>
  <si>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</si>
  <si>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</si>
  <si>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</si>
  <si>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</si>
  <si>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</si>
  <si>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</si>
  <si>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</si>
  <si>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</si>
  <si>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</si>
  <si>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</si>
  <si>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</si>
  <si>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</si>
  <si>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</si>
  <si>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</si>
  <si>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</si>
  <si>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</si>
  <si>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</si>
  <si>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</si>
  <si>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</si>
  <si>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</si>
  <si>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</si>
  <si>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</si>
  <si>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</si>
  <si>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</si>
  <si>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</si>
  <si>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</si>
  <si>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</si>
  <si>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</si>
  <si>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</si>
  <si>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</si>
  <si>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</si>
  <si>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</si>
  <si>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</si>
  <si>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</si>
  <si>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</si>
  <si>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</si>
  <si>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</si>
  <si>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</si>
  <si>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</si>
  <si>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</si>
  <si>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</si>
  <si>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</si>
  <si>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Смена дверных приборов - петли</t>
  </si>
  <si>
    <t>Смена дверных приборов (замки навесные)</t>
  </si>
  <si>
    <t xml:space="preserve">ежедневно 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</si>
  <si>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</si>
  <si>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</si>
  <si>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</si>
  <si>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</si>
  <si>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</si>
  <si>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</si>
  <si>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генеральный директор Куканов Ю.Л.</t>
  </si>
  <si>
    <t>Сдвигание снега в дни снегопада (проезд)</t>
  </si>
  <si>
    <t>Ремонт отдельных мест покрытия из асбоцементных листов обыкновенного профиля</t>
  </si>
  <si>
    <t>Ремонт поверхности кирпичных стен при глубине заделки в 1 кирпич площадью в одном месте до 1 м2</t>
  </si>
  <si>
    <t>3м</t>
  </si>
  <si>
    <t>шт</t>
  </si>
  <si>
    <t>10 м2</t>
  </si>
  <si>
    <t>10м2</t>
  </si>
  <si>
    <t>Заделка стыков соединений стояков</t>
  </si>
  <si>
    <t>1 соединение</t>
  </si>
  <si>
    <t xml:space="preserve">приемки оказанных услуг и выполненных работ по содержанию и текущему ремонту
общего имущества в многоквартирном доме №3 по ул.Космонавтов пгт.Ярега
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</si>
  <si>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</si>
  <si>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</si>
  <si>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</si>
  <si>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</si>
  <si>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</si>
  <si>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</si>
  <si>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</si>
  <si>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</si>
  <si>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</si>
  <si>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</si>
  <si>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Техническое обслуживание наружных газопроводов</t>
  </si>
  <si>
    <t>ТО внутридомового газ.оборудования</t>
  </si>
  <si>
    <t>100м3</t>
  </si>
  <si>
    <t>1000м3</t>
  </si>
  <si>
    <t>Вода для промывки СО</t>
  </si>
  <si>
    <t>Сброс воды после промывки СО в канализацию</t>
  </si>
  <si>
    <t>Замена ламп ДРЛ</t>
  </si>
  <si>
    <t>Смена светодиодных светильников</t>
  </si>
  <si>
    <t>Стоимость светодиодного светильника</t>
  </si>
  <si>
    <t>тыс.руб.</t>
  </si>
  <si>
    <t>Прочистка каналов</t>
  </si>
  <si>
    <t xml:space="preserve"> </t>
  </si>
  <si>
    <t>Мелкий ремонт электропроводки</t>
  </si>
  <si>
    <t>Укрепление оконных и дверных приборов - пружин, ручек, петель, шпингалетов</t>
  </si>
  <si>
    <t>Работа автовышки</t>
  </si>
  <si>
    <t>маш/час</t>
  </si>
  <si>
    <t>Прогрев XВC</t>
  </si>
  <si>
    <t>156 раз в год</t>
  </si>
  <si>
    <t>104 раза в год</t>
  </si>
  <si>
    <t xml:space="preserve">24 раза в год </t>
  </si>
  <si>
    <t>Утепление трубопроводов минеральной ватой</t>
  </si>
  <si>
    <t>1 м3</t>
  </si>
  <si>
    <t xml:space="preserve"> - Уборка газонов</t>
  </si>
  <si>
    <t>2 раза в неделю 52 раза в сезон</t>
  </si>
  <si>
    <t xml:space="preserve"> - Подметание территории с усовершенствованным покрытием асф.: крыльца, контейнерн пл., проезд, тротуар</t>
  </si>
  <si>
    <t>3 раза в неделю 78 раз за сезон</t>
  </si>
  <si>
    <t xml:space="preserve"> - Уборка контейнерной площадки (16 кв.м.)</t>
  </si>
  <si>
    <t>по мере необходимости</t>
  </si>
  <si>
    <t>Вывоз смета,травы,ветвей и т.п.- м/ч</t>
  </si>
  <si>
    <t>12 раз за сезон</t>
  </si>
  <si>
    <t>Сдвигание снега в дни снегопада (крыльца, тротуары)</t>
  </si>
  <si>
    <t>30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</si>
  <si>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</si>
  <si>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</si>
  <si>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</si>
  <si>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</si>
  <si>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</si>
  <si>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</si>
  <si>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</si>
  <si>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</si>
  <si>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</si>
  <si>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</si>
  <si>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</si>
  <si>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 от мусора</t>
  </si>
  <si>
    <t>Аварийно-диспетчерское обслуживание</t>
  </si>
  <si>
    <t>1 шт</t>
  </si>
  <si>
    <t>Смена трубопроводов на металл-полимерные трубы диаметром до 20мм</t>
  </si>
  <si>
    <t xml:space="preserve">Смена сгонов у трубопроводов диаметром до 20 мм </t>
  </si>
  <si>
    <t>1 сгон</t>
  </si>
  <si>
    <t>Ремонт и регулировка доводчика (без стоимости доводчика)</t>
  </si>
  <si>
    <t>1шт.</t>
  </si>
  <si>
    <t>Прочистка засоров ГВС, XВC</t>
  </si>
  <si>
    <t>Ремонт металлической двери</t>
  </si>
  <si>
    <t>брусок</t>
  </si>
  <si>
    <t>Внеплановый осмотр вводных электрических щитков</t>
  </si>
  <si>
    <t>100шт</t>
  </si>
  <si>
    <t>Смена трубопроводов на полипропиленовые трубы PN25 диаметром 20мм</t>
  </si>
  <si>
    <t>Смена патронов</t>
  </si>
  <si>
    <t xml:space="preserve">Уплотнение сгонов с применением льняной пряди или асбестового шнура (без разборки сгонов) </t>
  </si>
  <si>
    <t>Устройство деревянного настила</t>
  </si>
  <si>
    <t>1 мЗ</t>
  </si>
  <si>
    <t>II. Летняя уборка</t>
  </si>
  <si>
    <t>III. Плановые осмотры</t>
  </si>
  <si>
    <t>IV. Содержание общего имущества</t>
  </si>
  <si>
    <t>V. Прочие услуги</t>
  </si>
  <si>
    <t>АКТ №1</t>
  </si>
  <si>
    <t>АКТ №2</t>
  </si>
  <si>
    <t>АКТ №3</t>
  </si>
  <si>
    <t>АКТ №4</t>
  </si>
  <si>
    <t>IV. Прочие услуги</t>
  </si>
  <si>
    <t>за период с 01.01.2017 г. по 31.01.2017 г.</t>
  </si>
  <si>
    <t>Обязательные работы по содержанию общего имущества собственников помещений в многоквартирном доме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</si>
  <si>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</si>
  <si>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</si>
  <si>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</si>
  <si>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</si>
  <si>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</si>
  <si>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</si>
  <si>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</si>
  <si>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Прогрев XВC, канализации</t>
  </si>
  <si>
    <t>Смена внутренних трубопроводов из стальных труб диаметром до 20 мм</t>
  </si>
  <si>
    <t>Дезинфекция подвала</t>
  </si>
  <si>
    <t>Итого затраты за месяц</t>
  </si>
  <si>
    <t>за период с 01.02.2017 г. по 28.02.2017 г.</t>
  </si>
  <si>
    <t>Смена сгонов у трубопроводов диаметром до 32 мм</t>
  </si>
  <si>
    <t>Прочистка XВC, канализации</t>
  </si>
  <si>
    <t xml:space="preserve">Смена сосков у трубопроводов диаметром до 20 мм </t>
  </si>
  <si>
    <t>Монтаж светодиодных светильников</t>
  </si>
  <si>
    <t>за период с 01.03.2017 г. по 31.03.2017 г.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</si>
  <si>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18.11.2013г.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</si>
  <si>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</si>
  <si>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Сдвигание снега в дни снегопада</t>
  </si>
  <si>
    <t>35 раз за сезон</t>
  </si>
  <si>
    <t>20 раз за сезон</t>
  </si>
  <si>
    <t>Дератизация</t>
  </si>
  <si>
    <t>м2</t>
  </si>
  <si>
    <t>12 раз в год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</si>
  <si>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</si>
  <si>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</si>
  <si>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</si>
  <si>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</si>
  <si>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Ремонт и регулировка доводчика (со стоимостью доводчика)</t>
  </si>
  <si>
    <t>Устройство подстилающих слоев щебеночных</t>
  </si>
  <si>
    <t xml:space="preserve">Работа гона </t>
  </si>
  <si>
    <t>Смена вентилей диаметром до 32 мм (без учёта материала)</t>
  </si>
  <si>
    <t>за период с 01.04.2017 г. по 30.04.2017 г.</t>
  </si>
  <si>
    <t>АКТ №5</t>
  </si>
  <si>
    <t>за период с 01.05.2017 г. по 31.05.2017 г.</t>
  </si>
  <si>
    <t>Патрубок компенсационный ПП Ду 50</t>
  </si>
  <si>
    <t>Крестовина 110*110*110*45°</t>
  </si>
  <si>
    <t>Крестовина 110*110*110*90°</t>
  </si>
  <si>
    <t>Тройник Ду-110*90°</t>
  </si>
  <si>
    <t>Переход чугун-пластик Ду 110 с манжетой</t>
  </si>
  <si>
    <t>Патрубок компенсационный ПП Ду 110</t>
  </si>
  <si>
    <t>Отвод 110*45°</t>
  </si>
  <si>
    <t xml:space="preserve">Герметизация стыков трубопроводов    </t>
  </si>
  <si>
    <t>1 место</t>
  </si>
  <si>
    <t>Подключение и отключение сварочного аппарата</t>
  </si>
  <si>
    <t>Вскрытие и восстановление "шахты" для работ ВДИС (II под.)</t>
  </si>
  <si>
    <t xml:space="preserve">Смена полипропиленовых канализационных труб 50×2000 мм </t>
  </si>
  <si>
    <t xml:space="preserve">Смена полипропиленовых канализационных труб 100×2000 мм </t>
  </si>
  <si>
    <t>Отвод 50×45°</t>
  </si>
  <si>
    <t>АКТ №6</t>
  </si>
  <si>
    <t>за период с 01.06.2017 г. по 30.06.2017 г.</t>
  </si>
  <si>
    <t>Внеплановый осмотр электросетей, армазуры и электрооборудования на лестничных клетках</t>
  </si>
  <si>
    <t>АКТ №7</t>
  </si>
  <si>
    <t>за период с 01.07.2017 г. по 31.07.2017 г.</t>
  </si>
  <si>
    <t>Смена арматуры - вентилей и клапанов обратных муфтовых диаметром до 20 мм</t>
  </si>
  <si>
    <t>2. Всего за период с 01.07.2017 г. по 31.07.2017 г. выполнено работ (оказано услуг) на общую сумму: 41148,45 руб.</t>
  </si>
  <si>
    <t>(сорок одна тысяча сто сорок восемь рублей 45 копеек)</t>
  </si>
  <si>
    <t>АКТ №8</t>
  </si>
  <si>
    <t>за период с 01.08.2017 г. по 31.08.2017 г.</t>
  </si>
  <si>
    <t>Ремонт силового предохранительного шкафа (без стоимости материалов)</t>
  </si>
  <si>
    <t>Смена отдельных участков наружной проводки</t>
  </si>
  <si>
    <t>м</t>
  </si>
  <si>
    <t>2. Всего за период с 01.08.2017 г. по 31.08.2017 г. выполнено работ (оказано услуг) на общую сумму: 43727,98 руб.</t>
  </si>
  <si>
    <t>(сорок три тысячи семьсот двадцать семь рублей 98 копеек)</t>
  </si>
  <si>
    <t>АКТ №9</t>
  </si>
  <si>
    <t>за период с 01.09.2017 г. по 30.09.2017 г.</t>
  </si>
  <si>
    <t>Смена трубопроводов на полипропиленовые трубы PN25 диаметром 25мм</t>
  </si>
  <si>
    <t>АКТ №10</t>
  </si>
  <si>
    <t>за период с 01.10.2017 г. по 31.10.2017 г.</t>
  </si>
  <si>
    <t>II. Уборка земельного участка</t>
  </si>
  <si>
    <t>Монтаж защитных коробов на силовой кабель</t>
  </si>
  <si>
    <t>ТО и ремонт ВКГО (кв.36)</t>
  </si>
  <si>
    <t>2. Всего за период с 01.09.2017 г. по 30.09.2017 г. выполнено работ (оказано услуг) на общую сумму: 83568,86 руб.</t>
  </si>
  <si>
    <t>(восемьдесят три тысячи пятьсот шестьдеасят восемь рублей 86 копеек)</t>
  </si>
  <si>
    <t>Устройство байпаса</t>
  </si>
  <si>
    <t>Внеплановая проверка дымоходов</t>
  </si>
  <si>
    <t>2. Всего за период с 01.10.2017 г. по 31.10.2017 г. выполнено работ (оказано услуг) на общую сумму: 46554,68 руб.</t>
  </si>
  <si>
    <t>(сорок шесть тысяч пятьсот пятьдесят четыре рубля 68 копеек)</t>
  </si>
  <si>
    <t>за период с 01.11.2017 г. по 30.11.2017 г.</t>
  </si>
  <si>
    <t>АКТ №11</t>
  </si>
  <si>
    <t>Смена трубопроводов на полипропиленовые трубы PN25 диаметром 32мм</t>
  </si>
  <si>
    <t>АКТ №12</t>
  </si>
  <si>
    <t>за период с 01.12.2017 г. по 31.12.2017 г.</t>
  </si>
  <si>
    <t>Смена санитарных приборов - счётчика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</si>
  <si>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д.3</t>
    </r>
  </si>
  <si>
    <t>2. Всего за период с 01.01.2017 г. по 31.01.2017 г. выполнено работ (оказано услуг) на общую сумму: 70808,00 руб.</t>
  </si>
  <si>
    <t>(семьдесят тысяч восемьсот восемь рублей 00 копеек)</t>
  </si>
  <si>
    <t>2. Всего за период с 01.02.2017 г. по 28.02.2017 г. выполнено работ (оказано услуг) на общую сумму: 49248,71 руб.</t>
  </si>
  <si>
    <t>(сорок девять тысяч двести сорок восемь рублей 71 копейка)</t>
  </si>
  <si>
    <t>2. Всего за период с 01.03.2017 г. по 31.03.2017 г. выполнено работ (оказано услуг) на общую сумму: 81241,50 руб.</t>
  </si>
  <si>
    <t>(восемьдесят одна тысяча двести сорок один рубль 50 копеек)</t>
  </si>
  <si>
    <t>2. Всего за период с 01.04.2017 г. по 30.04.2017 г. выполнено работ (оказано услуг) на общую сумму: 45536,75 руб.</t>
  </si>
  <si>
    <t>(сорок пять тысяч пятьсот тридцать шесть рублей 75 копеек)</t>
  </si>
  <si>
    <t>2. Всего за период с 01.05.2017 г. по 31.05.2017 г. выполнено работ (оказано услуг) на общую сумму: 223516,29 руб.</t>
  </si>
  <si>
    <t>(двести двадцать три тысячи пятьсот шестнадцать рублей 29 копеек)</t>
  </si>
  <si>
    <t>Сверхнормативы по ОДП за 1 полугодие</t>
  </si>
  <si>
    <t>2. Всего за период с 01.06.2017 г. по 30.06.2017 г. выполнено работ (оказано услуг) на общую сумму: 79666,45 руб.</t>
  </si>
  <si>
    <t>(семьдесят девять тысяч шестьсот шестьдесят шесть рублей 45 копеек)</t>
  </si>
  <si>
    <t>2. Всего за период с 01.11.2017 г. по 30.11.2017 г. выполнено работ (оказано услуг) на общую сумму: 55905,66 руб.</t>
  </si>
  <si>
    <t>(пятьдесят пять тысяч девятьсот пять рублей 66 копеек)</t>
  </si>
  <si>
    <t>Сверхнормативы по ОДП за 2 полугодие</t>
  </si>
  <si>
    <t>2. Всего за период с 01.12.2017 г. по 31.12.2017 г. выполнено работ (оказано услуг) на общую сумму: 81528,57 руб.</t>
  </si>
  <si>
    <t>(восемьдесят одна тысяча пятьсот двадцать восемь рублей 57 копеек)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</si>
</sst>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1"/>
      <name val="Calibri"/>
      <family val="2"/>
      <charset val="204"/>
      <scheme val="minor"/>
    </font>
    <font>
      <sz val="11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0" fillId="0" borderId="3" xfId="0" applyBorder="1"/>
    <xf numFmtId="0" fontId="11" fillId="0" borderId="1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2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I1" s="31"/>
    </row>
    <row r="2" spans="1:15" ht="15.75">
      <c r="A2" s="29" t="s">
        <v>59</v>
      </c>
      <c r="J2" s="1"/>
      <c r="K2" s="1"/>
      <c r="L2" s="1"/>
      <c r="M2" s="1"/>
    </row>
    <row r="3" spans="1:15" ht="15.75" customHeight="1">
      <c r="A3" s="161" t="s">
        <v>177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182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18"/>
      <c r="C6" s="118"/>
      <c r="D6" s="118"/>
      <c r="E6" s="118"/>
      <c r="F6" s="118"/>
      <c r="G6" s="118"/>
      <c r="H6" s="118"/>
      <c r="I6" s="33">
        <v>42766</v>
      </c>
    </row>
    <row r="7" spans="1:15" ht="15.75">
      <c r="B7" s="60"/>
      <c r="C7" s="60"/>
      <c r="D7" s="60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201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175.38</v>
      </c>
      <c r="H16" s="92">
        <f t="shared" ref="H16:H25" si="0">SUM(F16*G16/1000)</f>
        <v>18.111843359999998</v>
      </c>
      <c r="I16" s="16">
        <f>F16/12*G16</f>
        <v>1509.3202799999999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175.38</v>
      </c>
      <c r="H17" s="92">
        <f t="shared" si="0"/>
        <v>36.241926239999998</v>
      </c>
      <c r="I17" s="16">
        <f>F17/12*G17</f>
        <v>3020.1605199999999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504.5</v>
      </c>
      <c r="H18" s="92">
        <f t="shared" si="0"/>
        <v>32.074092</v>
      </c>
      <c r="I18" s="16">
        <f>F18/12*G18</f>
        <v>2672.8409999999994</v>
      </c>
      <c r="J18" s="10"/>
      <c r="K18" s="10"/>
      <c r="L18" s="10"/>
      <c r="M18" s="10"/>
    </row>
    <row r="19" spans="1:13" ht="15.75" hidden="1" customHeight="1">
      <c r="A19" s="30"/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170.16</v>
      </c>
      <c r="H19" s="92">
        <f t="shared" si="0"/>
        <v>0.68064000000000002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5" t="s">
        <v>105</v>
      </c>
      <c r="C20" s="89" t="s">
        <v>102</v>
      </c>
      <c r="D20" s="65" t="s">
        <v>52</v>
      </c>
      <c r="E20" s="90">
        <v>10.5</v>
      </c>
      <c r="F20" s="91">
        <f t="shared" ref="F20:F25" si="1">SUM(E20/100)</f>
        <v>0.105</v>
      </c>
      <c r="G20" s="91">
        <v>217.88</v>
      </c>
      <c r="H20" s="92">
        <f t="shared" si="0"/>
        <v>2.2877399999999999E-2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5" t="s">
        <v>106</v>
      </c>
      <c r="C21" s="89" t="s">
        <v>102</v>
      </c>
      <c r="D21" s="65" t="s">
        <v>52</v>
      </c>
      <c r="E21" s="90">
        <v>2.7</v>
      </c>
      <c r="F21" s="91">
        <f t="shared" si="1"/>
        <v>2.7000000000000003E-2</v>
      </c>
      <c r="G21" s="91">
        <v>216.12</v>
      </c>
      <c r="H21" s="92">
        <f t="shared" si="0"/>
        <v>5.8352400000000002E-3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si="1"/>
        <v>3.57</v>
      </c>
      <c r="G22" s="91">
        <v>269.26</v>
      </c>
      <c r="H22" s="92">
        <f t="shared" si="0"/>
        <v>0.96125819999999984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1"/>
        <v>0.38640000000000002</v>
      </c>
      <c r="G23" s="91">
        <v>44.29</v>
      </c>
      <c r="H23" s="92">
        <f t="shared" si="0"/>
        <v>1.7113655999999998E-2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1"/>
        <v>0.15</v>
      </c>
      <c r="G24" s="91">
        <v>389.72</v>
      </c>
      <c r="H24" s="92">
        <f t="shared" si="0"/>
        <v>5.8457999999999996E-2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1"/>
        <v>6.3799999999999996E-2</v>
      </c>
      <c r="G25" s="91">
        <v>520.79999999999995</v>
      </c>
      <c r="H25" s="92">
        <f t="shared" si="0"/>
        <v>3.3227039999999992E-2</v>
      </c>
      <c r="I25" s="16">
        <v>0</v>
      </c>
      <c r="J25" s="10"/>
      <c r="K25" s="10"/>
      <c r="L25" s="10"/>
      <c r="M25" s="10"/>
    </row>
    <row r="26" spans="1:13" ht="15.75" customHeight="1">
      <c r="A26" s="86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147.03</v>
      </c>
      <c r="H26" s="92">
        <f>SUM(F26*G26/1000)</f>
        <v>5.3665950000000002</v>
      </c>
      <c r="I26" s="16">
        <f>F26/12*G26</f>
        <v>447.21625</v>
      </c>
      <c r="J26" s="25"/>
      <c r="K26" s="10"/>
      <c r="L26" s="10"/>
      <c r="M26" s="10"/>
    </row>
    <row r="27" spans="1:13" ht="15.75" customHeight="1">
      <c r="A27" s="128">
        <v>5</v>
      </c>
      <c r="B27" s="137" t="s">
        <v>24</v>
      </c>
      <c r="C27" s="99" t="s">
        <v>25</v>
      </c>
      <c r="D27" s="98" t="s">
        <v>84</v>
      </c>
      <c r="E27" s="100">
        <v>2566.6</v>
      </c>
      <c r="F27" s="103">
        <f>SUM(E27*12)</f>
        <v>30799.199999999997</v>
      </c>
      <c r="G27" s="103">
        <v>4.53</v>
      </c>
      <c r="H27" s="101">
        <f>SUM(F27*G27/1000)</f>
        <v>139.520376</v>
      </c>
      <c r="I27" s="108">
        <f>F27/12*G27</f>
        <v>11626.698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hidden="1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hidden="1" customHeight="1">
      <c r="A30" s="138"/>
      <c r="B30" s="130" t="s">
        <v>185</v>
      </c>
      <c r="C30" s="131" t="s">
        <v>111</v>
      </c>
      <c r="D30" s="130" t="s">
        <v>188</v>
      </c>
      <c r="E30" s="132">
        <v>852.6</v>
      </c>
      <c r="F30" s="132">
        <f>SUM(E30*52/1000)</f>
        <v>44.335200000000007</v>
      </c>
      <c r="G30" s="132">
        <v>155.88999999999999</v>
      </c>
      <c r="H30" s="133">
        <f t="shared" ref="H30:H35" si="2">SUM(F30*G30/1000)</f>
        <v>6.9114143280000011</v>
      </c>
      <c r="I30" s="134">
        <v>0</v>
      </c>
      <c r="J30" s="25"/>
      <c r="K30" s="10"/>
      <c r="L30" s="10"/>
      <c r="M30" s="10"/>
    </row>
    <row r="31" spans="1:13" ht="31.5" hidden="1" customHeight="1">
      <c r="A31" s="30"/>
      <c r="B31" s="65" t="s">
        <v>186</v>
      </c>
      <c r="C31" s="89" t="s">
        <v>111</v>
      </c>
      <c r="D31" s="65" t="s">
        <v>189</v>
      </c>
      <c r="E31" s="91">
        <v>65.33</v>
      </c>
      <c r="F31" s="91">
        <f>SUM(E31*78/1000)</f>
        <v>5.0957400000000002</v>
      </c>
      <c r="G31" s="91">
        <v>258.63</v>
      </c>
      <c r="H31" s="92">
        <f t="shared" si="2"/>
        <v>1.3179112362000001</v>
      </c>
      <c r="I31" s="16">
        <v>0</v>
      </c>
      <c r="J31" s="25"/>
      <c r="K31" s="10"/>
      <c r="L31" s="10"/>
      <c r="M31" s="10"/>
    </row>
    <row r="32" spans="1:13" ht="15.75" hidden="1" customHeight="1">
      <c r="A32" s="86"/>
      <c r="B32" s="65" t="s">
        <v>27</v>
      </c>
      <c r="C32" s="89" t="s">
        <v>111</v>
      </c>
      <c r="D32" s="65" t="s">
        <v>52</v>
      </c>
      <c r="E32" s="91">
        <v>852.6</v>
      </c>
      <c r="F32" s="91">
        <f>SUM(E32/1000)</f>
        <v>0.85260000000000002</v>
      </c>
      <c r="G32" s="91">
        <v>3020.33</v>
      </c>
      <c r="H32" s="92">
        <f t="shared" si="2"/>
        <v>2.575133358</v>
      </c>
      <c r="I32" s="16">
        <v>0</v>
      </c>
      <c r="J32" s="25"/>
      <c r="K32" s="10"/>
      <c r="L32" s="10"/>
      <c r="M32" s="10"/>
    </row>
    <row r="33" spans="1:13" ht="15.75" hidden="1" customHeight="1">
      <c r="A33" s="86"/>
      <c r="B33" s="65" t="s">
        <v>187</v>
      </c>
      <c r="C33" s="89" t="s">
        <v>29</v>
      </c>
      <c r="D33" s="65" t="s">
        <v>60</v>
      </c>
      <c r="E33" s="96">
        <v>0.33333333333333331</v>
      </c>
      <c r="F33" s="91">
        <f>155/3</f>
        <v>51.666666666666664</v>
      </c>
      <c r="G33" s="91">
        <v>56.69</v>
      </c>
      <c r="H33" s="92">
        <f>SUM(G33*155/3/1000)</f>
        <v>2.9289833333333331</v>
      </c>
      <c r="I33" s="16">
        <v>0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3</v>
      </c>
      <c r="G34" s="91">
        <v>191.32</v>
      </c>
      <c r="H34" s="92">
        <f t="shared" si="2"/>
        <v>0.57396000000000003</v>
      </c>
      <c r="I34" s="16">
        <v>0</v>
      </c>
      <c r="J34" s="25"/>
      <c r="K34" s="10"/>
      <c r="L34" s="10"/>
      <c r="M34" s="10"/>
    </row>
    <row r="35" spans="1:13" ht="15.75" hidden="1" customHeight="1">
      <c r="A35" s="128"/>
      <c r="B35" s="98" t="s">
        <v>140</v>
      </c>
      <c r="C35" s="99" t="s">
        <v>30</v>
      </c>
      <c r="D35" s="98" t="s">
        <v>63</v>
      </c>
      <c r="E35" s="100"/>
      <c r="F35" s="103">
        <v>2</v>
      </c>
      <c r="G35" s="103">
        <v>1136.33</v>
      </c>
      <c r="H35" s="101">
        <f t="shared" si="2"/>
        <v>2.2726599999999997</v>
      </c>
      <c r="I35" s="108">
        <v>0</v>
      </c>
      <c r="J35" s="25"/>
      <c r="K35" s="10"/>
      <c r="L35" s="10"/>
      <c r="M35" s="10"/>
    </row>
    <row r="36" spans="1:13" ht="15.75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customHeight="1">
      <c r="A37" s="129">
        <v>6</v>
      </c>
      <c r="B37" s="130" t="s">
        <v>26</v>
      </c>
      <c r="C37" s="131" t="s">
        <v>30</v>
      </c>
      <c r="D37" s="130"/>
      <c r="E37" s="95"/>
      <c r="F37" s="132">
        <v>8</v>
      </c>
      <c r="G37" s="132">
        <v>1527.22</v>
      </c>
      <c r="H37" s="133">
        <f t="shared" ref="H37:H44" si="3">SUM(F37*G37/1000)</f>
        <v>12.21776</v>
      </c>
      <c r="I37" s="134">
        <f>F37/6*G37</f>
        <v>2036.2933333333333</v>
      </c>
      <c r="J37" s="25"/>
      <c r="K37" s="10"/>
      <c r="L37" s="10"/>
      <c r="M37" s="10"/>
    </row>
    <row r="38" spans="1:13" ht="15.75" customHeight="1">
      <c r="A38" s="30">
        <v>7</v>
      </c>
      <c r="B38" s="65" t="s">
        <v>92</v>
      </c>
      <c r="C38" s="89" t="s">
        <v>28</v>
      </c>
      <c r="D38" s="65" t="s">
        <v>141</v>
      </c>
      <c r="E38" s="90">
        <v>269.5</v>
      </c>
      <c r="F38" s="91">
        <f>E38*12/1000</f>
        <v>3.234</v>
      </c>
      <c r="G38" s="91">
        <v>2102.71</v>
      </c>
      <c r="H38" s="92">
        <f>G38*F38/1000</f>
        <v>6.8001641399999997</v>
      </c>
      <c r="I38" s="16">
        <f>F38/6*G38</f>
        <v>1133.3606900000002</v>
      </c>
      <c r="J38" s="25"/>
      <c r="K38" s="10"/>
      <c r="L38" s="10"/>
      <c r="M38" s="10"/>
    </row>
    <row r="39" spans="1:13" ht="15.75" customHeight="1">
      <c r="A39" s="30">
        <v>8</v>
      </c>
      <c r="B39" s="65" t="s">
        <v>142</v>
      </c>
      <c r="C39" s="89" t="s">
        <v>28</v>
      </c>
      <c r="D39" s="65" t="s">
        <v>143</v>
      </c>
      <c r="E39" s="90">
        <v>60</v>
      </c>
      <c r="F39" s="91">
        <f>E39*30/1000</f>
        <v>1.8</v>
      </c>
      <c r="G39" s="91">
        <v>2102.71</v>
      </c>
      <c r="H39" s="92">
        <f>G39*F39/1000</f>
        <v>3.784878</v>
      </c>
      <c r="I39" s="16">
        <f>F39/6*G39</f>
        <v>630.81299999999999</v>
      </c>
      <c r="J39" s="25"/>
      <c r="K39" s="10"/>
      <c r="L39" s="10"/>
      <c r="M39" s="10"/>
    </row>
    <row r="40" spans="1:13" ht="15.75" hidden="1" customHeight="1">
      <c r="A40" s="30"/>
      <c r="B40" s="65" t="s">
        <v>144</v>
      </c>
      <c r="C40" s="89" t="s">
        <v>145</v>
      </c>
      <c r="D40" s="65" t="s">
        <v>63</v>
      </c>
      <c r="E40" s="90"/>
      <c r="F40" s="91">
        <v>100</v>
      </c>
      <c r="G40" s="91">
        <v>213.2</v>
      </c>
      <c r="H40" s="92">
        <f>G40*F40/1000</f>
        <v>21.32</v>
      </c>
      <c r="I40" s="16">
        <v>0</v>
      </c>
      <c r="J40" s="25"/>
      <c r="K40" s="10"/>
      <c r="L40" s="10"/>
      <c r="M40" s="10"/>
    </row>
    <row r="41" spans="1:13" ht="15.75" customHeight="1">
      <c r="A41" s="30">
        <v>9</v>
      </c>
      <c r="B41" s="65" t="s">
        <v>64</v>
      </c>
      <c r="C41" s="89" t="s">
        <v>28</v>
      </c>
      <c r="D41" s="65" t="s">
        <v>146</v>
      </c>
      <c r="E41" s="91">
        <v>65.33</v>
      </c>
      <c r="F41" s="91">
        <f>SUM(E41*155/1000)</f>
        <v>10.126149999999999</v>
      </c>
      <c r="G41" s="91">
        <v>350.75</v>
      </c>
      <c r="H41" s="92">
        <f t="shared" si="3"/>
        <v>3.5517471124999997</v>
      </c>
      <c r="I41" s="16">
        <f>F41/6*G41</f>
        <v>591.95785208333325</v>
      </c>
      <c r="J41" s="25"/>
      <c r="K41" s="10"/>
      <c r="L41" s="10"/>
      <c r="M41" s="10"/>
    </row>
    <row r="42" spans="1:13" ht="47.25" customHeight="1">
      <c r="A42" s="30">
        <v>10</v>
      </c>
      <c r="B42" s="65" t="s">
        <v>81</v>
      </c>
      <c r="C42" s="89" t="s">
        <v>111</v>
      </c>
      <c r="D42" s="65" t="s">
        <v>147</v>
      </c>
      <c r="E42" s="91">
        <v>65.33</v>
      </c>
      <c r="F42" s="91">
        <f>SUM(E42*24/1000)</f>
        <v>1.56792</v>
      </c>
      <c r="G42" s="91">
        <v>5803.28</v>
      </c>
      <c r="H42" s="92">
        <f t="shared" si="3"/>
        <v>9.0990787775999991</v>
      </c>
      <c r="I42" s="16">
        <f>F42/6*G42</f>
        <v>1516.5131296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148</v>
      </c>
      <c r="C43" s="89" t="s">
        <v>111</v>
      </c>
      <c r="D43" s="65" t="s">
        <v>65</v>
      </c>
      <c r="E43" s="91">
        <v>65.33</v>
      </c>
      <c r="F43" s="91">
        <f>SUM(E43*45/1000)</f>
        <v>2.9398499999999999</v>
      </c>
      <c r="G43" s="91">
        <v>428.7</v>
      </c>
      <c r="H43" s="92">
        <f t="shared" si="3"/>
        <v>1.2603136949999998</v>
      </c>
      <c r="I43" s="16">
        <f>F43/6*G43</f>
        <v>210.05228249999999</v>
      </c>
      <c r="J43" s="25"/>
      <c r="K43" s="10"/>
    </row>
    <row r="44" spans="1:13" ht="15.75" customHeight="1">
      <c r="A44" s="30">
        <v>11</v>
      </c>
      <c r="B44" s="65" t="s">
        <v>66</v>
      </c>
      <c r="C44" s="89" t="s">
        <v>31</v>
      </c>
      <c r="D44" s="65"/>
      <c r="E44" s="90"/>
      <c r="F44" s="91">
        <v>0.8</v>
      </c>
      <c r="G44" s="91">
        <v>798</v>
      </c>
      <c r="H44" s="92">
        <f t="shared" si="3"/>
        <v>0.63840000000000008</v>
      </c>
      <c r="I44" s="16">
        <f>F44/6*G44</f>
        <v>106.39999999999999</v>
      </c>
      <c r="J44" s="26"/>
    </row>
    <row r="45" spans="1:13" ht="15.75" customHeight="1">
      <c r="A45" s="174" t="s">
        <v>174</v>
      </c>
      <c r="B45" s="175"/>
      <c r="C45" s="175"/>
      <c r="D45" s="175"/>
      <c r="E45" s="175"/>
      <c r="F45" s="175"/>
      <c r="G45" s="175"/>
      <c r="H45" s="175"/>
      <c r="I45" s="176"/>
      <c r="J45" s="26"/>
    </row>
    <row r="46" spans="1:13" ht="15.75" hidden="1" customHeight="1">
      <c r="A46" s="30"/>
      <c r="B46" s="65" t="s">
        <v>149</v>
      </c>
      <c r="C46" s="89" t="s">
        <v>111</v>
      </c>
      <c r="D46" s="65" t="s">
        <v>41</v>
      </c>
      <c r="E46" s="90">
        <v>1114.75</v>
      </c>
      <c r="F46" s="91">
        <f>SUM(E46*2/1000)</f>
        <v>2.2294999999999998</v>
      </c>
      <c r="G46" s="16">
        <v>809.74</v>
      </c>
      <c r="H46" s="92">
        <f t="shared" ref="H46:H56" si="4">SUM(F46*G46/1000)</f>
        <v>1.80531533</v>
      </c>
      <c r="I46" s="16">
        <v>0</v>
      </c>
      <c r="J46" s="26"/>
    </row>
    <row r="47" spans="1:13" ht="15.75" hidden="1" customHeight="1">
      <c r="A47" s="85"/>
      <c r="B47" s="65" t="s">
        <v>34</v>
      </c>
      <c r="C47" s="89" t="s">
        <v>111</v>
      </c>
      <c r="D47" s="65" t="s">
        <v>41</v>
      </c>
      <c r="E47" s="90">
        <v>88</v>
      </c>
      <c r="F47" s="91">
        <f>E47*2/1000</f>
        <v>0.17599999999999999</v>
      </c>
      <c r="G47" s="16">
        <v>579.48</v>
      </c>
      <c r="H47" s="92">
        <f t="shared" si="4"/>
        <v>0.10198847999999999</v>
      </c>
      <c r="I47" s="16">
        <v>0</v>
      </c>
      <c r="J47" s="26"/>
    </row>
    <row r="48" spans="1:13" ht="15.75" hidden="1" customHeight="1">
      <c r="A48" s="84"/>
      <c r="B48" s="65" t="s">
        <v>35</v>
      </c>
      <c r="C48" s="89" t="s">
        <v>111</v>
      </c>
      <c r="D48" s="65" t="s">
        <v>41</v>
      </c>
      <c r="E48" s="90">
        <v>1250.6199999999999</v>
      </c>
      <c r="F48" s="91">
        <f>SUM(E48*2/1000)</f>
        <v>2.5012399999999997</v>
      </c>
      <c r="G48" s="16">
        <v>579.48</v>
      </c>
      <c r="H48" s="92">
        <f t="shared" si="4"/>
        <v>1.4494185551999998</v>
      </c>
      <c r="I48" s="16">
        <v>0</v>
      </c>
      <c r="J48" s="26"/>
    </row>
    <row r="49" spans="1:14" ht="15.75" hidden="1" customHeight="1">
      <c r="A49" s="30"/>
      <c r="B49" s="65" t="s">
        <v>36</v>
      </c>
      <c r="C49" s="89" t="s">
        <v>111</v>
      </c>
      <c r="D49" s="65" t="s">
        <v>41</v>
      </c>
      <c r="E49" s="90">
        <v>1295.68</v>
      </c>
      <c r="F49" s="91">
        <f>SUM(E49*2/1000)</f>
        <v>2.5913600000000003</v>
      </c>
      <c r="G49" s="16">
        <v>606.77</v>
      </c>
      <c r="H49" s="92">
        <f t="shared" si="4"/>
        <v>1.5723595072000001</v>
      </c>
      <c r="I49" s="16">
        <v>0</v>
      </c>
      <c r="J49" s="26"/>
    </row>
    <row r="50" spans="1:14" ht="15.75" hidden="1" customHeight="1">
      <c r="A50" s="30"/>
      <c r="B50" s="65" t="s">
        <v>32</v>
      </c>
      <c r="C50" s="89" t="s">
        <v>33</v>
      </c>
      <c r="D50" s="65" t="s">
        <v>41</v>
      </c>
      <c r="E50" s="90">
        <v>85.84</v>
      </c>
      <c r="F50" s="91">
        <f>E50*2/100</f>
        <v>1.7168000000000001</v>
      </c>
      <c r="G50" s="16">
        <v>72.81</v>
      </c>
      <c r="H50" s="92">
        <f>G50*F50/1000</f>
        <v>0.125000208</v>
      </c>
      <c r="I50" s="16">
        <v>0</v>
      </c>
      <c r="J50" s="26"/>
      <c r="L50" s="22"/>
      <c r="M50" s="23"/>
      <c r="N50" s="24"/>
    </row>
    <row r="51" spans="1:14" ht="15.75" customHeight="1">
      <c r="A51" s="30">
        <v>12</v>
      </c>
      <c r="B51" s="65" t="s">
        <v>55</v>
      </c>
      <c r="C51" s="89" t="s">
        <v>111</v>
      </c>
      <c r="D51" s="65" t="s">
        <v>190</v>
      </c>
      <c r="E51" s="90">
        <v>891.8</v>
      </c>
      <c r="F51" s="91">
        <f>SUM(E51*5/1000)</f>
        <v>4.4589999999999996</v>
      </c>
      <c r="G51" s="16">
        <v>1213.55</v>
      </c>
      <c r="H51" s="92">
        <f t="shared" si="4"/>
        <v>5.4112194499999999</v>
      </c>
      <c r="I51" s="16">
        <f>F51/5*G51</f>
        <v>1082.24389</v>
      </c>
      <c r="J51" s="26"/>
      <c r="L51" s="22"/>
      <c r="M51" s="23"/>
      <c r="N51" s="24"/>
    </row>
    <row r="52" spans="1:14" ht="31.5" hidden="1" customHeight="1">
      <c r="A52" s="64"/>
      <c r="B52" s="65" t="s">
        <v>150</v>
      </c>
      <c r="C52" s="89" t="s">
        <v>111</v>
      </c>
      <c r="D52" s="65" t="s">
        <v>41</v>
      </c>
      <c r="E52" s="90">
        <v>891.8</v>
      </c>
      <c r="F52" s="91">
        <f>SUM(E52*2/1000)</f>
        <v>1.7835999999999999</v>
      </c>
      <c r="G52" s="16">
        <v>1213.55</v>
      </c>
      <c r="H52" s="92">
        <f t="shared" si="4"/>
        <v>2.16448778</v>
      </c>
      <c r="I52" s="16">
        <v>0</v>
      </c>
      <c r="J52" s="26"/>
      <c r="L52" s="22"/>
      <c r="M52" s="23"/>
      <c r="N52" s="24"/>
    </row>
    <row r="53" spans="1:14" ht="31.5" hidden="1" customHeight="1">
      <c r="A53" s="64"/>
      <c r="B53" s="65" t="s">
        <v>151</v>
      </c>
      <c r="C53" s="89" t="s">
        <v>37</v>
      </c>
      <c r="D53" s="65" t="s">
        <v>41</v>
      </c>
      <c r="E53" s="90">
        <v>16</v>
      </c>
      <c r="F53" s="91">
        <f>SUM(E53*2/100)</f>
        <v>0.32</v>
      </c>
      <c r="G53" s="16">
        <v>2730.49</v>
      </c>
      <c r="H53" s="92">
        <f t="shared" si="4"/>
        <v>0.8737568</v>
      </c>
      <c r="I53" s="16">
        <v>0</v>
      </c>
      <c r="J53" s="26"/>
      <c r="L53" s="22"/>
      <c r="M53" s="23"/>
      <c r="N53" s="24"/>
    </row>
    <row r="54" spans="1:14" ht="15.75" hidden="1" customHeight="1">
      <c r="A54" s="64"/>
      <c r="B54" s="65" t="s">
        <v>38</v>
      </c>
      <c r="C54" s="89" t="s">
        <v>39</v>
      </c>
      <c r="D54" s="65" t="s">
        <v>41</v>
      </c>
      <c r="E54" s="90">
        <v>1</v>
      </c>
      <c r="F54" s="91">
        <v>0.02</v>
      </c>
      <c r="G54" s="16">
        <v>5652.13</v>
      </c>
      <c r="H54" s="92">
        <f t="shared" si="4"/>
        <v>0.11304260000000001</v>
      </c>
      <c r="I54" s="16">
        <v>0</v>
      </c>
      <c r="J54" s="26"/>
      <c r="L54" s="22"/>
      <c r="M54" s="23"/>
      <c r="N54" s="24"/>
    </row>
    <row r="55" spans="1:14" ht="15.75" customHeight="1">
      <c r="A55" s="64">
        <v>13</v>
      </c>
      <c r="B55" s="65" t="s">
        <v>152</v>
      </c>
      <c r="C55" s="89" t="s">
        <v>96</v>
      </c>
      <c r="D55" s="65" t="s">
        <v>67</v>
      </c>
      <c r="E55" s="90">
        <v>60</v>
      </c>
      <c r="F55" s="91">
        <f>E55*3</f>
        <v>180</v>
      </c>
      <c r="G55" s="16">
        <v>141.12</v>
      </c>
      <c r="H55" s="92">
        <f>F55*G55/1000</f>
        <v>25.401600000000002</v>
      </c>
      <c r="I55" s="16">
        <f>E55*G55</f>
        <v>8467.2000000000007</v>
      </c>
      <c r="J55" s="26"/>
      <c r="L55" s="22"/>
      <c r="M55" s="23"/>
      <c r="N55" s="24"/>
    </row>
    <row r="56" spans="1:14" ht="15.75" customHeight="1">
      <c r="A56" s="64">
        <v>14</v>
      </c>
      <c r="B56" s="65" t="s">
        <v>40</v>
      </c>
      <c r="C56" s="89" t="s">
        <v>96</v>
      </c>
      <c r="D56" s="65" t="s">
        <v>67</v>
      </c>
      <c r="E56" s="90">
        <v>120</v>
      </c>
      <c r="F56" s="91">
        <f>SUM(E56)*3</f>
        <v>360</v>
      </c>
      <c r="G56" s="16">
        <v>65.67</v>
      </c>
      <c r="H56" s="92">
        <f t="shared" si="4"/>
        <v>23.641200000000001</v>
      </c>
      <c r="I56" s="16">
        <f>E56*G56</f>
        <v>7880.4000000000005</v>
      </c>
      <c r="J56" s="26"/>
      <c r="L56" s="22"/>
      <c r="M56" s="23"/>
      <c r="N56" s="24"/>
    </row>
    <row r="57" spans="1:14" ht="15.75" customHeight="1">
      <c r="A57" s="174" t="s">
        <v>175</v>
      </c>
      <c r="B57" s="177"/>
      <c r="C57" s="177"/>
      <c r="D57" s="177"/>
      <c r="E57" s="177"/>
      <c r="F57" s="177"/>
      <c r="G57" s="177"/>
      <c r="H57" s="177"/>
      <c r="I57" s="178"/>
      <c r="J57" s="26"/>
      <c r="L57" s="22"/>
      <c r="M57" s="23"/>
      <c r="N57" s="24"/>
    </row>
    <row r="58" spans="1:14" ht="15.75" customHeight="1">
      <c r="A58" s="64"/>
      <c r="B58" s="112" t="s">
        <v>42</v>
      </c>
      <c r="C58" s="89"/>
      <c r="D58" s="65"/>
      <c r="E58" s="90"/>
      <c r="F58" s="91"/>
      <c r="G58" s="91"/>
      <c r="H58" s="92"/>
      <c r="I58" s="16"/>
      <c r="J58" s="26"/>
      <c r="L58" s="22"/>
      <c r="M58" s="23"/>
      <c r="N58" s="24"/>
    </row>
    <row r="59" spans="1:14" ht="31.5" customHeight="1">
      <c r="A59" s="64">
        <v>15</v>
      </c>
      <c r="B59" s="65" t="s">
        <v>153</v>
      </c>
      <c r="C59" s="89" t="s">
        <v>102</v>
      </c>
      <c r="D59" s="65" t="s">
        <v>154</v>
      </c>
      <c r="E59" s="90">
        <v>112.68</v>
      </c>
      <c r="F59" s="91">
        <f>SUM(E59*6/100)</f>
        <v>6.7608000000000006</v>
      </c>
      <c r="G59" s="16">
        <v>1547.28</v>
      </c>
      <c r="H59" s="92">
        <f>SUM(F59*G59/1000)</f>
        <v>10.460850624000001</v>
      </c>
      <c r="I59" s="16">
        <f>F59/6*G59</f>
        <v>1743.4751040000001</v>
      </c>
      <c r="J59" s="26"/>
      <c r="L59" s="22"/>
      <c r="M59" s="23"/>
      <c r="N59" s="24"/>
    </row>
    <row r="60" spans="1:14" ht="15.75" hidden="1" customHeight="1">
      <c r="A60" s="64"/>
      <c r="B60" s="111" t="s">
        <v>43</v>
      </c>
      <c r="C60" s="99"/>
      <c r="D60" s="98"/>
      <c r="E60" s="100"/>
      <c r="F60" s="101"/>
      <c r="G60" s="16"/>
      <c r="H60" s="102"/>
      <c r="I60" s="16"/>
      <c r="J60" s="26"/>
      <c r="L60" s="22"/>
      <c r="M60" s="23"/>
      <c r="N60" s="24"/>
    </row>
    <row r="61" spans="1:14" ht="15.75" hidden="1" customHeight="1">
      <c r="A61" s="85"/>
      <c r="B61" s="98" t="s">
        <v>155</v>
      </c>
      <c r="C61" s="99" t="s">
        <v>51</v>
      </c>
      <c r="D61" s="98" t="s">
        <v>52</v>
      </c>
      <c r="E61" s="100">
        <v>897</v>
      </c>
      <c r="F61" s="101">
        <v>8.9700000000000006</v>
      </c>
      <c r="G61" s="16">
        <v>793.61</v>
      </c>
      <c r="H61" s="102">
        <f>F61*G61/1000</f>
        <v>7.1186817000000007</v>
      </c>
      <c r="I61" s="16">
        <v>0</v>
      </c>
      <c r="J61" s="26"/>
      <c r="L61" s="22"/>
      <c r="M61" s="23"/>
      <c r="N61" s="24"/>
    </row>
    <row r="62" spans="1:14" ht="15.75" hidden="1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/>
      <c r="B63" s="17" t="s">
        <v>45</v>
      </c>
      <c r="C63" s="19" t="s">
        <v>96</v>
      </c>
      <c r="D63" s="17" t="s">
        <v>139</v>
      </c>
      <c r="E63" s="21">
        <v>15</v>
      </c>
      <c r="F63" s="91">
        <v>15</v>
      </c>
      <c r="G63" s="16">
        <v>222.4</v>
      </c>
      <c r="H63" s="104">
        <f t="shared" ref="H63:H78" si="5">SUM(F63*G63/1000)</f>
        <v>3.3359999999999999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17" t="s">
        <v>139</v>
      </c>
      <c r="E64" s="21">
        <v>5</v>
      </c>
      <c r="F64" s="91">
        <v>5</v>
      </c>
      <c r="G64" s="16">
        <v>76.25</v>
      </c>
      <c r="H64" s="104">
        <f t="shared" si="5"/>
        <v>0.38124999999999998</v>
      </c>
      <c r="I64" s="16">
        <v>0</v>
      </c>
      <c r="J64" s="26"/>
      <c r="L64" s="22"/>
      <c r="M64" s="23"/>
      <c r="N64" s="24"/>
    </row>
    <row r="65" spans="1:14" ht="15.75" hidden="1" customHeight="1">
      <c r="A65" s="64"/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212.15</v>
      </c>
      <c r="H65" s="104">
        <f t="shared" si="5"/>
        <v>21.340168500000001</v>
      </c>
      <c r="I65" s="16">
        <v>0</v>
      </c>
      <c r="J65" s="26"/>
      <c r="L65" s="22"/>
      <c r="M65" s="23"/>
      <c r="N65" s="24"/>
    </row>
    <row r="66" spans="1:14" ht="15.75" hidden="1" customHeight="1">
      <c r="A66" s="64"/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165.21</v>
      </c>
      <c r="H66" s="104">
        <f t="shared" si="5"/>
        <v>1.6618473899999999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64"/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2074.63</v>
      </c>
      <c r="H67" s="104">
        <f t="shared" si="5"/>
        <v>45.641860000000001</v>
      </c>
      <c r="I67" s="16">
        <v>0</v>
      </c>
      <c r="J67" s="26"/>
      <c r="L67" s="22"/>
      <c r="M67" s="23"/>
      <c r="N67" s="24"/>
    </row>
    <row r="68" spans="1:14" ht="15.75" hidden="1" customHeight="1">
      <c r="A68" s="64"/>
      <c r="B68" s="105" t="s">
        <v>116</v>
      </c>
      <c r="C68" s="19" t="s">
        <v>31</v>
      </c>
      <c r="D68" s="17"/>
      <c r="E68" s="90">
        <v>9.4</v>
      </c>
      <c r="F68" s="16">
        <f>SUM(E68)</f>
        <v>9.4</v>
      </c>
      <c r="G68" s="16">
        <v>42.67</v>
      </c>
      <c r="H68" s="104">
        <f t="shared" si="5"/>
        <v>0.40109800000000001</v>
      </c>
      <c r="I68" s="16">
        <v>0</v>
      </c>
      <c r="J68" s="26"/>
      <c r="L68" s="22"/>
      <c r="M68" s="23"/>
      <c r="N68" s="24"/>
    </row>
    <row r="69" spans="1:14" ht="15.75" hidden="1" customHeight="1">
      <c r="A69" s="64"/>
      <c r="B69" s="105" t="s">
        <v>117</v>
      </c>
      <c r="C69" s="19" t="s">
        <v>31</v>
      </c>
      <c r="D69" s="17"/>
      <c r="E69" s="90">
        <v>9.4</v>
      </c>
      <c r="F69" s="16">
        <f>SUM(E69)</f>
        <v>9.4</v>
      </c>
      <c r="G69" s="16">
        <v>39.81</v>
      </c>
      <c r="H69" s="104">
        <f t="shared" si="5"/>
        <v>0.37421400000000005</v>
      </c>
      <c r="I69" s="16">
        <v>0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5</v>
      </c>
      <c r="F70" s="91">
        <v>5</v>
      </c>
      <c r="G70" s="16">
        <v>49.88</v>
      </c>
      <c r="H70" s="104">
        <f t="shared" si="5"/>
        <v>0.24940000000000001</v>
      </c>
      <c r="I70" s="16">
        <v>0</v>
      </c>
      <c r="J70" s="26"/>
      <c r="L70" s="22"/>
      <c r="M70" s="23"/>
      <c r="N70" s="24"/>
    </row>
    <row r="71" spans="1:14" ht="15.75" customHeight="1">
      <c r="A71" s="64"/>
      <c r="B71" s="80" t="s">
        <v>68</v>
      </c>
      <c r="C71" s="19"/>
      <c r="D71" s="17"/>
      <c r="E71" s="21"/>
      <c r="F71" s="16"/>
      <c r="G71" s="16"/>
      <c r="H71" s="104" t="s">
        <v>123</v>
      </c>
      <c r="I71" s="16"/>
      <c r="J71" s="26"/>
      <c r="L71" s="22"/>
      <c r="M71" s="23"/>
      <c r="N71" s="24"/>
    </row>
    <row r="72" spans="1:14" ht="15.75" customHeight="1">
      <c r="A72" s="64">
        <v>16</v>
      </c>
      <c r="B72" s="17" t="s">
        <v>69</v>
      </c>
      <c r="C72" s="19" t="s">
        <v>71</v>
      </c>
      <c r="D72" s="17"/>
      <c r="E72" s="21">
        <v>3</v>
      </c>
      <c r="F72" s="16">
        <v>0.3</v>
      </c>
      <c r="G72" s="16">
        <v>501.62</v>
      </c>
      <c r="H72" s="104">
        <f t="shared" si="5"/>
        <v>0.15048599999999998</v>
      </c>
      <c r="I72" s="16">
        <f>G72*0.3</f>
        <v>150.48599999999999</v>
      </c>
      <c r="J72" s="26"/>
      <c r="L72" s="22"/>
      <c r="M72" s="23"/>
      <c r="N72" s="24"/>
    </row>
    <row r="73" spans="1:14" ht="15.75" hidden="1" customHeight="1">
      <c r="A73" s="30"/>
      <c r="B73" s="17" t="s">
        <v>70</v>
      </c>
      <c r="C73" s="19" t="s">
        <v>29</v>
      </c>
      <c r="D73" s="17"/>
      <c r="E73" s="21">
        <v>1</v>
      </c>
      <c r="F73" s="81">
        <v>1</v>
      </c>
      <c r="G73" s="16">
        <v>852.99</v>
      </c>
      <c r="H73" s="104">
        <f>F73*G73/1000</f>
        <v>0.85299000000000003</v>
      </c>
      <c r="I73" s="16">
        <v>0</v>
      </c>
      <c r="J73" s="26"/>
      <c r="L73" s="22"/>
      <c r="M73" s="23"/>
      <c r="N73" s="24"/>
    </row>
    <row r="74" spans="1:14" ht="15.75" hidden="1" customHeight="1">
      <c r="A74" s="85"/>
      <c r="B74" s="17" t="s">
        <v>118</v>
      </c>
      <c r="C74" s="19" t="s">
        <v>29</v>
      </c>
      <c r="D74" s="17"/>
      <c r="E74" s="21">
        <v>1</v>
      </c>
      <c r="F74" s="16">
        <v>1</v>
      </c>
      <c r="G74" s="16">
        <v>358.51</v>
      </c>
      <c r="H74" s="104">
        <f>G74*F74/1000</f>
        <v>0.35851</v>
      </c>
      <c r="I74" s="16">
        <v>0</v>
      </c>
      <c r="J74" s="26"/>
      <c r="L74" s="22"/>
      <c r="M74" s="23"/>
      <c r="N74" s="24"/>
    </row>
    <row r="75" spans="1:14" ht="15.75" hidden="1" customHeight="1">
      <c r="A75" s="64"/>
      <c r="B75" s="17" t="s">
        <v>119</v>
      </c>
      <c r="C75" s="19" t="s">
        <v>29</v>
      </c>
      <c r="D75" s="17"/>
      <c r="E75" s="21">
        <v>2</v>
      </c>
      <c r="F75" s="16">
        <v>2</v>
      </c>
      <c r="G75" s="16">
        <v>784.67</v>
      </c>
      <c r="H75" s="104">
        <f>G75*F75/1000</f>
        <v>1.56934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7" t="s">
        <v>120</v>
      </c>
      <c r="C76" s="19" t="s">
        <v>121</v>
      </c>
      <c r="D76" s="17"/>
      <c r="E76" s="21">
        <v>2</v>
      </c>
      <c r="F76" s="16">
        <v>2</v>
      </c>
      <c r="G76" s="16">
        <v>1000</v>
      </c>
      <c r="H76" s="104">
        <f>G76*F76/1000</f>
        <v>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52" t="s">
        <v>73</v>
      </c>
      <c r="C78" s="19" t="s">
        <v>74</v>
      </c>
      <c r="D78" s="17"/>
      <c r="E78" s="21"/>
      <c r="F78" s="16">
        <v>1</v>
      </c>
      <c r="G78" s="16">
        <v>2579.44</v>
      </c>
      <c r="H78" s="104">
        <f t="shared" si="5"/>
        <v>2.57944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SUM(H59:H78)</f>
        <v>98.476136213999993</v>
      </c>
      <c r="I79" s="16"/>
      <c r="J79" s="26"/>
      <c r="L79" s="22"/>
      <c r="M79" s="23"/>
      <c r="N79" s="24"/>
    </row>
    <row r="80" spans="1:14" ht="15.75" hidden="1" customHeight="1">
      <c r="A80" s="64"/>
      <c r="B80" s="65" t="s">
        <v>113</v>
      </c>
      <c r="C80" s="19"/>
      <c r="D80" s="17"/>
      <c r="E80" s="106"/>
      <c r="F80" s="16">
        <v>1</v>
      </c>
      <c r="G80" s="16">
        <v>20954</v>
      </c>
      <c r="H80" s="104">
        <f>G80*F80/1000</f>
        <v>20.954000000000001</v>
      </c>
      <c r="I80" s="16">
        <v>0</v>
      </c>
      <c r="J80" s="26"/>
      <c r="L80" s="22"/>
      <c r="M80" s="23"/>
      <c r="N80" s="24"/>
    </row>
    <row r="81" spans="1:14" ht="15.75" customHeight="1">
      <c r="A81" s="174" t="s">
        <v>176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17</v>
      </c>
      <c r="B82" s="65" t="s">
        <v>156</v>
      </c>
      <c r="C82" s="19" t="s">
        <v>53</v>
      </c>
      <c r="D82" s="67" t="s">
        <v>54</v>
      </c>
      <c r="E82" s="16">
        <v>2566.6</v>
      </c>
      <c r="F82" s="16">
        <f>SUM(E82*12)</f>
        <v>30799.199999999997</v>
      </c>
      <c r="G82" s="16">
        <v>2.1</v>
      </c>
      <c r="H82" s="104">
        <f>SUM(F82*G82/1000)</f>
        <v>64.678319999999999</v>
      </c>
      <c r="I82" s="16">
        <f>F82/12*G82</f>
        <v>5389.86</v>
      </c>
      <c r="J82" s="26"/>
      <c r="L82" s="22"/>
      <c r="M82" s="23"/>
      <c r="N82" s="24"/>
    </row>
    <row r="83" spans="1:14" ht="31.5" customHeight="1">
      <c r="A83" s="64">
        <v>18</v>
      </c>
      <c r="B83" s="17" t="s">
        <v>75</v>
      </c>
      <c r="C83" s="19"/>
      <c r="D83" s="67" t="s">
        <v>54</v>
      </c>
      <c r="E83" s="90">
        <f>E82</f>
        <v>2566.6</v>
      </c>
      <c r="F83" s="16">
        <f>E83*12</f>
        <v>30799.199999999997</v>
      </c>
      <c r="G83" s="16">
        <v>1.63</v>
      </c>
      <c r="H83" s="104">
        <f>F83*G83/1000</f>
        <v>50.202695999999989</v>
      </c>
      <c r="I83" s="16">
        <f>F83/12*G83</f>
        <v>4183.558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50.202695999999989</v>
      </c>
      <c r="I84" s="114">
        <f>I16+I17+I18+I26+I27+I37+I38+I39+I41+I42+I44+I51+I55+I56+I59+I72+I82+I83</f>
        <v>54188.79704901667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15.75" customHeight="1">
      <c r="A86" s="64">
        <v>19</v>
      </c>
      <c r="B86" s="71" t="s">
        <v>191</v>
      </c>
      <c r="C86" s="72" t="s">
        <v>95</v>
      </c>
      <c r="D86" s="17"/>
      <c r="E86" s="21"/>
      <c r="F86" s="16">
        <f>12/3</f>
        <v>4</v>
      </c>
      <c r="G86" s="16">
        <v>1120.8900000000001</v>
      </c>
      <c r="H86" s="104">
        <f>G86*F86/1000</f>
        <v>4.4835600000000007</v>
      </c>
      <c r="I86" s="108">
        <f>G86*((3+3+3+3)/3)</f>
        <v>4483.5600000000004</v>
      </c>
      <c r="J86" s="26"/>
      <c r="L86" s="22"/>
      <c r="M86" s="23"/>
      <c r="N86" s="24"/>
    </row>
    <row r="87" spans="1:14" ht="31.5" customHeight="1">
      <c r="A87" s="64">
        <v>20</v>
      </c>
      <c r="B87" s="58" t="s">
        <v>192</v>
      </c>
      <c r="C87" s="73" t="s">
        <v>79</v>
      </c>
      <c r="D87" s="17"/>
      <c r="E87" s="21"/>
      <c r="F87" s="16">
        <v>1</v>
      </c>
      <c r="G87" s="16">
        <v>823.96</v>
      </c>
      <c r="H87" s="104">
        <f>G87*F87/1000</f>
        <v>0.82396000000000003</v>
      </c>
      <c r="I87" s="108">
        <f>G87</f>
        <v>823.96</v>
      </c>
      <c r="J87" s="26"/>
      <c r="L87" s="22"/>
      <c r="M87" s="23"/>
      <c r="N87" s="24"/>
    </row>
    <row r="88" spans="1:14" ht="15.75" customHeight="1">
      <c r="A88" s="64">
        <v>21</v>
      </c>
      <c r="B88" s="58" t="s">
        <v>132</v>
      </c>
      <c r="C88" s="73" t="s">
        <v>133</v>
      </c>
      <c r="D88" s="17"/>
      <c r="E88" s="21"/>
      <c r="F88" s="16">
        <v>3</v>
      </c>
      <c r="G88" s="16">
        <v>3300.56</v>
      </c>
      <c r="H88" s="104">
        <f>G88*F88/1000</f>
        <v>9.9016800000000007</v>
      </c>
      <c r="I88" s="108">
        <f>G88*3</f>
        <v>9901.68</v>
      </c>
      <c r="J88" s="26"/>
      <c r="L88" s="22"/>
      <c r="M88" s="23"/>
      <c r="N88" s="24"/>
    </row>
    <row r="89" spans="1:14" ht="15.75" customHeight="1">
      <c r="A89" s="64">
        <v>22</v>
      </c>
      <c r="B89" s="109" t="s">
        <v>193</v>
      </c>
      <c r="C89" s="30" t="s">
        <v>96</v>
      </c>
      <c r="D89" s="52"/>
      <c r="E89" s="16"/>
      <c r="F89" s="16">
        <v>5</v>
      </c>
      <c r="G89" s="16">
        <v>470</v>
      </c>
      <c r="H89" s="104">
        <f t="shared" ref="H89" si="6">G89*F89/1000</f>
        <v>2.35</v>
      </c>
      <c r="I89" s="108">
        <f>G89*3</f>
        <v>1410</v>
      </c>
      <c r="J89" s="26"/>
      <c r="L89" s="22"/>
      <c r="M89" s="23"/>
      <c r="N89" s="24"/>
    </row>
    <row r="90" spans="1:14" ht="15.75" hidden="1" customHeight="1">
      <c r="A90" s="64"/>
      <c r="B90" s="58" t="s">
        <v>158</v>
      </c>
      <c r="C90" s="73" t="s">
        <v>79</v>
      </c>
      <c r="D90" s="17"/>
      <c r="E90" s="21"/>
      <c r="F90" s="16">
        <v>2</v>
      </c>
      <c r="G90" s="16">
        <v>2057</v>
      </c>
      <c r="H90" s="104">
        <f t="shared" ref="H90:H110" si="7">G90*F90/1000</f>
        <v>4.1139999999999999</v>
      </c>
      <c r="I90" s="108">
        <v>0</v>
      </c>
      <c r="J90" s="26"/>
      <c r="L90" s="22"/>
      <c r="M90" s="23"/>
      <c r="N90" s="24"/>
    </row>
    <row r="91" spans="1:14" ht="15.75" hidden="1" customHeight="1">
      <c r="A91" s="64"/>
      <c r="B91" s="58" t="s">
        <v>159</v>
      </c>
      <c r="C91" s="73" t="s">
        <v>160</v>
      </c>
      <c r="D91" s="17"/>
      <c r="E91" s="21"/>
      <c r="F91" s="16">
        <v>3</v>
      </c>
      <c r="G91" s="16">
        <v>195.95</v>
      </c>
      <c r="H91" s="104">
        <f t="shared" si="7"/>
        <v>0.58784999999999987</v>
      </c>
      <c r="I91" s="108">
        <v>0</v>
      </c>
      <c r="J91" s="26"/>
      <c r="L91" s="22"/>
      <c r="M91" s="23"/>
      <c r="N91" s="24"/>
    </row>
    <row r="92" spans="1:14" ht="15.75" hidden="1" customHeight="1">
      <c r="A92" s="64"/>
      <c r="B92" s="109" t="s">
        <v>161</v>
      </c>
      <c r="C92" s="30" t="s">
        <v>162</v>
      </c>
      <c r="D92" s="17"/>
      <c r="E92" s="21"/>
      <c r="F92" s="16">
        <v>1</v>
      </c>
      <c r="G92" s="16">
        <v>383.01</v>
      </c>
      <c r="H92" s="104">
        <f t="shared" si="7"/>
        <v>0.38301000000000002</v>
      </c>
      <c r="I92" s="108">
        <v>0</v>
      </c>
      <c r="J92" s="26"/>
      <c r="L92" s="22"/>
      <c r="M92" s="23"/>
      <c r="N92" s="24"/>
    </row>
    <row r="93" spans="1:14" ht="15.75" hidden="1" customHeight="1">
      <c r="A93" s="64"/>
      <c r="B93" s="71" t="s">
        <v>163</v>
      </c>
      <c r="C93" s="72" t="s">
        <v>95</v>
      </c>
      <c r="D93" s="17"/>
      <c r="E93" s="21"/>
      <c r="F93" s="16">
        <f>14/3</f>
        <v>4.666666666666667</v>
      </c>
      <c r="G93" s="16">
        <v>1063.47</v>
      </c>
      <c r="H93" s="104">
        <f t="shared" si="7"/>
        <v>4.9628600000000009</v>
      </c>
      <c r="I93" s="108">
        <v>0</v>
      </c>
      <c r="J93" s="26"/>
      <c r="L93" s="22"/>
      <c r="M93" s="23"/>
      <c r="N93" s="24"/>
    </row>
    <row r="94" spans="1:14" ht="15.75" hidden="1" customHeight="1">
      <c r="A94" s="64"/>
      <c r="B94" s="58" t="s">
        <v>164</v>
      </c>
      <c r="C94" s="107" t="s">
        <v>165</v>
      </c>
      <c r="D94" s="17"/>
      <c r="E94" s="21"/>
      <c r="F94" s="16">
        <v>1</v>
      </c>
      <c r="G94" s="16">
        <v>945.07</v>
      </c>
      <c r="H94" s="104">
        <f t="shared" si="7"/>
        <v>0.94507000000000008</v>
      </c>
      <c r="I94" s="108">
        <v>0</v>
      </c>
      <c r="J94" s="26"/>
      <c r="L94" s="22"/>
      <c r="M94" s="23"/>
      <c r="N94" s="24"/>
    </row>
    <row r="95" spans="1:14" ht="15.75" hidden="1" customHeight="1">
      <c r="A95" s="64"/>
      <c r="B95" s="58" t="s">
        <v>80</v>
      </c>
      <c r="C95" s="73" t="s">
        <v>37</v>
      </c>
      <c r="D95" s="17"/>
      <c r="E95" s="21"/>
      <c r="F95" s="16">
        <v>0.01</v>
      </c>
      <c r="G95" s="16">
        <v>3397.65</v>
      </c>
      <c r="H95" s="104">
        <f t="shared" si="7"/>
        <v>3.39765E-2</v>
      </c>
      <c r="I95" s="108">
        <v>0</v>
      </c>
      <c r="J95" s="26"/>
      <c r="L95" s="22"/>
      <c r="M95" s="23"/>
      <c r="N95" s="24"/>
    </row>
    <row r="96" spans="1:14" ht="15.75" hidden="1" customHeight="1">
      <c r="A96" s="64"/>
      <c r="B96" s="58" t="s">
        <v>166</v>
      </c>
      <c r="C96" s="73" t="s">
        <v>167</v>
      </c>
      <c r="D96" s="17"/>
      <c r="E96" s="21"/>
      <c r="F96" s="16">
        <v>0.01</v>
      </c>
      <c r="G96" s="16">
        <v>7033.13</v>
      </c>
      <c r="H96" s="104">
        <f t="shared" si="7"/>
        <v>7.0331299999999999E-2</v>
      </c>
      <c r="I96" s="108">
        <v>0</v>
      </c>
      <c r="J96" s="26"/>
      <c r="L96" s="22"/>
      <c r="M96" s="23"/>
      <c r="N96" s="24"/>
    </row>
    <row r="97" spans="1:14" ht="15.75" hidden="1" customHeight="1">
      <c r="A97" s="64"/>
      <c r="B97" s="58" t="s">
        <v>168</v>
      </c>
      <c r="C97" s="73" t="s">
        <v>79</v>
      </c>
      <c r="D97" s="17"/>
      <c r="E97" s="21"/>
      <c r="F97" s="16">
        <v>2</v>
      </c>
      <c r="G97" s="16">
        <v>1187</v>
      </c>
      <c r="H97" s="104">
        <f t="shared" si="7"/>
        <v>2.3740000000000001</v>
      </c>
      <c r="I97" s="108">
        <v>0</v>
      </c>
      <c r="J97" s="26"/>
      <c r="L97" s="22"/>
      <c r="M97" s="23"/>
      <c r="N97" s="24"/>
    </row>
    <row r="98" spans="1:14" ht="15.75" hidden="1" customHeight="1">
      <c r="A98" s="64"/>
      <c r="B98" s="58" t="s">
        <v>169</v>
      </c>
      <c r="C98" s="73" t="s">
        <v>96</v>
      </c>
      <c r="D98" s="17"/>
      <c r="E98" s="21"/>
      <c r="F98" s="16">
        <v>1</v>
      </c>
      <c r="G98" s="16">
        <v>149.63999999999999</v>
      </c>
      <c r="H98" s="104">
        <f t="shared" si="7"/>
        <v>0.14964</v>
      </c>
      <c r="I98" s="108">
        <v>0</v>
      </c>
      <c r="J98" s="26"/>
      <c r="L98" s="22"/>
      <c r="M98" s="23"/>
      <c r="N98" s="24"/>
    </row>
    <row r="99" spans="1:14" ht="15.75" hidden="1" customHeight="1">
      <c r="A99" s="64"/>
      <c r="B99" s="58" t="s">
        <v>77</v>
      </c>
      <c r="C99" s="73" t="s">
        <v>96</v>
      </c>
      <c r="D99" s="17"/>
      <c r="E99" s="21"/>
      <c r="F99" s="16">
        <v>2</v>
      </c>
      <c r="G99" s="16">
        <v>79.09</v>
      </c>
      <c r="H99" s="104">
        <f t="shared" si="7"/>
        <v>0.15818000000000002</v>
      </c>
      <c r="I99" s="108">
        <v>0</v>
      </c>
      <c r="J99" s="26"/>
      <c r="L99" s="22"/>
      <c r="M99" s="23"/>
      <c r="N99" s="24"/>
    </row>
    <row r="100" spans="1:14" ht="15.75" hidden="1" customHeight="1">
      <c r="A100" s="64"/>
      <c r="B100" s="58" t="s">
        <v>170</v>
      </c>
      <c r="C100" s="73" t="s">
        <v>100</v>
      </c>
      <c r="D100" s="17"/>
      <c r="E100" s="21"/>
      <c r="F100" s="16">
        <v>1</v>
      </c>
      <c r="G100" s="16">
        <v>51.39</v>
      </c>
      <c r="H100" s="104">
        <f t="shared" si="7"/>
        <v>5.1389999999999998E-2</v>
      </c>
      <c r="I100" s="108">
        <v>0</v>
      </c>
      <c r="J100" s="26"/>
      <c r="L100" s="22"/>
      <c r="M100" s="23"/>
      <c r="N100" s="24"/>
    </row>
    <row r="101" spans="1:14" ht="15.75" hidden="1" customHeight="1">
      <c r="A101" s="64"/>
      <c r="B101" s="58" t="s">
        <v>171</v>
      </c>
      <c r="C101" s="73" t="s">
        <v>53</v>
      </c>
      <c r="D101" s="17"/>
      <c r="E101" s="21"/>
      <c r="F101" s="16">
        <v>4</v>
      </c>
      <c r="G101" s="16">
        <v>802.14</v>
      </c>
      <c r="H101" s="104">
        <f t="shared" si="7"/>
        <v>3.2085599999999999</v>
      </c>
      <c r="I101" s="108">
        <v>0</v>
      </c>
      <c r="J101" s="26"/>
      <c r="L101" s="22"/>
      <c r="M101" s="23"/>
      <c r="N101" s="24"/>
    </row>
    <row r="102" spans="1:14" ht="15.75" hidden="1" customHeight="1">
      <c r="A102" s="64"/>
      <c r="B102" s="71" t="s">
        <v>128</v>
      </c>
      <c r="C102" s="72" t="s">
        <v>95</v>
      </c>
      <c r="D102" s="17"/>
      <c r="E102" s="21"/>
      <c r="F102" s="16">
        <f>21/3</f>
        <v>7</v>
      </c>
      <c r="G102" s="16">
        <v>1063.47</v>
      </c>
      <c r="H102" s="104">
        <f t="shared" si="7"/>
        <v>7.4442899999999996</v>
      </c>
      <c r="I102" s="108">
        <v>0</v>
      </c>
      <c r="J102" s="26"/>
      <c r="L102" s="22"/>
      <c r="M102" s="23"/>
      <c r="N102" s="24"/>
    </row>
    <row r="103" spans="1:14" ht="15.75" hidden="1" customHeight="1">
      <c r="A103" s="64"/>
      <c r="B103" s="58" t="s">
        <v>99</v>
      </c>
      <c r="C103" s="73" t="s">
        <v>100</v>
      </c>
      <c r="D103" s="17"/>
      <c r="E103" s="21"/>
      <c r="F103" s="16">
        <v>1</v>
      </c>
      <c r="G103" s="16">
        <v>286.55</v>
      </c>
      <c r="H103" s="104">
        <f t="shared" si="7"/>
        <v>0.28655000000000003</v>
      </c>
      <c r="I103" s="108">
        <v>0</v>
      </c>
      <c r="J103" s="26"/>
      <c r="L103" s="22"/>
      <c r="M103" s="23"/>
      <c r="N103" s="24"/>
    </row>
    <row r="104" spans="1:14" ht="15.75" hidden="1" customHeight="1">
      <c r="A104" s="64"/>
      <c r="B104" s="110" t="s">
        <v>83</v>
      </c>
      <c r="C104" s="73" t="s">
        <v>96</v>
      </c>
      <c r="D104" s="17"/>
      <c r="E104" s="21"/>
      <c r="F104" s="16">
        <v>1</v>
      </c>
      <c r="G104" s="16">
        <v>179.96</v>
      </c>
      <c r="H104" s="104">
        <f t="shared" si="7"/>
        <v>0.17996000000000001</v>
      </c>
      <c r="I104" s="108">
        <v>0</v>
      </c>
      <c r="J104" s="26"/>
      <c r="L104" s="22"/>
      <c r="M104" s="23"/>
      <c r="N104" s="24"/>
    </row>
    <row r="105" spans="1:14" ht="15.75" hidden="1" customHeight="1">
      <c r="A105" s="64"/>
      <c r="B105" s="110" t="s">
        <v>82</v>
      </c>
      <c r="C105" s="107" t="s">
        <v>71</v>
      </c>
      <c r="D105" s="17"/>
      <c r="E105" s="21"/>
      <c r="F105" s="16">
        <f>2/10</f>
        <v>0.2</v>
      </c>
      <c r="G105" s="16">
        <v>3800</v>
      </c>
      <c r="H105" s="104">
        <f t="shared" si="7"/>
        <v>0.76</v>
      </c>
      <c r="I105" s="108">
        <v>0</v>
      </c>
      <c r="J105" s="26"/>
      <c r="L105" s="22"/>
      <c r="M105" s="23"/>
      <c r="N105" s="24"/>
    </row>
    <row r="106" spans="1:14" ht="15.75" hidden="1" customHeight="1">
      <c r="A106" s="64"/>
      <c r="B106" s="58" t="s">
        <v>93</v>
      </c>
      <c r="C106" s="73" t="s">
        <v>97</v>
      </c>
      <c r="D106" s="17"/>
      <c r="E106" s="21"/>
      <c r="F106" s="16">
        <f>4.5/10</f>
        <v>0.45</v>
      </c>
      <c r="G106" s="16">
        <v>5641.28</v>
      </c>
      <c r="H106" s="104">
        <f t="shared" si="7"/>
        <v>2.5385759999999999</v>
      </c>
      <c r="I106" s="108">
        <v>0</v>
      </c>
      <c r="J106" s="26"/>
      <c r="L106" s="22"/>
      <c r="M106" s="23"/>
      <c r="N106" s="24"/>
    </row>
    <row r="107" spans="1:14" ht="15.75" hidden="1" customHeight="1">
      <c r="A107" s="64"/>
      <c r="B107" s="109" t="s">
        <v>94</v>
      </c>
      <c r="C107" s="30" t="s">
        <v>98</v>
      </c>
      <c r="D107" s="17"/>
      <c r="E107" s="21"/>
      <c r="F107" s="16">
        <f>0.5/10</f>
        <v>0.05</v>
      </c>
      <c r="G107" s="16">
        <v>39222.99</v>
      </c>
      <c r="H107" s="104">
        <f t="shared" si="7"/>
        <v>1.9611494999999999</v>
      </c>
      <c r="I107" s="108">
        <v>0</v>
      </c>
      <c r="J107" s="26"/>
      <c r="L107" s="22"/>
      <c r="M107" s="23"/>
      <c r="N107" s="24"/>
    </row>
    <row r="108" spans="1:14" ht="15.75" hidden="1" customHeight="1">
      <c r="A108" s="64"/>
      <c r="B108" s="58" t="s">
        <v>132</v>
      </c>
      <c r="C108" s="73" t="s">
        <v>172</v>
      </c>
      <c r="D108" s="17"/>
      <c r="E108" s="21"/>
      <c r="F108" s="16">
        <v>3</v>
      </c>
      <c r="G108" s="16">
        <v>3210.77</v>
      </c>
      <c r="H108" s="104">
        <f t="shared" si="7"/>
        <v>9.6323100000000004</v>
      </c>
      <c r="I108" s="108">
        <v>0</v>
      </c>
      <c r="J108" s="26"/>
      <c r="L108" s="22"/>
      <c r="M108" s="23"/>
      <c r="N108" s="24"/>
    </row>
    <row r="109" spans="1:14" ht="15.75" hidden="1" customHeight="1">
      <c r="A109" s="64"/>
      <c r="B109" s="58" t="s">
        <v>124</v>
      </c>
      <c r="C109" s="107" t="s">
        <v>79</v>
      </c>
      <c r="D109" s="17"/>
      <c r="E109" s="21"/>
      <c r="F109" s="16">
        <v>1</v>
      </c>
      <c r="G109" s="16">
        <v>18</v>
      </c>
      <c r="H109" s="104">
        <f t="shared" si="7"/>
        <v>1.7999999999999999E-2</v>
      </c>
      <c r="I109" s="108">
        <v>0</v>
      </c>
      <c r="J109" s="26"/>
      <c r="L109" s="22"/>
      <c r="M109" s="23"/>
      <c r="N109" s="24"/>
    </row>
    <row r="110" spans="1:14" ht="15.75" hidden="1" customHeight="1">
      <c r="A110" s="64"/>
      <c r="B110" s="58" t="s">
        <v>125</v>
      </c>
      <c r="C110" s="73" t="s">
        <v>96</v>
      </c>
      <c r="D110" s="17"/>
      <c r="E110" s="21"/>
      <c r="F110" s="16">
        <v>1</v>
      </c>
      <c r="G110" s="16">
        <v>183.7</v>
      </c>
      <c r="H110" s="104">
        <f t="shared" si="7"/>
        <v>0.1837</v>
      </c>
      <c r="I110" s="108">
        <v>0</v>
      </c>
      <c r="J110" s="26"/>
      <c r="L110" s="22"/>
      <c r="M110" s="23"/>
      <c r="N110" s="24"/>
    </row>
    <row r="111" spans="1:14" ht="15.75" hidden="1" customHeight="1">
      <c r="A111" s="64"/>
      <c r="B111" s="65" t="s">
        <v>40</v>
      </c>
      <c r="C111" s="89" t="s">
        <v>96</v>
      </c>
      <c r="D111" s="17"/>
      <c r="E111" s="21"/>
      <c r="F111" s="16">
        <v>1</v>
      </c>
      <c r="G111" s="16">
        <v>81.73</v>
      </c>
      <c r="H111" s="104">
        <f>G111*F111/1000</f>
        <v>8.1729999999999997E-2</v>
      </c>
      <c r="I111" s="108">
        <v>0</v>
      </c>
      <c r="J111" s="26"/>
      <c r="L111" s="22"/>
      <c r="M111" s="23"/>
      <c r="N111" s="24"/>
    </row>
    <row r="112" spans="1:14" ht="15.75" customHeight="1">
      <c r="A112" s="30"/>
      <c r="B112" s="50" t="s">
        <v>50</v>
      </c>
      <c r="C112" s="46"/>
      <c r="D112" s="57"/>
      <c r="E112" s="46">
        <v>1</v>
      </c>
      <c r="F112" s="46"/>
      <c r="G112" s="34"/>
      <c r="H112" s="46"/>
      <c r="I112" s="34">
        <f>SUM(I86:I89)</f>
        <v>16619.2</v>
      </c>
      <c r="J112" s="26"/>
      <c r="L112" s="22"/>
      <c r="M112" s="23"/>
      <c r="N112" s="24"/>
    </row>
    <row r="113" spans="1:22" ht="15.75" customHeight="1">
      <c r="A113" s="30"/>
      <c r="B113" s="52" t="s">
        <v>76</v>
      </c>
      <c r="C113" s="18"/>
      <c r="D113" s="18"/>
      <c r="E113" s="47"/>
      <c r="F113" s="48"/>
      <c r="G113" s="20"/>
      <c r="H113" s="87"/>
      <c r="I113" s="21">
        <v>0</v>
      </c>
      <c r="J113" s="26"/>
      <c r="L113" s="22"/>
      <c r="M113" s="23"/>
      <c r="N113" s="24"/>
    </row>
    <row r="114" spans="1:22" ht="15.75" customHeight="1">
      <c r="A114" s="88"/>
      <c r="B114" s="51" t="s">
        <v>194</v>
      </c>
      <c r="C114" s="37"/>
      <c r="D114" s="37"/>
      <c r="E114" s="37"/>
      <c r="F114" s="37"/>
      <c r="G114" s="49"/>
      <c r="H114" s="38"/>
      <c r="I114" s="34">
        <f>I84+I112</f>
        <v>70807.997049016674</v>
      </c>
      <c r="J114" s="26"/>
      <c r="L114" s="22"/>
      <c r="M114" s="23"/>
      <c r="N114" s="24"/>
    </row>
    <row r="115" spans="1:22" ht="15.75" customHeight="1">
      <c r="A115" s="158" t="s">
        <v>270</v>
      </c>
      <c r="B115" s="158"/>
      <c r="C115" s="158"/>
      <c r="D115" s="158"/>
      <c r="E115" s="158"/>
      <c r="F115" s="158"/>
      <c r="G115" s="158"/>
      <c r="H115" s="158"/>
      <c r="I115" s="158"/>
      <c r="J115" s="26"/>
      <c r="L115" s="22"/>
      <c r="M115" s="23"/>
      <c r="N115" s="24"/>
    </row>
    <row r="116" spans="1:22" ht="15.75" customHeight="1">
      <c r="A116" s="12"/>
      <c r="B116" s="179" t="s">
        <v>271</v>
      </c>
      <c r="C116" s="179"/>
      <c r="D116" s="179"/>
      <c r="E116" s="179"/>
      <c r="F116" s="179"/>
      <c r="G116" s="179"/>
      <c r="H116" s="78"/>
      <c r="I116" s="4"/>
      <c r="J116" s="26"/>
      <c r="L116" s="22"/>
    </row>
    <row r="117" spans="1:22" ht="15.75" customHeight="1">
      <c r="A117" s="63"/>
      <c r="B117" s="160" t="s">
        <v>6</v>
      </c>
      <c r="C117" s="160"/>
      <c r="D117" s="160"/>
      <c r="E117" s="160"/>
      <c r="F117" s="160"/>
      <c r="G117" s="160"/>
      <c r="H117" s="27"/>
      <c r="I117" s="54"/>
    </row>
    <row r="118" spans="1:22" ht="15.75" customHeight="1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22" ht="15.75" customHeight="1">
      <c r="A119" s="180" t="s">
        <v>7</v>
      </c>
      <c r="B119" s="180"/>
      <c r="C119" s="180"/>
      <c r="D119" s="180"/>
      <c r="E119" s="180"/>
      <c r="F119" s="180"/>
      <c r="G119" s="180"/>
      <c r="H119" s="180"/>
      <c r="I119" s="180"/>
    </row>
    <row r="120" spans="1:22" ht="15.75" customHeight="1">
      <c r="A120" s="180" t="s">
        <v>8</v>
      </c>
      <c r="B120" s="180"/>
      <c r="C120" s="180"/>
      <c r="D120" s="180"/>
      <c r="E120" s="180"/>
      <c r="F120" s="180"/>
      <c r="G120" s="180"/>
      <c r="H120" s="180"/>
      <c r="I120" s="180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11"/>
    </row>
    <row r="121" spans="1:22" ht="15.75" customHeight="1">
      <c r="A121" s="158" t="s">
        <v>9</v>
      </c>
      <c r="B121" s="158"/>
      <c r="C121" s="158"/>
      <c r="D121" s="158"/>
      <c r="E121" s="158"/>
      <c r="F121" s="158"/>
      <c r="G121" s="158"/>
      <c r="H121" s="158"/>
      <c r="I121" s="158"/>
      <c r="J121" s="28"/>
      <c r="K121" s="28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2" ht="15.75" customHeight="1">
      <c r="A122" s="14"/>
      <c r="B122" s="53"/>
      <c r="C122" s="53"/>
      <c r="D122" s="53"/>
      <c r="E122" s="53"/>
      <c r="F122" s="53"/>
      <c r="G122" s="53"/>
      <c r="H122" s="53"/>
      <c r="I122" s="53"/>
      <c r="J122" s="6"/>
      <c r="K122" s="6"/>
      <c r="L122" s="6"/>
      <c r="M122" s="6"/>
      <c r="N122" s="6"/>
      <c r="O122" s="6"/>
      <c r="P122" s="6"/>
      <c r="Q122" s="6"/>
      <c r="R122" s="157"/>
      <c r="S122" s="157"/>
      <c r="T122" s="157"/>
      <c r="U122" s="157"/>
    </row>
    <row r="123" spans="1:22" ht="15.75" customHeight="1">
      <c r="A123" s="181" t="s">
        <v>10</v>
      </c>
      <c r="B123" s="181"/>
      <c r="C123" s="181"/>
      <c r="D123" s="181"/>
      <c r="E123" s="181"/>
      <c r="F123" s="181"/>
      <c r="G123" s="181"/>
      <c r="H123" s="181"/>
      <c r="I123" s="181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1:22" ht="15.75" customHeight="1">
      <c r="A124" s="5"/>
      <c r="B124" s="53"/>
      <c r="C124" s="53"/>
      <c r="D124" s="53"/>
      <c r="E124" s="53"/>
      <c r="F124" s="53"/>
      <c r="G124" s="53"/>
      <c r="H124" s="53"/>
      <c r="I124" s="53"/>
    </row>
    <row r="125" spans="1:22" ht="15.75" customHeight="1">
      <c r="A125" s="158" t="s">
        <v>11</v>
      </c>
      <c r="B125" s="158"/>
      <c r="C125" s="159" t="s">
        <v>91</v>
      </c>
      <c r="D125" s="159"/>
      <c r="E125" s="159"/>
      <c r="F125" s="82"/>
      <c r="I125" s="62"/>
    </row>
    <row r="126" spans="1:22" ht="15.75" customHeight="1">
      <c r="A126" s="63"/>
      <c r="B126" s="53"/>
      <c r="C126" s="160" t="s">
        <v>12</v>
      </c>
      <c r="D126" s="160"/>
      <c r="E126" s="160"/>
      <c r="F126" s="27"/>
      <c r="I126" s="61" t="s">
        <v>13</v>
      </c>
    </row>
    <row r="127" spans="1:22" ht="15.75" customHeight="1">
      <c r="A127" s="28"/>
      <c r="B127" s="53"/>
      <c r="C127" s="15"/>
      <c r="D127" s="15"/>
      <c r="G127" s="15"/>
      <c r="H127" s="15"/>
    </row>
    <row r="128" spans="1:22" ht="15.75" customHeight="1">
      <c r="A128" s="158" t="s">
        <v>14</v>
      </c>
      <c r="B128" s="158"/>
      <c r="C128" s="172"/>
      <c r="D128" s="172"/>
      <c r="E128" s="172"/>
      <c r="F128" s="83"/>
      <c r="I128" s="62"/>
    </row>
    <row r="129" spans="1:9" ht="15.75" customHeight="1">
      <c r="A129" s="59"/>
      <c r="C129" s="157" t="s">
        <v>12</v>
      </c>
      <c r="D129" s="157"/>
      <c r="E129" s="157"/>
      <c r="F129" s="75"/>
      <c r="I129" s="61" t="s">
        <v>13</v>
      </c>
    </row>
    <row r="130" spans="1:9" ht="15.75" customHeight="1">
      <c r="A130" s="5" t="s">
        <v>15</v>
      </c>
    </row>
    <row r="131" spans="1:9">
      <c r="A131" s="173" t="s">
        <v>16</v>
      </c>
      <c r="B131" s="173"/>
      <c r="C131" s="173"/>
      <c r="D131" s="173"/>
      <c r="E131" s="173"/>
      <c r="F131" s="173"/>
      <c r="G131" s="173"/>
      <c r="H131" s="173"/>
      <c r="I131" s="173"/>
    </row>
    <row r="132" spans="1:9" ht="45" customHeight="1">
      <c r="A132" s="171" t="s">
        <v>17</v>
      </c>
      <c r="B132" s="171"/>
      <c r="C132" s="171"/>
      <c r="D132" s="171"/>
      <c r="E132" s="171"/>
      <c r="F132" s="171"/>
      <c r="G132" s="171"/>
      <c r="H132" s="171"/>
      <c r="I132" s="171"/>
    </row>
    <row r="133" spans="1:9" ht="30" customHeight="1">
      <c r="A133" s="171" t="s">
        <v>18</v>
      </c>
      <c r="B133" s="171"/>
      <c r="C133" s="171"/>
      <c r="D133" s="171"/>
      <c r="E133" s="171"/>
      <c r="F133" s="171"/>
      <c r="G133" s="171"/>
      <c r="H133" s="171"/>
      <c r="I133" s="171"/>
    </row>
    <row r="134" spans="1:9" ht="30" customHeight="1">
      <c r="A134" s="171" t="s">
        <v>22</v>
      </c>
      <c r="B134" s="171"/>
      <c r="C134" s="171"/>
      <c r="D134" s="171"/>
      <c r="E134" s="171"/>
      <c r="F134" s="171"/>
      <c r="G134" s="171"/>
      <c r="H134" s="171"/>
      <c r="I134" s="171"/>
    </row>
    <row r="135" spans="1:9" ht="15" customHeight="1">
      <c r="A135" s="171" t="s">
        <v>21</v>
      </c>
      <c r="B135" s="171"/>
      <c r="C135" s="171"/>
      <c r="D135" s="171"/>
      <c r="E135" s="171"/>
      <c r="F135" s="171"/>
      <c r="G135" s="171"/>
      <c r="H135" s="171"/>
      <c r="I135" s="171"/>
    </row>
  </sheetData>
  <autoFilter ref="I15:I118"/>
  <mergeCells count="31">
    <mergeCell ref="A28:I28"/>
    <mergeCell ref="A45:I45"/>
    <mergeCell ref="A57:I57"/>
    <mergeCell ref="A134:I134"/>
    <mergeCell ref="B116:G116"/>
    <mergeCell ref="B117:G117"/>
    <mergeCell ref="A119:I119"/>
    <mergeCell ref="A121:I121"/>
    <mergeCell ref="A123:I123"/>
    <mergeCell ref="A120:I120"/>
    <mergeCell ref="A115:I115"/>
    <mergeCell ref="A81:I81"/>
    <mergeCell ref="A85:I85"/>
    <mergeCell ref="A135:I135"/>
    <mergeCell ref="C128:E128"/>
    <mergeCell ref="C129:E129"/>
    <mergeCell ref="A131:I131"/>
    <mergeCell ref="A132:I132"/>
    <mergeCell ref="A133:I133"/>
    <mergeCell ref="A3:I3"/>
    <mergeCell ref="A4:I4"/>
    <mergeCell ref="A8:I8"/>
    <mergeCell ref="A15:I15"/>
    <mergeCell ref="A5:I5"/>
    <mergeCell ref="A10:I10"/>
    <mergeCell ref="A14:I14"/>
    <mergeCell ref="R122:U122"/>
    <mergeCell ref="A125:B125"/>
    <mergeCell ref="C125:E125"/>
    <mergeCell ref="C126:E126"/>
    <mergeCell ref="A128:B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252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253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26"/>
      <c r="C6" s="126"/>
      <c r="D6" s="126"/>
      <c r="E6" s="126"/>
      <c r="F6" s="126"/>
      <c r="G6" s="126"/>
      <c r="H6" s="126"/>
      <c r="I6" s="33">
        <v>43039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 ht="15.75" customHeight="1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254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customHeight="1">
      <c r="A30" s="153">
        <v>6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customHeight="1">
      <c r="A33" s="86">
        <v>8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hidden="1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>
        <v>12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13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30">
        <v>14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15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16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90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hidden="1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hidden="1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9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>
        <v>23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64">
        <v>24</v>
      </c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64">
        <v>10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74" t="s">
        <v>181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11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64">
        <v>12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I16+I17+I18+I26+I27+I30+I31+I33+I61+I71+I82+I83</f>
        <v>40558.614132111106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15.75" customHeight="1">
      <c r="A86" s="64">
        <v>13</v>
      </c>
      <c r="B86" s="71" t="s">
        <v>197</v>
      </c>
      <c r="C86" s="72" t="s">
        <v>95</v>
      </c>
      <c r="D86" s="41"/>
      <c r="E86" s="20"/>
      <c r="F86" s="39">
        <f>31/3</f>
        <v>10.333333333333334</v>
      </c>
      <c r="G86" s="39">
        <v>1120.8900000000001</v>
      </c>
      <c r="H86" s="143">
        <f>G86*F86/1000</f>
        <v>11.582530000000002</v>
      </c>
      <c r="I86" s="155">
        <f>G86*(15/3)</f>
        <v>5604.4500000000007</v>
      </c>
      <c r="J86" s="26"/>
      <c r="L86" s="22"/>
      <c r="M86" s="23"/>
      <c r="N86" s="24"/>
    </row>
    <row r="87" spans="1:14" ht="15.75" customHeight="1">
      <c r="A87" s="64">
        <v>14</v>
      </c>
      <c r="B87" s="58" t="s">
        <v>259</v>
      </c>
      <c r="C87" s="73" t="s">
        <v>96</v>
      </c>
      <c r="D87" s="41"/>
      <c r="E87" s="20"/>
      <c r="F87" s="39">
        <v>1</v>
      </c>
      <c r="G87" s="39">
        <v>206.54</v>
      </c>
      <c r="H87" s="143">
        <f t="shared" ref="H87:H88" si="20">G87*F87/1000</f>
        <v>0.20654</v>
      </c>
      <c r="I87" s="155">
        <f>G87</f>
        <v>206.54</v>
      </c>
      <c r="J87" s="26"/>
      <c r="L87" s="22"/>
      <c r="M87" s="23"/>
      <c r="N87" s="24"/>
    </row>
    <row r="88" spans="1:14" ht="15.75" customHeight="1">
      <c r="A88" s="64">
        <v>15</v>
      </c>
      <c r="B88" s="65" t="s">
        <v>260</v>
      </c>
      <c r="C88" s="89" t="s">
        <v>96</v>
      </c>
      <c r="D88" s="41"/>
      <c r="E88" s="20"/>
      <c r="F88" s="39">
        <v>1</v>
      </c>
      <c r="G88" s="39">
        <v>185.08</v>
      </c>
      <c r="H88" s="143">
        <f t="shared" si="20"/>
        <v>0.18508000000000002</v>
      </c>
      <c r="I88" s="155">
        <f>G88</f>
        <v>185.08</v>
      </c>
      <c r="J88" s="26"/>
      <c r="L88" s="22"/>
      <c r="M88" s="23"/>
      <c r="N88" s="24"/>
    </row>
    <row r="89" spans="1:14" ht="15.75" customHeight="1">
      <c r="A89" s="30"/>
      <c r="B89" s="50" t="s">
        <v>50</v>
      </c>
      <c r="C89" s="46"/>
      <c r="D89" s="57"/>
      <c r="E89" s="46">
        <v>1</v>
      </c>
      <c r="F89" s="46"/>
      <c r="G89" s="34"/>
      <c r="H89" s="46"/>
      <c r="I89" s="34">
        <f>SUM(I86:I88)</f>
        <v>5996.0700000000006</v>
      </c>
      <c r="J89" s="26"/>
      <c r="L89" s="22"/>
      <c r="M89" s="23"/>
      <c r="N89" s="24"/>
    </row>
    <row r="90" spans="1:14" ht="15.75" customHeight="1">
      <c r="A90" s="30"/>
      <c r="B90" s="52" t="s">
        <v>76</v>
      </c>
      <c r="C90" s="18"/>
      <c r="D90" s="18"/>
      <c r="E90" s="47"/>
      <c r="F90" s="48"/>
      <c r="G90" s="20"/>
      <c r="H90" s="87"/>
      <c r="I90" s="21">
        <v>0</v>
      </c>
      <c r="J90" s="26"/>
      <c r="L90" s="22"/>
      <c r="M90" s="23"/>
      <c r="N90" s="24"/>
    </row>
    <row r="91" spans="1:14" ht="15.75" customHeight="1">
      <c r="A91" s="88"/>
      <c r="B91" s="51" t="s">
        <v>194</v>
      </c>
      <c r="C91" s="37"/>
      <c r="D91" s="37"/>
      <c r="E91" s="37"/>
      <c r="F91" s="37"/>
      <c r="G91" s="49"/>
      <c r="H91" s="38"/>
      <c r="I91" s="34">
        <f>I84+I89</f>
        <v>46554.684132111106</v>
      </c>
      <c r="J91" s="26"/>
      <c r="L91" s="22"/>
      <c r="M91" s="23"/>
      <c r="N91" s="24"/>
    </row>
    <row r="92" spans="1:14" ht="15.75" customHeight="1">
      <c r="A92" s="158" t="s">
        <v>261</v>
      </c>
      <c r="B92" s="158"/>
      <c r="C92" s="158"/>
      <c r="D92" s="158"/>
      <c r="E92" s="158"/>
      <c r="F92" s="158"/>
      <c r="G92" s="158"/>
      <c r="H92" s="158"/>
      <c r="I92" s="158"/>
      <c r="J92" s="26"/>
      <c r="L92" s="22"/>
      <c r="M92" s="23"/>
      <c r="N92" s="24"/>
    </row>
    <row r="93" spans="1:14" ht="15.75" customHeight="1">
      <c r="A93" s="12"/>
      <c r="B93" s="179" t="s">
        <v>262</v>
      </c>
      <c r="C93" s="179"/>
      <c r="D93" s="179"/>
      <c r="E93" s="179"/>
      <c r="F93" s="179"/>
      <c r="G93" s="179"/>
      <c r="H93" s="121"/>
      <c r="I93" s="4"/>
      <c r="J93" s="26"/>
      <c r="L93" s="22"/>
    </row>
    <row r="94" spans="1:14" ht="15.75" customHeight="1">
      <c r="A94" s="79"/>
      <c r="B94" s="160" t="s">
        <v>6</v>
      </c>
      <c r="C94" s="160"/>
      <c r="D94" s="160"/>
      <c r="E94" s="160"/>
      <c r="F94" s="160"/>
      <c r="G94" s="160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180" t="s">
        <v>7</v>
      </c>
      <c r="B96" s="180"/>
      <c r="C96" s="180"/>
      <c r="D96" s="180"/>
      <c r="E96" s="180"/>
      <c r="F96" s="180"/>
      <c r="G96" s="180"/>
      <c r="H96" s="180"/>
      <c r="I96" s="180"/>
    </row>
    <row r="97" spans="1:22" ht="15.75" customHeight="1">
      <c r="A97" s="180" t="s">
        <v>8</v>
      </c>
      <c r="B97" s="180"/>
      <c r="C97" s="180"/>
      <c r="D97" s="180"/>
      <c r="E97" s="180"/>
      <c r="F97" s="180"/>
      <c r="G97" s="180"/>
      <c r="H97" s="180"/>
      <c r="I97" s="18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58" t="s">
        <v>9</v>
      </c>
      <c r="B98" s="158"/>
      <c r="C98" s="158"/>
      <c r="D98" s="158"/>
      <c r="E98" s="158"/>
      <c r="F98" s="158"/>
      <c r="G98" s="158"/>
      <c r="H98" s="158"/>
      <c r="I98" s="158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157"/>
      <c r="S99" s="157"/>
      <c r="T99" s="157"/>
      <c r="U99" s="157"/>
    </row>
    <row r="100" spans="1:22" ht="15.75" customHeight="1">
      <c r="A100" s="181" t="s">
        <v>10</v>
      </c>
      <c r="B100" s="181"/>
      <c r="C100" s="181"/>
      <c r="D100" s="181"/>
      <c r="E100" s="181"/>
      <c r="F100" s="181"/>
      <c r="G100" s="181"/>
      <c r="H100" s="181"/>
      <c r="I100" s="18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158" t="s">
        <v>11</v>
      </c>
      <c r="B102" s="158"/>
      <c r="C102" s="189" t="s">
        <v>91</v>
      </c>
      <c r="D102" s="189"/>
      <c r="E102" s="189"/>
      <c r="F102" s="82"/>
      <c r="I102" s="124"/>
    </row>
    <row r="103" spans="1:22" ht="15.75" customHeight="1">
      <c r="A103" s="79"/>
      <c r="B103" s="53"/>
      <c r="C103" s="160" t="s">
        <v>12</v>
      </c>
      <c r="D103" s="160"/>
      <c r="E103" s="160"/>
      <c r="F103" s="27"/>
      <c r="I103" s="122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158" t="s">
        <v>14</v>
      </c>
      <c r="B105" s="158"/>
      <c r="C105" s="172"/>
      <c r="D105" s="172"/>
      <c r="E105" s="172"/>
      <c r="F105" s="83"/>
      <c r="I105" s="124"/>
    </row>
    <row r="106" spans="1:22" ht="15.75" customHeight="1">
      <c r="A106" s="125"/>
      <c r="C106" s="157" t="s">
        <v>12</v>
      </c>
      <c r="D106" s="157"/>
      <c r="E106" s="157"/>
      <c r="F106" s="125"/>
      <c r="I106" s="122" t="s">
        <v>13</v>
      </c>
    </row>
    <row r="107" spans="1:22" ht="15.75" customHeight="1">
      <c r="A107" s="5" t="s">
        <v>15</v>
      </c>
    </row>
    <row r="108" spans="1:22">
      <c r="A108" s="173" t="s">
        <v>16</v>
      </c>
      <c r="B108" s="173"/>
      <c r="C108" s="173"/>
      <c r="D108" s="173"/>
      <c r="E108" s="173"/>
      <c r="F108" s="173"/>
      <c r="G108" s="173"/>
      <c r="H108" s="173"/>
      <c r="I108" s="173"/>
    </row>
    <row r="109" spans="1:22" ht="45" customHeight="1">
      <c r="A109" s="171" t="s">
        <v>17</v>
      </c>
      <c r="B109" s="171"/>
      <c r="C109" s="171"/>
      <c r="D109" s="171"/>
      <c r="E109" s="171"/>
      <c r="F109" s="171"/>
      <c r="G109" s="171"/>
      <c r="H109" s="171"/>
      <c r="I109" s="171"/>
    </row>
    <row r="110" spans="1:22" ht="30" customHeight="1">
      <c r="A110" s="171" t="s">
        <v>18</v>
      </c>
      <c r="B110" s="171"/>
      <c r="C110" s="171"/>
      <c r="D110" s="171"/>
      <c r="E110" s="171"/>
      <c r="F110" s="171"/>
      <c r="G110" s="171"/>
      <c r="H110" s="171"/>
      <c r="I110" s="171"/>
    </row>
    <row r="111" spans="1:22" ht="30" customHeight="1">
      <c r="A111" s="171" t="s">
        <v>22</v>
      </c>
      <c r="B111" s="171"/>
      <c r="C111" s="171"/>
      <c r="D111" s="171"/>
      <c r="E111" s="171"/>
      <c r="F111" s="171"/>
      <c r="G111" s="171"/>
      <c r="H111" s="171"/>
      <c r="I111" s="171"/>
    </row>
    <row r="112" spans="1:22" ht="15" customHeight="1">
      <c r="A112" s="171" t="s">
        <v>21</v>
      </c>
      <c r="B112" s="171"/>
      <c r="C112" s="171"/>
      <c r="D112" s="171"/>
      <c r="E112" s="171"/>
      <c r="F112" s="171"/>
      <c r="G112" s="171"/>
      <c r="H112" s="171"/>
      <c r="I112" s="171"/>
    </row>
  </sheetData>
  <autoFilter ref="I15:I95"/>
  <mergeCells count="31"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8:I28"/>
    <mergeCell ref="A44:I44"/>
    <mergeCell ref="A55:I55"/>
    <mergeCell ref="A81:I81"/>
    <mergeCell ref="A85:I85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264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263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50"/>
      <c r="C6" s="150"/>
      <c r="D6" s="150"/>
      <c r="E6" s="150"/>
      <c r="F6" s="150"/>
      <c r="G6" s="150"/>
      <c r="H6" s="150"/>
      <c r="I6" s="33">
        <v>43069</v>
      </c>
    </row>
    <row r="7" spans="1:15" ht="15.75">
      <c r="B7" s="148"/>
      <c r="C7" s="148"/>
      <c r="D7" s="14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 ht="15.75" customHeight="1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254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hidden="1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hidden="1" customHeight="1">
      <c r="A30" s="153">
        <v>6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hidden="1" customHeight="1">
      <c r="A33" s="86">
        <v>8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customHeight="1">
      <c r="A43" s="30">
        <v>10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>
        <v>12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13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30">
        <v>14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15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16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90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customHeight="1">
      <c r="A57" s="64">
        <v>11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12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customHeight="1">
      <c r="A63" s="64">
        <v>13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64">
        <v>24</v>
      </c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64">
        <v>14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customHeight="1">
      <c r="A75" s="30">
        <v>15</v>
      </c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22" ht="15.75" customHeight="1">
      <c r="A81" s="174" t="s">
        <v>181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22" ht="15.75" customHeight="1">
      <c r="A82" s="64">
        <v>16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64">
        <v>17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I16+I17+I18+I26+I27+I37+I38+I40+I41+I43+I57+I61+I63+I71+I75+I82+I83</f>
        <v>45341.661211666666</v>
      </c>
      <c r="J84" s="26"/>
      <c r="L84" s="22"/>
      <c r="M84" s="23"/>
      <c r="N84" s="24"/>
    </row>
    <row r="85" spans="1:22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22" ht="31.5" customHeight="1">
      <c r="A86" s="64">
        <v>18</v>
      </c>
      <c r="B86" s="58" t="s">
        <v>265</v>
      </c>
      <c r="C86" s="73" t="s">
        <v>79</v>
      </c>
      <c r="D86" s="41"/>
      <c r="E86" s="20"/>
      <c r="F86" s="39">
        <v>6</v>
      </c>
      <c r="G86" s="39">
        <v>1365</v>
      </c>
      <c r="H86" s="143">
        <f>G86*F86/1000</f>
        <v>8.19</v>
      </c>
      <c r="I86" s="155">
        <f>G86*6</f>
        <v>8190</v>
      </c>
      <c r="J86" s="26"/>
      <c r="L86" s="22"/>
      <c r="M86" s="23"/>
      <c r="N86" s="24"/>
    </row>
    <row r="87" spans="1:22" ht="31.5" customHeight="1">
      <c r="A87" s="64">
        <v>19</v>
      </c>
      <c r="B87" s="58" t="s">
        <v>168</v>
      </c>
      <c r="C87" s="73" t="s">
        <v>79</v>
      </c>
      <c r="D87" s="41"/>
      <c r="E87" s="20"/>
      <c r="F87" s="39">
        <v>2</v>
      </c>
      <c r="G87" s="39">
        <v>1187</v>
      </c>
      <c r="H87" s="143">
        <f>G87*F87/1000</f>
        <v>2.3740000000000001</v>
      </c>
      <c r="I87" s="155">
        <f>G87*2</f>
        <v>2374</v>
      </c>
      <c r="J87" s="26"/>
      <c r="L87" s="22"/>
      <c r="M87" s="23"/>
      <c r="N87" s="24"/>
    </row>
    <row r="88" spans="1:22" ht="15.75" customHeight="1">
      <c r="A88" s="30"/>
      <c r="B88" s="50" t="s">
        <v>50</v>
      </c>
      <c r="C88" s="46"/>
      <c r="D88" s="57"/>
      <c r="E88" s="46">
        <v>1</v>
      </c>
      <c r="F88" s="46"/>
      <c r="G88" s="34"/>
      <c r="H88" s="46"/>
      <c r="I88" s="34">
        <f>SUM(I86:I87)</f>
        <v>10564</v>
      </c>
      <c r="J88" s="26"/>
      <c r="L88" s="22"/>
      <c r="M88" s="23"/>
      <c r="N88" s="24"/>
    </row>
    <row r="89" spans="1:22" ht="15.75" customHeight="1">
      <c r="A89" s="30"/>
      <c r="B89" s="52" t="s">
        <v>76</v>
      </c>
      <c r="C89" s="18"/>
      <c r="D89" s="18"/>
      <c r="E89" s="47"/>
      <c r="F89" s="48"/>
      <c r="G89" s="20"/>
      <c r="H89" s="87"/>
      <c r="I89" s="21">
        <v>0</v>
      </c>
      <c r="J89" s="26"/>
      <c r="L89" s="22"/>
      <c r="M89" s="23"/>
      <c r="N89" s="24"/>
    </row>
    <row r="90" spans="1:22" ht="15.75" customHeight="1">
      <c r="A90" s="88"/>
      <c r="B90" s="51" t="s">
        <v>194</v>
      </c>
      <c r="C90" s="37"/>
      <c r="D90" s="37"/>
      <c r="E90" s="37"/>
      <c r="F90" s="37"/>
      <c r="G90" s="49"/>
      <c r="H90" s="38"/>
      <c r="I90" s="34">
        <f>I84+I88</f>
        <v>55905.661211666666</v>
      </c>
      <c r="J90" s="26"/>
      <c r="L90" s="22"/>
      <c r="M90" s="23"/>
      <c r="N90" s="24"/>
    </row>
    <row r="91" spans="1:22" ht="15.75" customHeight="1">
      <c r="A91" s="158" t="s">
        <v>283</v>
      </c>
      <c r="B91" s="158"/>
      <c r="C91" s="158"/>
      <c r="D91" s="158"/>
      <c r="E91" s="158"/>
      <c r="F91" s="158"/>
      <c r="G91" s="158"/>
      <c r="H91" s="158"/>
      <c r="I91" s="158"/>
      <c r="J91" s="26"/>
      <c r="L91" s="22"/>
      <c r="M91" s="23"/>
      <c r="N91" s="24"/>
    </row>
    <row r="92" spans="1:22" ht="15.75" customHeight="1">
      <c r="A92" s="12"/>
      <c r="B92" s="179" t="s">
        <v>284</v>
      </c>
      <c r="C92" s="179"/>
      <c r="D92" s="179"/>
      <c r="E92" s="179"/>
      <c r="F92" s="179"/>
      <c r="G92" s="179"/>
      <c r="H92" s="152"/>
      <c r="I92" s="4"/>
      <c r="J92" s="26"/>
      <c r="L92" s="22"/>
    </row>
    <row r="93" spans="1:22" ht="15.75" customHeight="1">
      <c r="A93" s="79"/>
      <c r="B93" s="160" t="s">
        <v>6</v>
      </c>
      <c r="C93" s="160"/>
      <c r="D93" s="160"/>
      <c r="E93" s="160"/>
      <c r="F93" s="160"/>
      <c r="G93" s="160"/>
      <c r="H93" s="27"/>
      <c r="I93" s="54"/>
    </row>
    <row r="94" spans="1:22" ht="15.75" customHeight="1">
      <c r="A94" s="55"/>
      <c r="B94" s="55"/>
      <c r="C94" s="55"/>
      <c r="D94" s="55"/>
      <c r="E94" s="55"/>
      <c r="F94" s="55"/>
      <c r="G94" s="55"/>
      <c r="H94" s="55"/>
      <c r="I94" s="55"/>
    </row>
    <row r="95" spans="1:22" ht="15.75" customHeight="1">
      <c r="A95" s="180" t="s">
        <v>7</v>
      </c>
      <c r="B95" s="180"/>
      <c r="C95" s="180"/>
      <c r="D95" s="180"/>
      <c r="E95" s="180"/>
      <c r="F95" s="180"/>
      <c r="G95" s="180"/>
      <c r="H95" s="180"/>
      <c r="I95" s="180"/>
    </row>
    <row r="96" spans="1:22" ht="15.75" customHeight="1">
      <c r="A96" s="180" t="s">
        <v>8</v>
      </c>
      <c r="B96" s="180"/>
      <c r="C96" s="180"/>
      <c r="D96" s="180"/>
      <c r="E96" s="180"/>
      <c r="F96" s="180"/>
      <c r="G96" s="180"/>
      <c r="H96" s="180"/>
      <c r="I96" s="18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58" t="s">
        <v>9</v>
      </c>
      <c r="B97" s="158"/>
      <c r="C97" s="158"/>
      <c r="D97" s="158"/>
      <c r="E97" s="158"/>
      <c r="F97" s="158"/>
      <c r="G97" s="158"/>
      <c r="H97" s="158"/>
      <c r="I97" s="158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14"/>
      <c r="B98" s="53"/>
      <c r="C98" s="53"/>
      <c r="D98" s="53"/>
      <c r="E98" s="53"/>
      <c r="F98" s="53"/>
      <c r="G98" s="53"/>
      <c r="H98" s="53"/>
      <c r="I98" s="53"/>
      <c r="J98" s="6"/>
      <c r="K98" s="6"/>
      <c r="L98" s="6"/>
      <c r="M98" s="6"/>
      <c r="N98" s="6"/>
      <c r="O98" s="6"/>
      <c r="P98" s="6"/>
      <c r="Q98" s="6"/>
      <c r="R98" s="157"/>
      <c r="S98" s="157"/>
      <c r="T98" s="157"/>
      <c r="U98" s="157"/>
    </row>
    <row r="99" spans="1:21" ht="15.75" customHeight="1">
      <c r="A99" s="181" t="s">
        <v>10</v>
      </c>
      <c r="B99" s="181"/>
      <c r="C99" s="181"/>
      <c r="D99" s="181"/>
      <c r="E99" s="181"/>
      <c r="F99" s="181"/>
      <c r="G99" s="181"/>
      <c r="H99" s="181"/>
      <c r="I99" s="18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5.75" customHeight="1">
      <c r="A100" s="5"/>
      <c r="B100" s="53"/>
      <c r="C100" s="53"/>
      <c r="D100" s="53"/>
      <c r="E100" s="53"/>
      <c r="F100" s="53"/>
      <c r="G100" s="53"/>
      <c r="H100" s="53"/>
      <c r="I100" s="53"/>
    </row>
    <row r="101" spans="1:21" ht="15.75" customHeight="1">
      <c r="A101" s="158" t="s">
        <v>11</v>
      </c>
      <c r="B101" s="158"/>
      <c r="C101" s="189" t="s">
        <v>91</v>
      </c>
      <c r="D101" s="189"/>
      <c r="E101" s="189"/>
      <c r="F101" s="82"/>
      <c r="I101" s="151"/>
    </row>
    <row r="102" spans="1:21" ht="15.75" customHeight="1">
      <c r="A102" s="79"/>
      <c r="B102" s="53"/>
      <c r="C102" s="160" t="s">
        <v>12</v>
      </c>
      <c r="D102" s="160"/>
      <c r="E102" s="160"/>
      <c r="F102" s="27"/>
      <c r="I102" s="149" t="s">
        <v>13</v>
      </c>
    </row>
    <row r="103" spans="1:21" ht="15.75" customHeight="1">
      <c r="A103" s="28"/>
      <c r="B103" s="53"/>
      <c r="C103" s="15"/>
      <c r="D103" s="15"/>
      <c r="G103" s="15"/>
      <c r="H103" s="15"/>
    </row>
    <row r="104" spans="1:21" ht="15.75" customHeight="1">
      <c r="A104" s="158" t="s">
        <v>14</v>
      </c>
      <c r="B104" s="158"/>
      <c r="C104" s="172"/>
      <c r="D104" s="172"/>
      <c r="E104" s="172"/>
      <c r="F104" s="83"/>
      <c r="I104" s="151"/>
    </row>
    <row r="105" spans="1:21" ht="15.75" customHeight="1">
      <c r="A105" s="147"/>
      <c r="C105" s="157" t="s">
        <v>12</v>
      </c>
      <c r="D105" s="157"/>
      <c r="E105" s="157"/>
      <c r="F105" s="147"/>
      <c r="I105" s="149" t="s">
        <v>13</v>
      </c>
    </row>
    <row r="106" spans="1:21" ht="15.75" customHeight="1">
      <c r="A106" s="5" t="s">
        <v>15</v>
      </c>
    </row>
    <row r="107" spans="1:21">
      <c r="A107" s="173" t="s">
        <v>16</v>
      </c>
      <c r="B107" s="173"/>
      <c r="C107" s="173"/>
      <c r="D107" s="173"/>
      <c r="E107" s="173"/>
      <c r="F107" s="173"/>
      <c r="G107" s="173"/>
      <c r="H107" s="173"/>
      <c r="I107" s="173"/>
    </row>
    <row r="108" spans="1:21" ht="45" customHeight="1">
      <c r="A108" s="171" t="s">
        <v>17</v>
      </c>
      <c r="B108" s="171"/>
      <c r="C108" s="171"/>
      <c r="D108" s="171"/>
      <c r="E108" s="171"/>
      <c r="F108" s="171"/>
      <c r="G108" s="171"/>
      <c r="H108" s="171"/>
      <c r="I108" s="171"/>
    </row>
    <row r="109" spans="1:21" ht="30" customHeight="1">
      <c r="A109" s="171" t="s">
        <v>18</v>
      </c>
      <c r="B109" s="171"/>
      <c r="C109" s="171"/>
      <c r="D109" s="171"/>
      <c r="E109" s="171"/>
      <c r="F109" s="171"/>
      <c r="G109" s="171"/>
      <c r="H109" s="171"/>
      <c r="I109" s="171"/>
    </row>
    <row r="110" spans="1:21" ht="30" customHeight="1">
      <c r="A110" s="171" t="s">
        <v>22</v>
      </c>
      <c r="B110" s="171"/>
      <c r="C110" s="171"/>
      <c r="D110" s="171"/>
      <c r="E110" s="171"/>
      <c r="F110" s="171"/>
      <c r="G110" s="171"/>
      <c r="H110" s="171"/>
      <c r="I110" s="171"/>
    </row>
    <row r="111" spans="1:21" ht="15" customHeight="1">
      <c r="A111" s="171" t="s">
        <v>21</v>
      </c>
      <c r="B111" s="171"/>
      <c r="C111" s="171"/>
      <c r="D111" s="171"/>
      <c r="E111" s="171"/>
      <c r="F111" s="171"/>
      <c r="G111" s="171"/>
      <c r="H111" s="171"/>
      <c r="I111" s="171"/>
    </row>
  </sheetData>
  <autoFilter ref="I15:I94"/>
  <mergeCells count="31">
    <mergeCell ref="A14:I14"/>
    <mergeCell ref="A3:I3"/>
    <mergeCell ref="A4:I4"/>
    <mergeCell ref="A5:I5"/>
    <mergeCell ref="A8:I8"/>
    <mergeCell ref="A10:I10"/>
    <mergeCell ref="A97:I97"/>
    <mergeCell ref="A15:I15"/>
    <mergeCell ref="A28:I28"/>
    <mergeCell ref="A44:I44"/>
    <mergeCell ref="A55:I55"/>
    <mergeCell ref="A81:I81"/>
    <mergeCell ref="A85:I85"/>
    <mergeCell ref="A91:I91"/>
    <mergeCell ref="B92:G92"/>
    <mergeCell ref="B93:G93"/>
    <mergeCell ref="A95:I95"/>
    <mergeCell ref="A96:I96"/>
    <mergeCell ref="A111:I111"/>
    <mergeCell ref="R98:U98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266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267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50"/>
      <c r="C6" s="150"/>
      <c r="D6" s="150"/>
      <c r="E6" s="150"/>
      <c r="F6" s="150"/>
      <c r="G6" s="150"/>
      <c r="H6" s="150"/>
      <c r="I6" s="33">
        <v>43100</v>
      </c>
    </row>
    <row r="7" spans="1:15" ht="15.75">
      <c r="B7" s="148"/>
      <c r="C7" s="148"/>
      <c r="D7" s="14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 ht="15.75" customHeight="1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254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hidden="1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hidden="1" customHeight="1">
      <c r="A30" s="153">
        <v>6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hidden="1" customHeight="1">
      <c r="A33" s="86">
        <v>8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customHeight="1">
      <c r="A43" s="30">
        <v>10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>
        <v>12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13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30">
        <v>14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15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customHeight="1">
      <c r="A49" s="30">
        <v>11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175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13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>
        <v>14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64">
        <v>24</v>
      </c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64">
        <v>14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30">
        <v>16</v>
      </c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22" ht="15.75" customHeight="1">
      <c r="A81" s="174" t="s">
        <v>176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22" ht="15.75" customHeight="1">
      <c r="A82" s="64">
        <v>15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64">
        <v>16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I16+I17+I18+I26+I27+I37+I38+I40+I41+I43+I49+I57+I61+I71+I82+I83</f>
        <v>49547.757965666664</v>
      </c>
      <c r="J84" s="26"/>
      <c r="L84" s="22"/>
      <c r="M84" s="23"/>
      <c r="N84" s="24"/>
    </row>
    <row r="85" spans="1:22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22" ht="15.75" customHeight="1">
      <c r="A86" s="64">
        <v>17</v>
      </c>
      <c r="B86" s="144" t="s">
        <v>268</v>
      </c>
      <c r="C86" s="70" t="s">
        <v>157</v>
      </c>
      <c r="D86" s="41"/>
      <c r="E86" s="20"/>
      <c r="F86" s="39">
        <v>1</v>
      </c>
      <c r="G86" s="39">
        <f>1106.54+5100.39</f>
        <v>6206.93</v>
      </c>
      <c r="H86" s="143">
        <f>G86*F86/1000</f>
        <v>6.2069300000000007</v>
      </c>
      <c r="I86" s="155">
        <f>G86</f>
        <v>6206.93</v>
      </c>
      <c r="J86" s="26"/>
      <c r="L86" s="22"/>
      <c r="M86" s="23"/>
      <c r="N86" s="24"/>
    </row>
    <row r="87" spans="1:22" ht="15.75" customHeight="1">
      <c r="A87" s="64">
        <v>18</v>
      </c>
      <c r="B87" s="58" t="s">
        <v>285</v>
      </c>
      <c r="C87" s="73" t="s">
        <v>31</v>
      </c>
      <c r="D87" s="41"/>
      <c r="E87" s="20"/>
      <c r="F87" s="39">
        <f>(168.77+144.21+56.81+128.68+74.79+40.2)-(5.298*6)</f>
        <v>581.67200000000003</v>
      </c>
      <c r="G87" s="39">
        <v>44.31</v>
      </c>
      <c r="H87" s="39">
        <f t="shared" ref="H87" si="20">G87*F87/1000</f>
        <v>25.773886320000003</v>
      </c>
      <c r="I87" s="155">
        <f>G87*F87</f>
        <v>25773.886320000001</v>
      </c>
      <c r="J87" s="26"/>
      <c r="L87" s="22"/>
      <c r="M87" s="23"/>
      <c r="N87" s="24"/>
    </row>
    <row r="88" spans="1:22" ht="15.75" customHeight="1">
      <c r="A88" s="30"/>
      <c r="B88" s="50" t="s">
        <v>50</v>
      </c>
      <c r="C88" s="46"/>
      <c r="D88" s="57"/>
      <c r="E88" s="46">
        <v>1</v>
      </c>
      <c r="F88" s="46"/>
      <c r="G88" s="34"/>
      <c r="H88" s="46"/>
      <c r="I88" s="34">
        <f>SUM(I86:I87)</f>
        <v>31980.816320000002</v>
      </c>
      <c r="J88" s="26"/>
      <c r="L88" s="22"/>
      <c r="M88" s="23"/>
      <c r="N88" s="24"/>
    </row>
    <row r="89" spans="1:22" ht="15.75" customHeight="1">
      <c r="A89" s="30"/>
      <c r="B89" s="52" t="s">
        <v>76</v>
      </c>
      <c r="C89" s="18"/>
      <c r="D89" s="18"/>
      <c r="E89" s="47"/>
      <c r="F89" s="48"/>
      <c r="G89" s="20"/>
      <c r="H89" s="87"/>
      <c r="I89" s="21">
        <v>0</v>
      </c>
      <c r="J89" s="26"/>
      <c r="L89" s="22"/>
      <c r="M89" s="23"/>
      <c r="N89" s="24"/>
    </row>
    <row r="90" spans="1:22" ht="15.75" customHeight="1">
      <c r="A90" s="88"/>
      <c r="B90" s="51" t="s">
        <v>194</v>
      </c>
      <c r="C90" s="37"/>
      <c r="D90" s="37"/>
      <c r="E90" s="37"/>
      <c r="F90" s="37"/>
      <c r="G90" s="49"/>
      <c r="H90" s="38"/>
      <c r="I90" s="34">
        <f>I84+I88</f>
        <v>81528.574285666662</v>
      </c>
      <c r="J90" s="26"/>
      <c r="L90" s="22"/>
      <c r="M90" s="23"/>
      <c r="N90" s="24"/>
    </row>
    <row r="91" spans="1:22" ht="15.75" customHeight="1">
      <c r="A91" s="158" t="s">
        <v>286</v>
      </c>
      <c r="B91" s="158"/>
      <c r="C91" s="158"/>
      <c r="D91" s="158"/>
      <c r="E91" s="158"/>
      <c r="F91" s="158"/>
      <c r="G91" s="158"/>
      <c r="H91" s="158"/>
      <c r="I91" s="158"/>
      <c r="J91" s="26"/>
      <c r="L91" s="22"/>
      <c r="M91" s="23"/>
      <c r="N91" s="24"/>
    </row>
    <row r="92" spans="1:22" ht="15.75" customHeight="1">
      <c r="A92" s="12"/>
      <c r="B92" s="179" t="s">
        <v>287</v>
      </c>
      <c r="C92" s="179"/>
      <c r="D92" s="179"/>
      <c r="E92" s="179"/>
      <c r="F92" s="179"/>
      <c r="G92" s="179"/>
      <c r="H92" s="152"/>
      <c r="I92" s="4"/>
      <c r="J92" s="26"/>
      <c r="L92" s="22"/>
    </row>
    <row r="93" spans="1:22" ht="15.75" customHeight="1">
      <c r="A93" s="79"/>
      <c r="B93" s="160" t="s">
        <v>6</v>
      </c>
      <c r="C93" s="160"/>
      <c r="D93" s="160"/>
      <c r="E93" s="160"/>
      <c r="F93" s="160"/>
      <c r="G93" s="160"/>
      <c r="H93" s="27"/>
      <c r="I93" s="54"/>
    </row>
    <row r="94" spans="1:22" ht="15.75" customHeight="1">
      <c r="A94" s="55"/>
      <c r="B94" s="55"/>
      <c r="C94" s="55"/>
      <c r="D94" s="55"/>
      <c r="E94" s="55"/>
      <c r="F94" s="55"/>
      <c r="G94" s="55"/>
      <c r="H94" s="55"/>
      <c r="I94" s="55"/>
    </row>
    <row r="95" spans="1:22" ht="15.75" customHeight="1">
      <c r="A95" s="180" t="s">
        <v>7</v>
      </c>
      <c r="B95" s="180"/>
      <c r="C95" s="180"/>
      <c r="D95" s="180"/>
      <c r="E95" s="180"/>
      <c r="F95" s="180"/>
      <c r="G95" s="180"/>
      <c r="H95" s="180"/>
      <c r="I95" s="180"/>
    </row>
    <row r="96" spans="1:22" ht="15.75" customHeight="1">
      <c r="A96" s="180" t="s">
        <v>8</v>
      </c>
      <c r="B96" s="180"/>
      <c r="C96" s="180"/>
      <c r="D96" s="180"/>
      <c r="E96" s="180"/>
      <c r="F96" s="180"/>
      <c r="G96" s="180"/>
      <c r="H96" s="180"/>
      <c r="I96" s="18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58" t="s">
        <v>9</v>
      </c>
      <c r="B97" s="158"/>
      <c r="C97" s="158"/>
      <c r="D97" s="158"/>
      <c r="E97" s="158"/>
      <c r="F97" s="158"/>
      <c r="G97" s="158"/>
      <c r="H97" s="158"/>
      <c r="I97" s="158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14"/>
      <c r="B98" s="53"/>
      <c r="C98" s="53"/>
      <c r="D98" s="53"/>
      <c r="E98" s="53"/>
      <c r="F98" s="53"/>
      <c r="G98" s="53"/>
      <c r="H98" s="53"/>
      <c r="I98" s="53"/>
      <c r="J98" s="6"/>
      <c r="K98" s="6"/>
      <c r="L98" s="6"/>
      <c r="M98" s="6"/>
      <c r="N98" s="6"/>
      <c r="O98" s="6"/>
      <c r="P98" s="6"/>
      <c r="Q98" s="6"/>
      <c r="R98" s="157"/>
      <c r="S98" s="157"/>
      <c r="T98" s="157"/>
      <c r="U98" s="157"/>
    </row>
    <row r="99" spans="1:21" ht="15.75" customHeight="1">
      <c r="A99" s="181" t="s">
        <v>10</v>
      </c>
      <c r="B99" s="181"/>
      <c r="C99" s="181"/>
      <c r="D99" s="181"/>
      <c r="E99" s="181"/>
      <c r="F99" s="181"/>
      <c r="G99" s="181"/>
      <c r="H99" s="181"/>
      <c r="I99" s="18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5.75" customHeight="1">
      <c r="A100" s="5"/>
      <c r="B100" s="53"/>
      <c r="C100" s="53"/>
      <c r="D100" s="53"/>
      <c r="E100" s="53"/>
      <c r="F100" s="53"/>
      <c r="G100" s="53"/>
      <c r="H100" s="53"/>
      <c r="I100" s="53"/>
    </row>
    <row r="101" spans="1:21" ht="15.75" customHeight="1">
      <c r="A101" s="158" t="s">
        <v>11</v>
      </c>
      <c r="B101" s="158"/>
      <c r="C101" s="189" t="s">
        <v>91</v>
      </c>
      <c r="D101" s="189"/>
      <c r="E101" s="189"/>
      <c r="F101" s="82"/>
      <c r="I101" s="151"/>
    </row>
    <row r="102" spans="1:21" ht="15.75" customHeight="1">
      <c r="A102" s="79"/>
      <c r="B102" s="53"/>
      <c r="C102" s="160" t="s">
        <v>12</v>
      </c>
      <c r="D102" s="160"/>
      <c r="E102" s="160"/>
      <c r="F102" s="27"/>
      <c r="I102" s="149" t="s">
        <v>13</v>
      </c>
    </row>
    <row r="103" spans="1:21" ht="15.75" customHeight="1">
      <c r="A103" s="28"/>
      <c r="B103" s="53"/>
      <c r="C103" s="15"/>
      <c r="D103" s="15"/>
      <c r="G103" s="15"/>
      <c r="H103" s="15"/>
    </row>
    <row r="104" spans="1:21" ht="15.75" customHeight="1">
      <c r="A104" s="158" t="s">
        <v>14</v>
      </c>
      <c r="B104" s="158"/>
      <c r="C104" s="172"/>
      <c r="D104" s="172"/>
      <c r="E104" s="172"/>
      <c r="F104" s="83"/>
      <c r="I104" s="151"/>
    </row>
    <row r="105" spans="1:21" ht="15.75" customHeight="1">
      <c r="A105" s="147"/>
      <c r="C105" s="157" t="s">
        <v>12</v>
      </c>
      <c r="D105" s="157"/>
      <c r="E105" s="157"/>
      <c r="F105" s="147"/>
      <c r="I105" s="149" t="s">
        <v>13</v>
      </c>
    </row>
    <row r="106" spans="1:21" ht="15.75" customHeight="1">
      <c r="A106" s="5" t="s">
        <v>15</v>
      </c>
    </row>
    <row r="107" spans="1:21">
      <c r="A107" s="173" t="s">
        <v>16</v>
      </c>
      <c r="B107" s="173"/>
      <c r="C107" s="173"/>
      <c r="D107" s="173"/>
      <c r="E107" s="173"/>
      <c r="F107" s="173"/>
      <c r="G107" s="173"/>
      <c r="H107" s="173"/>
      <c r="I107" s="173"/>
    </row>
    <row r="108" spans="1:21" ht="45" customHeight="1">
      <c r="A108" s="171" t="s">
        <v>17</v>
      </c>
      <c r="B108" s="171"/>
      <c r="C108" s="171"/>
      <c r="D108" s="171"/>
      <c r="E108" s="171"/>
      <c r="F108" s="171"/>
      <c r="G108" s="171"/>
      <c r="H108" s="171"/>
      <c r="I108" s="171"/>
    </row>
    <row r="109" spans="1:21" ht="30" customHeight="1">
      <c r="A109" s="171" t="s">
        <v>18</v>
      </c>
      <c r="B109" s="171"/>
      <c r="C109" s="171"/>
      <c r="D109" s="171"/>
      <c r="E109" s="171"/>
      <c r="F109" s="171"/>
      <c r="G109" s="171"/>
      <c r="H109" s="171"/>
      <c r="I109" s="171"/>
    </row>
    <row r="110" spans="1:21" ht="30" customHeight="1">
      <c r="A110" s="171" t="s">
        <v>22</v>
      </c>
      <c r="B110" s="171"/>
      <c r="C110" s="171"/>
      <c r="D110" s="171"/>
      <c r="E110" s="171"/>
      <c r="F110" s="171"/>
      <c r="G110" s="171"/>
      <c r="H110" s="171"/>
      <c r="I110" s="171"/>
    </row>
    <row r="111" spans="1:21" ht="15" customHeight="1">
      <c r="A111" s="171" t="s">
        <v>21</v>
      </c>
      <c r="B111" s="171"/>
      <c r="C111" s="171"/>
      <c r="D111" s="171"/>
      <c r="E111" s="171"/>
      <c r="F111" s="171"/>
      <c r="G111" s="171"/>
      <c r="H111" s="171"/>
      <c r="I111" s="171"/>
    </row>
  </sheetData>
  <autoFilter ref="I15:I94"/>
  <mergeCells count="31">
    <mergeCell ref="A14:I14"/>
    <mergeCell ref="A3:I3"/>
    <mergeCell ref="A4:I4"/>
    <mergeCell ref="A5:I5"/>
    <mergeCell ref="A8:I8"/>
    <mergeCell ref="A10:I10"/>
    <mergeCell ref="A97:I97"/>
    <mergeCell ref="A15:I15"/>
    <mergeCell ref="A28:I28"/>
    <mergeCell ref="A44:I44"/>
    <mergeCell ref="A55:I55"/>
    <mergeCell ref="A81:I81"/>
    <mergeCell ref="A85:I85"/>
    <mergeCell ref="A91:I91"/>
    <mergeCell ref="B92:G92"/>
    <mergeCell ref="B93:G93"/>
    <mergeCell ref="A95:I95"/>
    <mergeCell ref="A96:I96"/>
    <mergeCell ref="A111:I111"/>
    <mergeCell ref="R98:U98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178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195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18"/>
      <c r="C6" s="118"/>
      <c r="D6" s="118"/>
      <c r="E6" s="118"/>
      <c r="F6" s="118"/>
      <c r="G6" s="118"/>
      <c r="H6" s="118"/>
      <c r="I6" s="33">
        <v>42794</v>
      </c>
    </row>
    <row r="7" spans="1:15" ht="15.75">
      <c r="B7" s="74"/>
      <c r="C7" s="74"/>
      <c r="D7" s="74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201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175.38</v>
      </c>
      <c r="H16" s="92">
        <f t="shared" ref="H16:H25" si="0">SUM(F16*G16/1000)</f>
        <v>18.111843359999998</v>
      </c>
      <c r="I16" s="16">
        <f>F16/12*G16</f>
        <v>1509.3202799999999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175.38</v>
      </c>
      <c r="H17" s="92">
        <f t="shared" si="0"/>
        <v>36.241926239999998</v>
      </c>
      <c r="I17" s="16">
        <f>F17/12*G17</f>
        <v>3020.1605199999999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504.5</v>
      </c>
      <c r="H18" s="92">
        <f t="shared" si="0"/>
        <v>32.074092</v>
      </c>
      <c r="I18" s="16">
        <f>F18/12*G18</f>
        <v>2672.8409999999994</v>
      </c>
      <c r="J18" s="10"/>
      <c r="K18" s="10"/>
      <c r="L18" s="10"/>
      <c r="M18" s="10"/>
    </row>
    <row r="19" spans="1:13" ht="15.75" hidden="1" customHeight="1">
      <c r="A19" s="30"/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170.16</v>
      </c>
      <c r="H19" s="92">
        <f t="shared" si="0"/>
        <v>0.68064000000000002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5" t="s">
        <v>105</v>
      </c>
      <c r="C20" s="89" t="s">
        <v>102</v>
      </c>
      <c r="D20" s="65" t="s">
        <v>52</v>
      </c>
      <c r="E20" s="90">
        <v>10.5</v>
      </c>
      <c r="F20" s="91">
        <f t="shared" ref="F20:F25" si="1">SUM(E20/100)</f>
        <v>0.105</v>
      </c>
      <c r="G20" s="91">
        <v>217.88</v>
      </c>
      <c r="H20" s="92">
        <f t="shared" si="0"/>
        <v>2.2877399999999999E-2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5" t="s">
        <v>106</v>
      </c>
      <c r="C21" s="89" t="s">
        <v>102</v>
      </c>
      <c r="D21" s="65" t="s">
        <v>52</v>
      </c>
      <c r="E21" s="90">
        <v>2.7</v>
      </c>
      <c r="F21" s="91">
        <f t="shared" si="1"/>
        <v>2.7000000000000003E-2</v>
      </c>
      <c r="G21" s="91">
        <v>216.12</v>
      </c>
      <c r="H21" s="92">
        <f t="shared" si="0"/>
        <v>5.8352400000000002E-3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si="1"/>
        <v>3.57</v>
      </c>
      <c r="G22" s="91">
        <v>269.26</v>
      </c>
      <c r="H22" s="92">
        <f t="shared" si="0"/>
        <v>0.96125819999999984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1"/>
        <v>0.38640000000000002</v>
      </c>
      <c r="G23" s="91">
        <v>44.29</v>
      </c>
      <c r="H23" s="92">
        <f t="shared" si="0"/>
        <v>1.7113655999999998E-2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1"/>
        <v>0.15</v>
      </c>
      <c r="G24" s="91">
        <v>389.72</v>
      </c>
      <c r="H24" s="92">
        <f t="shared" si="0"/>
        <v>5.8457999999999996E-2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1"/>
        <v>6.3799999999999996E-2</v>
      </c>
      <c r="G25" s="91">
        <v>520.79999999999995</v>
      </c>
      <c r="H25" s="92">
        <f t="shared" si="0"/>
        <v>3.3227039999999992E-2</v>
      </c>
      <c r="I25" s="16">
        <v>0</v>
      </c>
      <c r="J25" s="10"/>
      <c r="K25" s="10"/>
      <c r="L25" s="10"/>
      <c r="M25" s="10"/>
    </row>
    <row r="26" spans="1:13" ht="15.75" customHeight="1">
      <c r="A26" s="86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147.03</v>
      </c>
      <c r="H26" s="92">
        <f>SUM(F26*G26/1000)</f>
        <v>5.3665950000000002</v>
      </c>
      <c r="I26" s="16">
        <f>F26/12*G26</f>
        <v>447.21625</v>
      </c>
      <c r="J26" s="25"/>
      <c r="K26" s="10"/>
      <c r="L26" s="10"/>
      <c r="M26" s="10"/>
    </row>
    <row r="27" spans="1:13" ht="15.75" customHeight="1">
      <c r="A27" s="86">
        <v>5</v>
      </c>
      <c r="B27" s="137" t="s">
        <v>24</v>
      </c>
      <c r="C27" s="99" t="s">
        <v>25</v>
      </c>
      <c r="D27" s="98" t="s">
        <v>84</v>
      </c>
      <c r="E27" s="100">
        <v>2566.6</v>
      </c>
      <c r="F27" s="103">
        <f>SUM(E27*12)</f>
        <v>30799.199999999997</v>
      </c>
      <c r="G27" s="103">
        <v>4.53</v>
      </c>
      <c r="H27" s="101">
        <f>SUM(F27*G27/1000)</f>
        <v>139.520376</v>
      </c>
      <c r="I27" s="108">
        <f>F27/12*G27</f>
        <v>11626.698</v>
      </c>
      <c r="J27" s="25"/>
      <c r="K27" s="10"/>
      <c r="L27" s="10"/>
      <c r="M27" s="10"/>
    </row>
    <row r="28" spans="1:13" ht="15.75" hidden="1" customHeight="1">
      <c r="A28" s="174" t="s">
        <v>173</v>
      </c>
      <c r="B28" s="187"/>
      <c r="C28" s="187"/>
      <c r="D28" s="187"/>
      <c r="E28" s="187"/>
      <c r="F28" s="187"/>
      <c r="G28" s="187"/>
      <c r="H28" s="187"/>
      <c r="I28" s="188"/>
      <c r="J28" s="25"/>
      <c r="K28" s="10"/>
      <c r="L28" s="10"/>
      <c r="M28" s="10"/>
    </row>
    <row r="29" spans="1:13" ht="31.5" hidden="1" customHeight="1">
      <c r="A29" s="84"/>
      <c r="B29" s="65" t="s">
        <v>134</v>
      </c>
      <c r="C29" s="89" t="s">
        <v>111</v>
      </c>
      <c r="D29" s="65" t="s">
        <v>135</v>
      </c>
      <c r="E29" s="91">
        <v>852.6</v>
      </c>
      <c r="F29" s="91">
        <f>SUM(E29*52/1000)</f>
        <v>44.335200000000007</v>
      </c>
      <c r="G29" s="91">
        <v>155.88999999999999</v>
      </c>
      <c r="H29" s="92">
        <f t="shared" ref="H29:H34" si="2">SUM(F29*G29/1000)</f>
        <v>6.9114143280000011</v>
      </c>
      <c r="I29" s="16">
        <v>0</v>
      </c>
      <c r="J29" s="25"/>
      <c r="K29" s="10"/>
      <c r="L29" s="10"/>
      <c r="M29" s="10"/>
    </row>
    <row r="30" spans="1:13" ht="31.5" hidden="1" customHeight="1">
      <c r="A30" s="30"/>
      <c r="B30" s="65" t="s">
        <v>136</v>
      </c>
      <c r="C30" s="89" t="s">
        <v>111</v>
      </c>
      <c r="D30" s="65" t="s">
        <v>137</v>
      </c>
      <c r="E30" s="91">
        <v>65.33</v>
      </c>
      <c r="F30" s="91">
        <f>SUM(E30*78/1000)</f>
        <v>5.0957400000000002</v>
      </c>
      <c r="G30" s="91">
        <v>258.63</v>
      </c>
      <c r="H30" s="92">
        <f t="shared" si="2"/>
        <v>1.3179112362000001</v>
      </c>
      <c r="I30" s="16">
        <v>0</v>
      </c>
      <c r="J30" s="25"/>
      <c r="K30" s="10"/>
      <c r="L30" s="10"/>
      <c r="M30" s="10"/>
    </row>
    <row r="31" spans="1:13" ht="15.75" hidden="1" customHeight="1">
      <c r="A31" s="86"/>
      <c r="B31" s="65" t="s">
        <v>27</v>
      </c>
      <c r="C31" s="89" t="s">
        <v>111</v>
      </c>
      <c r="D31" s="65" t="s">
        <v>52</v>
      </c>
      <c r="E31" s="91">
        <v>852.6</v>
      </c>
      <c r="F31" s="91">
        <f>SUM(E31/1000)</f>
        <v>0.85260000000000002</v>
      </c>
      <c r="G31" s="91">
        <v>3020.33</v>
      </c>
      <c r="H31" s="92">
        <f t="shared" si="2"/>
        <v>2.575133358</v>
      </c>
      <c r="I31" s="16">
        <v>0</v>
      </c>
      <c r="J31" s="25"/>
      <c r="K31" s="10"/>
      <c r="L31" s="10"/>
      <c r="M31" s="10"/>
    </row>
    <row r="32" spans="1:13" ht="15.75" hidden="1" customHeight="1">
      <c r="A32" s="86"/>
      <c r="B32" s="65" t="s">
        <v>138</v>
      </c>
      <c r="C32" s="89" t="s">
        <v>29</v>
      </c>
      <c r="D32" s="65" t="s">
        <v>60</v>
      </c>
      <c r="E32" s="96">
        <v>0.33333333333333331</v>
      </c>
      <c r="F32" s="91">
        <f>155/3</f>
        <v>51.666666666666664</v>
      </c>
      <c r="G32" s="91">
        <v>56.69</v>
      </c>
      <c r="H32" s="92">
        <f>SUM(G32*155/3/1000)</f>
        <v>2.9289833333333331</v>
      </c>
      <c r="I32" s="16">
        <v>0</v>
      </c>
      <c r="J32" s="25"/>
      <c r="K32" s="10"/>
      <c r="L32" s="10"/>
      <c r="M32" s="10"/>
    </row>
    <row r="33" spans="1:13" ht="15.75" hidden="1" customHeight="1">
      <c r="A33" s="86"/>
      <c r="B33" s="65" t="s">
        <v>62</v>
      </c>
      <c r="C33" s="89" t="s">
        <v>31</v>
      </c>
      <c r="D33" s="65" t="s">
        <v>63</v>
      </c>
      <c r="E33" s="90"/>
      <c r="F33" s="91">
        <v>3</v>
      </c>
      <c r="G33" s="91">
        <v>191.32</v>
      </c>
      <c r="H33" s="92">
        <f t="shared" si="2"/>
        <v>0.57396000000000003</v>
      </c>
      <c r="I33" s="16">
        <v>0</v>
      </c>
      <c r="J33" s="25"/>
      <c r="K33" s="10"/>
      <c r="L33" s="10"/>
      <c r="M33" s="10"/>
    </row>
    <row r="34" spans="1:13" ht="15.75" hidden="1" customHeight="1">
      <c r="A34" s="86"/>
      <c r="B34" s="65" t="s">
        <v>140</v>
      </c>
      <c r="C34" s="89" t="s">
        <v>30</v>
      </c>
      <c r="D34" s="65" t="s">
        <v>63</v>
      </c>
      <c r="E34" s="90"/>
      <c r="F34" s="91">
        <v>2</v>
      </c>
      <c r="G34" s="91">
        <v>1136.33</v>
      </c>
      <c r="H34" s="92">
        <f t="shared" si="2"/>
        <v>2.2726599999999997</v>
      </c>
      <c r="I34" s="16">
        <v>0</v>
      </c>
      <c r="J34" s="25"/>
      <c r="K34" s="10"/>
      <c r="L34" s="10"/>
      <c r="M34" s="10"/>
    </row>
    <row r="35" spans="1:13" ht="15.75" customHeight="1">
      <c r="A35" s="164" t="s">
        <v>85</v>
      </c>
      <c r="B35" s="165"/>
      <c r="C35" s="165"/>
      <c r="D35" s="165"/>
      <c r="E35" s="165"/>
      <c r="F35" s="165"/>
      <c r="G35" s="165"/>
      <c r="H35" s="165"/>
      <c r="I35" s="166"/>
      <c r="J35" s="25"/>
      <c r="K35" s="10"/>
      <c r="L35" s="10"/>
      <c r="M35" s="10"/>
    </row>
    <row r="36" spans="1:13" ht="15.75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customHeight="1">
      <c r="A37" s="129">
        <v>6</v>
      </c>
      <c r="B37" s="130" t="s">
        <v>26</v>
      </c>
      <c r="C37" s="131" t="s">
        <v>30</v>
      </c>
      <c r="D37" s="130"/>
      <c r="E37" s="95"/>
      <c r="F37" s="132">
        <v>8</v>
      </c>
      <c r="G37" s="132">
        <v>1527.22</v>
      </c>
      <c r="H37" s="133">
        <f t="shared" ref="H37:H44" si="3">SUM(F37*G37/1000)</f>
        <v>12.21776</v>
      </c>
      <c r="I37" s="134">
        <f>F37/6*G37</f>
        <v>2036.2933333333333</v>
      </c>
      <c r="J37" s="25"/>
      <c r="K37" s="10"/>
      <c r="L37" s="10"/>
      <c r="M37" s="10"/>
    </row>
    <row r="38" spans="1:13" ht="15.75" customHeight="1">
      <c r="A38" s="30">
        <v>7</v>
      </c>
      <c r="B38" s="65" t="s">
        <v>92</v>
      </c>
      <c r="C38" s="89" t="s">
        <v>28</v>
      </c>
      <c r="D38" s="65" t="s">
        <v>141</v>
      </c>
      <c r="E38" s="90">
        <v>269.5</v>
      </c>
      <c r="F38" s="91">
        <f>E38*12/1000</f>
        <v>3.234</v>
      </c>
      <c r="G38" s="91">
        <v>2102.71</v>
      </c>
      <c r="H38" s="92">
        <f>G38*F38/1000</f>
        <v>6.8001641399999997</v>
      </c>
      <c r="I38" s="16">
        <f>F38/6*G38</f>
        <v>1133.3606900000002</v>
      </c>
      <c r="J38" s="25"/>
      <c r="K38" s="10"/>
      <c r="L38" s="10"/>
      <c r="M38" s="10"/>
    </row>
    <row r="39" spans="1:13" ht="15.75" customHeight="1">
      <c r="A39" s="30">
        <v>8</v>
      </c>
      <c r="B39" s="65" t="s">
        <v>142</v>
      </c>
      <c r="C39" s="89" t="s">
        <v>28</v>
      </c>
      <c r="D39" s="65" t="s">
        <v>143</v>
      </c>
      <c r="E39" s="90">
        <v>60</v>
      </c>
      <c r="F39" s="91">
        <f>E39*30/1000</f>
        <v>1.8</v>
      </c>
      <c r="G39" s="91">
        <v>2102.71</v>
      </c>
      <c r="H39" s="92">
        <f>G39*F39/1000</f>
        <v>3.784878</v>
      </c>
      <c r="I39" s="16">
        <f>F39/6*G39</f>
        <v>630.81299999999999</v>
      </c>
      <c r="J39" s="25"/>
      <c r="K39" s="10"/>
      <c r="L39" s="10"/>
      <c r="M39" s="10"/>
    </row>
    <row r="40" spans="1:13" ht="15.75" hidden="1" customHeight="1">
      <c r="A40" s="30"/>
      <c r="B40" s="65" t="s">
        <v>144</v>
      </c>
      <c r="C40" s="89" t="s">
        <v>145</v>
      </c>
      <c r="D40" s="65" t="s">
        <v>63</v>
      </c>
      <c r="E40" s="90"/>
      <c r="F40" s="91">
        <v>100</v>
      </c>
      <c r="G40" s="91">
        <v>213.2</v>
      </c>
      <c r="H40" s="92">
        <f>G40*F40/1000</f>
        <v>21.32</v>
      </c>
      <c r="I40" s="16">
        <v>0</v>
      </c>
      <c r="J40" s="25"/>
      <c r="K40" s="10"/>
      <c r="L40" s="10"/>
      <c r="M40" s="10"/>
    </row>
    <row r="41" spans="1:13" ht="15.75" customHeight="1">
      <c r="A41" s="30">
        <v>9</v>
      </c>
      <c r="B41" s="65" t="s">
        <v>64</v>
      </c>
      <c r="C41" s="89" t="s">
        <v>28</v>
      </c>
      <c r="D41" s="65" t="s">
        <v>146</v>
      </c>
      <c r="E41" s="91">
        <v>65.33</v>
      </c>
      <c r="F41" s="91">
        <f>SUM(E41*155/1000)</f>
        <v>10.126149999999999</v>
      </c>
      <c r="G41" s="91">
        <v>350.75</v>
      </c>
      <c r="H41" s="92">
        <f t="shared" si="3"/>
        <v>3.5517471124999997</v>
      </c>
      <c r="I41" s="16">
        <f>F41/6*G41</f>
        <v>591.95785208333325</v>
      </c>
      <c r="J41" s="25"/>
      <c r="K41" s="10"/>
      <c r="L41" s="10"/>
      <c r="M41" s="10"/>
    </row>
    <row r="42" spans="1:13" ht="47.25" customHeight="1">
      <c r="A42" s="30">
        <v>10</v>
      </c>
      <c r="B42" s="65" t="s">
        <v>81</v>
      </c>
      <c r="C42" s="89" t="s">
        <v>111</v>
      </c>
      <c r="D42" s="65" t="s">
        <v>147</v>
      </c>
      <c r="E42" s="91">
        <v>65.33</v>
      </c>
      <c r="F42" s="91">
        <f>SUM(E42*24/1000)</f>
        <v>1.56792</v>
      </c>
      <c r="G42" s="91">
        <v>5803.28</v>
      </c>
      <c r="H42" s="92">
        <f t="shared" si="3"/>
        <v>9.0990787775999991</v>
      </c>
      <c r="I42" s="16">
        <f>F42/6*G42</f>
        <v>1516.5131296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148</v>
      </c>
      <c r="C43" s="89" t="s">
        <v>111</v>
      </c>
      <c r="D43" s="65" t="s">
        <v>65</v>
      </c>
      <c r="E43" s="91">
        <v>65.33</v>
      </c>
      <c r="F43" s="91">
        <f>SUM(E43*45/1000)</f>
        <v>2.9398499999999999</v>
      </c>
      <c r="G43" s="91">
        <v>428.7</v>
      </c>
      <c r="H43" s="92">
        <f t="shared" si="3"/>
        <v>1.2603136949999998</v>
      </c>
      <c r="I43" s="16">
        <f>F43/6*G43</f>
        <v>210.05228249999999</v>
      </c>
      <c r="J43" s="25"/>
      <c r="K43" s="10"/>
    </row>
    <row r="44" spans="1:13" ht="15.75" customHeight="1">
      <c r="A44" s="30">
        <v>11</v>
      </c>
      <c r="B44" s="65" t="s">
        <v>66</v>
      </c>
      <c r="C44" s="89" t="s">
        <v>31</v>
      </c>
      <c r="D44" s="65"/>
      <c r="E44" s="90"/>
      <c r="F44" s="91">
        <v>0.8</v>
      </c>
      <c r="G44" s="91">
        <v>798</v>
      </c>
      <c r="H44" s="92">
        <f t="shared" si="3"/>
        <v>0.63840000000000008</v>
      </c>
      <c r="I44" s="16">
        <f>F44/6*G44</f>
        <v>106.39999999999999</v>
      </c>
      <c r="J44" s="26"/>
    </row>
    <row r="45" spans="1:13" ht="15.75" customHeight="1">
      <c r="A45" s="174" t="s">
        <v>174</v>
      </c>
      <c r="B45" s="175"/>
      <c r="C45" s="175"/>
      <c r="D45" s="175"/>
      <c r="E45" s="175"/>
      <c r="F45" s="175"/>
      <c r="G45" s="175"/>
      <c r="H45" s="175"/>
      <c r="I45" s="176"/>
      <c r="J45" s="26"/>
    </row>
    <row r="46" spans="1:13" ht="15.75" hidden="1" customHeight="1">
      <c r="A46" s="30"/>
      <c r="B46" s="65" t="s">
        <v>149</v>
      </c>
      <c r="C46" s="89" t="s">
        <v>111</v>
      </c>
      <c r="D46" s="65" t="s">
        <v>41</v>
      </c>
      <c r="E46" s="90">
        <v>1114.75</v>
      </c>
      <c r="F46" s="91">
        <f>SUM(E46*2/1000)</f>
        <v>2.2294999999999998</v>
      </c>
      <c r="G46" s="16">
        <v>809.74</v>
      </c>
      <c r="H46" s="92">
        <f t="shared" ref="H46:H56" si="4">SUM(F46*G46/1000)</f>
        <v>1.80531533</v>
      </c>
      <c r="I46" s="16">
        <v>0</v>
      </c>
      <c r="J46" s="26"/>
    </row>
    <row r="47" spans="1:13" ht="15.75" hidden="1" customHeight="1">
      <c r="A47" s="85"/>
      <c r="B47" s="65" t="s">
        <v>34</v>
      </c>
      <c r="C47" s="89" t="s">
        <v>111</v>
      </c>
      <c r="D47" s="65" t="s">
        <v>41</v>
      </c>
      <c r="E47" s="90">
        <v>88</v>
      </c>
      <c r="F47" s="91">
        <f>E47*2/1000</f>
        <v>0.17599999999999999</v>
      </c>
      <c r="G47" s="16">
        <v>579.48</v>
      </c>
      <c r="H47" s="92">
        <f t="shared" si="4"/>
        <v>0.10198847999999999</v>
      </c>
      <c r="I47" s="16">
        <v>0</v>
      </c>
      <c r="J47" s="26"/>
    </row>
    <row r="48" spans="1:13" ht="15.75" hidden="1" customHeight="1">
      <c r="A48" s="84"/>
      <c r="B48" s="65" t="s">
        <v>35</v>
      </c>
      <c r="C48" s="89" t="s">
        <v>111</v>
      </c>
      <c r="D48" s="65" t="s">
        <v>41</v>
      </c>
      <c r="E48" s="90">
        <v>1250.6199999999999</v>
      </c>
      <c r="F48" s="91">
        <f>SUM(E48*2/1000)</f>
        <v>2.5012399999999997</v>
      </c>
      <c r="G48" s="16">
        <v>579.48</v>
      </c>
      <c r="H48" s="92">
        <f t="shared" si="4"/>
        <v>1.4494185551999998</v>
      </c>
      <c r="I48" s="16">
        <v>0</v>
      </c>
      <c r="J48" s="26"/>
    </row>
    <row r="49" spans="1:14" ht="15.75" hidden="1" customHeight="1">
      <c r="A49" s="30"/>
      <c r="B49" s="65" t="s">
        <v>36</v>
      </c>
      <c r="C49" s="89" t="s">
        <v>111</v>
      </c>
      <c r="D49" s="65" t="s">
        <v>41</v>
      </c>
      <c r="E49" s="90">
        <v>1295.68</v>
      </c>
      <c r="F49" s="91">
        <f>SUM(E49*2/1000)</f>
        <v>2.5913600000000003</v>
      </c>
      <c r="G49" s="16">
        <v>606.77</v>
      </c>
      <c r="H49" s="92">
        <f t="shared" si="4"/>
        <v>1.5723595072000001</v>
      </c>
      <c r="I49" s="16">
        <v>0</v>
      </c>
      <c r="J49" s="26"/>
    </row>
    <row r="50" spans="1:14" ht="15.75" hidden="1" customHeight="1">
      <c r="A50" s="30"/>
      <c r="B50" s="65" t="s">
        <v>32</v>
      </c>
      <c r="C50" s="89" t="s">
        <v>33</v>
      </c>
      <c r="D50" s="65" t="s">
        <v>41</v>
      </c>
      <c r="E50" s="90">
        <v>85.84</v>
      </c>
      <c r="F50" s="91">
        <f>E50*2/100</f>
        <v>1.7168000000000001</v>
      </c>
      <c r="G50" s="16">
        <v>72.81</v>
      </c>
      <c r="H50" s="92">
        <f>G50*F50/1000</f>
        <v>0.125000208</v>
      </c>
      <c r="I50" s="16">
        <v>0</v>
      </c>
      <c r="J50" s="26"/>
      <c r="L50" s="22"/>
      <c r="M50" s="23"/>
      <c r="N50" s="24"/>
    </row>
    <row r="51" spans="1:14" ht="15.75" customHeight="1">
      <c r="A51" s="30">
        <v>12</v>
      </c>
      <c r="B51" s="65" t="s">
        <v>55</v>
      </c>
      <c r="C51" s="89" t="s">
        <v>111</v>
      </c>
      <c r="D51" s="65" t="s">
        <v>190</v>
      </c>
      <c r="E51" s="90">
        <v>891.8</v>
      </c>
      <c r="F51" s="91">
        <f>SUM(E51*5/1000)</f>
        <v>4.4589999999999996</v>
      </c>
      <c r="G51" s="16">
        <v>1213.55</v>
      </c>
      <c r="H51" s="92">
        <f t="shared" si="4"/>
        <v>5.4112194499999999</v>
      </c>
      <c r="I51" s="16">
        <f>F51/5*G51</f>
        <v>1082.24389</v>
      </c>
      <c r="J51" s="26"/>
      <c r="L51" s="22"/>
      <c r="M51" s="23"/>
      <c r="N51" s="24"/>
    </row>
    <row r="52" spans="1:14" ht="31.5" hidden="1" customHeight="1">
      <c r="A52" s="64"/>
      <c r="B52" s="65" t="s">
        <v>150</v>
      </c>
      <c r="C52" s="89" t="s">
        <v>111</v>
      </c>
      <c r="D52" s="65" t="s">
        <v>41</v>
      </c>
      <c r="E52" s="90">
        <v>891.8</v>
      </c>
      <c r="F52" s="91">
        <f>SUM(E52*2/1000)</f>
        <v>1.7835999999999999</v>
      </c>
      <c r="G52" s="16">
        <v>1213.55</v>
      </c>
      <c r="H52" s="92">
        <f t="shared" si="4"/>
        <v>2.16448778</v>
      </c>
      <c r="I52" s="16">
        <v>0</v>
      </c>
      <c r="J52" s="26"/>
      <c r="L52" s="22"/>
      <c r="M52" s="23"/>
      <c r="N52" s="24"/>
    </row>
    <row r="53" spans="1:14" ht="31.5" hidden="1" customHeight="1">
      <c r="A53" s="64"/>
      <c r="B53" s="65" t="s">
        <v>151</v>
      </c>
      <c r="C53" s="89" t="s">
        <v>37</v>
      </c>
      <c r="D53" s="65" t="s">
        <v>41</v>
      </c>
      <c r="E53" s="90">
        <v>16</v>
      </c>
      <c r="F53" s="91">
        <f>SUM(E53*2/100)</f>
        <v>0.32</v>
      </c>
      <c r="G53" s="16">
        <v>2730.49</v>
      </c>
      <c r="H53" s="92">
        <f t="shared" si="4"/>
        <v>0.8737568</v>
      </c>
      <c r="I53" s="16">
        <v>0</v>
      </c>
      <c r="J53" s="26"/>
      <c r="L53" s="22"/>
      <c r="M53" s="23"/>
      <c r="N53" s="24"/>
    </row>
    <row r="54" spans="1:14" ht="15.75" hidden="1" customHeight="1">
      <c r="A54" s="64"/>
      <c r="B54" s="65" t="s">
        <v>38</v>
      </c>
      <c r="C54" s="89" t="s">
        <v>39</v>
      </c>
      <c r="D54" s="65" t="s">
        <v>41</v>
      </c>
      <c r="E54" s="90">
        <v>1</v>
      </c>
      <c r="F54" s="91">
        <v>0.02</v>
      </c>
      <c r="G54" s="16">
        <v>5652.13</v>
      </c>
      <c r="H54" s="92">
        <f t="shared" si="4"/>
        <v>0.11304260000000001</v>
      </c>
      <c r="I54" s="16">
        <v>0</v>
      </c>
      <c r="J54" s="26"/>
      <c r="L54" s="22"/>
      <c r="M54" s="23"/>
      <c r="N54" s="24"/>
    </row>
    <row r="55" spans="1:14" ht="15.75" hidden="1" customHeight="1">
      <c r="A55" s="64">
        <v>14</v>
      </c>
      <c r="B55" s="65" t="s">
        <v>152</v>
      </c>
      <c r="C55" s="89" t="s">
        <v>96</v>
      </c>
      <c r="D55" s="65" t="s">
        <v>67</v>
      </c>
      <c r="E55" s="90">
        <v>60</v>
      </c>
      <c r="F55" s="91">
        <f>E55*3</f>
        <v>180</v>
      </c>
      <c r="G55" s="16">
        <v>141.12</v>
      </c>
      <c r="H55" s="92">
        <f>F55*G55/1000</f>
        <v>25.401600000000002</v>
      </c>
      <c r="I55" s="16">
        <f>E55*G55</f>
        <v>8467.2000000000007</v>
      </c>
      <c r="J55" s="26"/>
      <c r="L55" s="22"/>
      <c r="M55" s="23"/>
      <c r="N55" s="24"/>
    </row>
    <row r="56" spans="1:14" ht="15.75" hidden="1" customHeight="1">
      <c r="A56" s="64">
        <v>15</v>
      </c>
      <c r="B56" s="65" t="s">
        <v>40</v>
      </c>
      <c r="C56" s="89" t="s">
        <v>96</v>
      </c>
      <c r="D56" s="65" t="s">
        <v>67</v>
      </c>
      <c r="E56" s="90">
        <v>120</v>
      </c>
      <c r="F56" s="91">
        <f>SUM(E56)*3</f>
        <v>360</v>
      </c>
      <c r="G56" s="16">
        <v>65.67</v>
      </c>
      <c r="H56" s="92">
        <f t="shared" si="4"/>
        <v>23.641200000000001</v>
      </c>
      <c r="I56" s="16">
        <f>E56*G56</f>
        <v>7880.4000000000005</v>
      </c>
      <c r="J56" s="26"/>
      <c r="L56" s="22"/>
      <c r="M56" s="23"/>
      <c r="N56" s="24"/>
    </row>
    <row r="57" spans="1:14" ht="15.75" customHeight="1">
      <c r="A57" s="174" t="s">
        <v>175</v>
      </c>
      <c r="B57" s="177"/>
      <c r="C57" s="177"/>
      <c r="D57" s="177"/>
      <c r="E57" s="177"/>
      <c r="F57" s="177"/>
      <c r="G57" s="177"/>
      <c r="H57" s="177"/>
      <c r="I57" s="178"/>
      <c r="J57" s="26"/>
      <c r="L57" s="22"/>
      <c r="M57" s="23"/>
      <c r="N57" s="24"/>
    </row>
    <row r="58" spans="1:14" ht="15.75" customHeight="1">
      <c r="A58" s="64"/>
      <c r="B58" s="112" t="s">
        <v>42</v>
      </c>
      <c r="C58" s="89"/>
      <c r="D58" s="65"/>
      <c r="E58" s="90"/>
      <c r="F58" s="91"/>
      <c r="G58" s="91"/>
      <c r="H58" s="92"/>
      <c r="I58" s="16"/>
      <c r="J58" s="26"/>
      <c r="L58" s="22"/>
      <c r="M58" s="23"/>
      <c r="N58" s="24"/>
    </row>
    <row r="59" spans="1:14" ht="31.5" customHeight="1">
      <c r="A59" s="64">
        <v>13</v>
      </c>
      <c r="B59" s="65" t="s">
        <v>153</v>
      </c>
      <c r="C59" s="89" t="s">
        <v>102</v>
      </c>
      <c r="D59" s="65" t="s">
        <v>154</v>
      </c>
      <c r="E59" s="90">
        <v>112.68</v>
      </c>
      <c r="F59" s="91">
        <f>SUM(E59*6/100)</f>
        <v>6.7608000000000006</v>
      </c>
      <c r="G59" s="16">
        <v>1547.28</v>
      </c>
      <c r="H59" s="92">
        <f>SUM(F59*G59/1000)</f>
        <v>10.460850624000001</v>
      </c>
      <c r="I59" s="16">
        <f>F59/6*G59</f>
        <v>1743.4751040000001</v>
      </c>
      <c r="J59" s="26"/>
      <c r="L59" s="22"/>
      <c r="M59" s="23"/>
      <c r="N59" s="24"/>
    </row>
    <row r="60" spans="1:14" ht="15.75" hidden="1" customHeight="1">
      <c r="A60" s="64"/>
      <c r="B60" s="111" t="s">
        <v>43</v>
      </c>
      <c r="C60" s="99"/>
      <c r="D60" s="98"/>
      <c r="E60" s="100"/>
      <c r="F60" s="101"/>
      <c r="G60" s="16"/>
      <c r="H60" s="102"/>
      <c r="I60" s="16"/>
      <c r="J60" s="26"/>
      <c r="L60" s="22"/>
      <c r="M60" s="23"/>
      <c r="N60" s="24"/>
    </row>
    <row r="61" spans="1:14" ht="15.75" hidden="1" customHeight="1">
      <c r="A61" s="85"/>
      <c r="B61" s="98" t="s">
        <v>155</v>
      </c>
      <c r="C61" s="99" t="s">
        <v>51</v>
      </c>
      <c r="D61" s="98" t="s">
        <v>52</v>
      </c>
      <c r="E61" s="100">
        <v>897</v>
      </c>
      <c r="F61" s="101">
        <v>8.9700000000000006</v>
      </c>
      <c r="G61" s="16">
        <v>793.61</v>
      </c>
      <c r="H61" s="102">
        <f>F61*G61/1000</f>
        <v>7.1186817000000007</v>
      </c>
      <c r="I61" s="16">
        <v>0</v>
      </c>
      <c r="J61" s="26"/>
      <c r="L61" s="22"/>
      <c r="M61" s="23"/>
      <c r="N61" s="24"/>
    </row>
    <row r="62" spans="1:14" ht="15.75" hidden="1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/>
      <c r="B63" s="17" t="s">
        <v>45</v>
      </c>
      <c r="C63" s="19" t="s">
        <v>96</v>
      </c>
      <c r="D63" s="17" t="s">
        <v>139</v>
      </c>
      <c r="E63" s="21">
        <v>15</v>
      </c>
      <c r="F63" s="91">
        <v>15</v>
      </c>
      <c r="G63" s="16">
        <v>222.4</v>
      </c>
      <c r="H63" s="104">
        <f t="shared" ref="H63:H78" si="5">SUM(F63*G63/1000)</f>
        <v>3.3359999999999999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17" t="s">
        <v>139</v>
      </c>
      <c r="E64" s="21">
        <v>5</v>
      </c>
      <c r="F64" s="91">
        <v>5</v>
      </c>
      <c r="G64" s="16">
        <v>76.25</v>
      </c>
      <c r="H64" s="104">
        <f t="shared" si="5"/>
        <v>0.38124999999999998</v>
      </c>
      <c r="I64" s="16">
        <v>0</v>
      </c>
      <c r="J64" s="26"/>
      <c r="L64" s="22"/>
      <c r="M64" s="23"/>
      <c r="N64" s="24"/>
    </row>
    <row r="65" spans="1:14" ht="15.75" hidden="1" customHeight="1">
      <c r="A65" s="64"/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212.15</v>
      </c>
      <c r="H65" s="104">
        <f t="shared" si="5"/>
        <v>21.340168500000001</v>
      </c>
      <c r="I65" s="16">
        <v>0</v>
      </c>
      <c r="J65" s="26"/>
      <c r="L65" s="22"/>
      <c r="M65" s="23"/>
      <c r="N65" s="24"/>
    </row>
    <row r="66" spans="1:14" ht="15.75" hidden="1" customHeight="1">
      <c r="A66" s="64"/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165.21</v>
      </c>
      <c r="H66" s="104">
        <f t="shared" si="5"/>
        <v>1.6618473899999999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64"/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2074.63</v>
      </c>
      <c r="H67" s="104">
        <f t="shared" si="5"/>
        <v>45.641860000000001</v>
      </c>
      <c r="I67" s="16">
        <v>0</v>
      </c>
      <c r="J67" s="26"/>
      <c r="L67" s="22"/>
      <c r="M67" s="23"/>
      <c r="N67" s="24"/>
    </row>
    <row r="68" spans="1:14" ht="15.75" hidden="1" customHeight="1">
      <c r="A68" s="64"/>
      <c r="B68" s="105" t="s">
        <v>116</v>
      </c>
      <c r="C68" s="19" t="s">
        <v>31</v>
      </c>
      <c r="D68" s="17"/>
      <c r="E68" s="90">
        <v>9.4</v>
      </c>
      <c r="F68" s="16">
        <f>SUM(E68)</f>
        <v>9.4</v>
      </c>
      <c r="G68" s="16">
        <v>42.67</v>
      </c>
      <c r="H68" s="104">
        <f t="shared" si="5"/>
        <v>0.40109800000000001</v>
      </c>
      <c r="I68" s="16">
        <v>0</v>
      </c>
      <c r="J68" s="26"/>
      <c r="L68" s="22"/>
      <c r="M68" s="23"/>
      <c r="N68" s="24"/>
    </row>
    <row r="69" spans="1:14" ht="15.75" hidden="1" customHeight="1">
      <c r="A69" s="64"/>
      <c r="B69" s="105" t="s">
        <v>117</v>
      </c>
      <c r="C69" s="19" t="s">
        <v>31</v>
      </c>
      <c r="D69" s="17"/>
      <c r="E69" s="90">
        <v>9.4</v>
      </c>
      <c r="F69" s="16">
        <f>SUM(E69)</f>
        <v>9.4</v>
      </c>
      <c r="G69" s="16">
        <v>39.81</v>
      </c>
      <c r="H69" s="104">
        <f t="shared" si="5"/>
        <v>0.37421400000000005</v>
      </c>
      <c r="I69" s="16">
        <v>0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5</v>
      </c>
      <c r="F70" s="91">
        <v>5</v>
      </c>
      <c r="G70" s="16">
        <v>49.88</v>
      </c>
      <c r="H70" s="104">
        <f t="shared" si="5"/>
        <v>0.24940000000000001</v>
      </c>
      <c r="I70" s="16">
        <v>0</v>
      </c>
      <c r="J70" s="26"/>
      <c r="L70" s="22"/>
      <c r="M70" s="23"/>
      <c r="N70" s="24"/>
    </row>
    <row r="71" spans="1:14" ht="15.75" hidden="1" customHeight="1">
      <c r="A71" s="64"/>
      <c r="B71" s="80" t="s">
        <v>68</v>
      </c>
      <c r="C71" s="19"/>
      <c r="D71" s="17"/>
      <c r="E71" s="21"/>
      <c r="F71" s="16"/>
      <c r="G71" s="16"/>
      <c r="H71" s="104" t="s">
        <v>123</v>
      </c>
      <c r="I71" s="16"/>
      <c r="J71" s="26"/>
      <c r="L71" s="22"/>
      <c r="M71" s="23"/>
      <c r="N71" s="24"/>
    </row>
    <row r="72" spans="1:14" ht="15.75" hidden="1" customHeight="1">
      <c r="A72" s="64"/>
      <c r="B72" s="17" t="s">
        <v>69</v>
      </c>
      <c r="C72" s="19" t="s">
        <v>71</v>
      </c>
      <c r="D72" s="17"/>
      <c r="E72" s="21">
        <v>3</v>
      </c>
      <c r="F72" s="16">
        <v>0.3</v>
      </c>
      <c r="G72" s="16">
        <v>501.62</v>
      </c>
      <c r="H72" s="104">
        <f t="shared" si="5"/>
        <v>0.15048599999999998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17" t="s">
        <v>70</v>
      </c>
      <c r="C73" s="19" t="s">
        <v>29</v>
      </c>
      <c r="D73" s="17"/>
      <c r="E73" s="21">
        <v>1</v>
      </c>
      <c r="F73" s="81">
        <v>1</v>
      </c>
      <c r="G73" s="16">
        <v>852.99</v>
      </c>
      <c r="H73" s="104">
        <f>F73*G73/1000</f>
        <v>0.85299000000000003</v>
      </c>
      <c r="I73" s="16">
        <v>0</v>
      </c>
      <c r="J73" s="26"/>
      <c r="L73" s="22"/>
      <c r="M73" s="23"/>
      <c r="N73" s="24"/>
    </row>
    <row r="74" spans="1:14" ht="15.75" hidden="1" customHeight="1">
      <c r="A74" s="85"/>
      <c r="B74" s="17" t="s">
        <v>118</v>
      </c>
      <c r="C74" s="19" t="s">
        <v>29</v>
      </c>
      <c r="D74" s="17"/>
      <c r="E74" s="21">
        <v>1</v>
      </c>
      <c r="F74" s="16">
        <v>1</v>
      </c>
      <c r="G74" s="16">
        <v>358.51</v>
      </c>
      <c r="H74" s="104">
        <f>G74*F74/1000</f>
        <v>0.35851</v>
      </c>
      <c r="I74" s="16">
        <v>0</v>
      </c>
      <c r="J74" s="26"/>
      <c r="L74" s="22"/>
      <c r="M74" s="23"/>
      <c r="N74" s="24"/>
    </row>
    <row r="75" spans="1:14" ht="15.75" hidden="1" customHeight="1">
      <c r="A75" s="64"/>
      <c r="B75" s="17" t="s">
        <v>119</v>
      </c>
      <c r="C75" s="19" t="s">
        <v>29</v>
      </c>
      <c r="D75" s="17"/>
      <c r="E75" s="21">
        <v>2</v>
      </c>
      <c r="F75" s="16">
        <v>2</v>
      </c>
      <c r="G75" s="16">
        <v>784.67</v>
      </c>
      <c r="H75" s="104">
        <f>G75*F75/1000</f>
        <v>1.56934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7" t="s">
        <v>120</v>
      </c>
      <c r="C76" s="19" t="s">
        <v>121</v>
      </c>
      <c r="D76" s="17"/>
      <c r="E76" s="21">
        <v>2</v>
      </c>
      <c r="F76" s="16">
        <v>2</v>
      </c>
      <c r="G76" s="16">
        <v>1000</v>
      </c>
      <c r="H76" s="104">
        <f>G76*F76/1000</f>
        <v>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52" t="s">
        <v>73</v>
      </c>
      <c r="C78" s="19" t="s">
        <v>74</v>
      </c>
      <c r="D78" s="17"/>
      <c r="E78" s="21"/>
      <c r="F78" s="16">
        <v>1</v>
      </c>
      <c r="G78" s="16">
        <v>2579.44</v>
      </c>
      <c r="H78" s="104">
        <f t="shared" si="5"/>
        <v>2.57944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SUM(H59:H78)</f>
        <v>98.476136213999993</v>
      </c>
      <c r="I79" s="16"/>
      <c r="J79" s="26"/>
      <c r="L79" s="22"/>
      <c r="M79" s="23"/>
      <c r="N79" s="24"/>
    </row>
    <row r="80" spans="1:14" ht="15.75" hidden="1" customHeight="1">
      <c r="A80" s="64"/>
      <c r="B80" s="65" t="s">
        <v>113</v>
      </c>
      <c r="C80" s="19"/>
      <c r="D80" s="17"/>
      <c r="E80" s="106"/>
      <c r="F80" s="16">
        <v>1</v>
      </c>
      <c r="G80" s="16">
        <v>20954</v>
      </c>
      <c r="H80" s="104">
        <f>G80*F80/1000</f>
        <v>20.954000000000001</v>
      </c>
      <c r="I80" s="16">
        <v>0</v>
      </c>
      <c r="J80" s="26"/>
      <c r="L80" s="22"/>
      <c r="M80" s="23"/>
      <c r="N80" s="24"/>
    </row>
    <row r="81" spans="1:14" ht="15.75" customHeight="1">
      <c r="A81" s="174" t="s">
        <v>176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14</v>
      </c>
      <c r="B82" s="65" t="s">
        <v>156</v>
      </c>
      <c r="C82" s="19" t="s">
        <v>53</v>
      </c>
      <c r="D82" s="67" t="s">
        <v>54</v>
      </c>
      <c r="E82" s="16">
        <v>2566.6</v>
      </c>
      <c r="F82" s="16">
        <f>SUM(E82*12)</f>
        <v>30799.199999999997</v>
      </c>
      <c r="G82" s="16">
        <v>2.1</v>
      </c>
      <c r="H82" s="104">
        <f>SUM(F82*G82/1000)</f>
        <v>64.678319999999999</v>
      </c>
      <c r="I82" s="16">
        <f>F82/12*G82</f>
        <v>5389.86</v>
      </c>
      <c r="J82" s="26"/>
      <c r="L82" s="22"/>
      <c r="M82" s="23"/>
      <c r="N82" s="24"/>
    </row>
    <row r="83" spans="1:14" ht="31.5" customHeight="1">
      <c r="A83" s="64">
        <v>15</v>
      </c>
      <c r="B83" s="17" t="s">
        <v>75</v>
      </c>
      <c r="C83" s="19"/>
      <c r="D83" s="67" t="s">
        <v>54</v>
      </c>
      <c r="E83" s="90">
        <f>E82</f>
        <v>2566.6</v>
      </c>
      <c r="F83" s="16">
        <f>E83*12</f>
        <v>30799.199999999997</v>
      </c>
      <c r="G83" s="16">
        <v>1.63</v>
      </c>
      <c r="H83" s="104">
        <f>F83*G83/1000</f>
        <v>50.202695999999989</v>
      </c>
      <c r="I83" s="16">
        <f>F83/12*G83</f>
        <v>4183.558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50.202695999999989</v>
      </c>
      <c r="I84" s="114">
        <f>I16+I17+I18+I26+I27+I37+I38+I39+I41+I42+I44+I51+I59+I82+I83</f>
        <v>37690.711049016667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15.75" customHeight="1">
      <c r="A86" s="64">
        <v>16</v>
      </c>
      <c r="B86" s="109" t="s">
        <v>193</v>
      </c>
      <c r="C86" s="30" t="s">
        <v>96</v>
      </c>
      <c r="D86" s="52"/>
      <c r="E86" s="16"/>
      <c r="F86" s="16">
        <v>5</v>
      </c>
      <c r="G86" s="16">
        <v>470</v>
      </c>
      <c r="H86" s="104">
        <f t="shared" ref="H86:H87" si="6">G86*F86/1000</f>
        <v>2.35</v>
      </c>
      <c r="I86" s="139">
        <f>G86*2</f>
        <v>940</v>
      </c>
      <c r="J86" s="26"/>
      <c r="L86" s="22"/>
      <c r="M86" s="23"/>
      <c r="N86" s="24"/>
    </row>
    <row r="87" spans="1:14" ht="15.75" customHeight="1">
      <c r="A87" s="64">
        <v>17</v>
      </c>
      <c r="B87" s="58" t="s">
        <v>196</v>
      </c>
      <c r="C87" s="73" t="s">
        <v>160</v>
      </c>
      <c r="D87" s="52"/>
      <c r="E87" s="16"/>
      <c r="F87" s="16">
        <v>1</v>
      </c>
      <c r="G87" s="16">
        <v>306.37</v>
      </c>
      <c r="H87" s="104">
        <f t="shared" si="6"/>
        <v>0.30637000000000003</v>
      </c>
      <c r="I87" s="139">
        <f>G87</f>
        <v>306.37</v>
      </c>
      <c r="J87" s="26"/>
      <c r="L87" s="22"/>
      <c r="M87" s="23"/>
      <c r="N87" s="24"/>
    </row>
    <row r="88" spans="1:14" ht="15.75" customHeight="1">
      <c r="A88" s="64">
        <v>18</v>
      </c>
      <c r="B88" s="71" t="s">
        <v>197</v>
      </c>
      <c r="C88" s="72" t="s">
        <v>95</v>
      </c>
      <c r="D88" s="17"/>
      <c r="E88" s="21"/>
      <c r="F88" s="16">
        <v>7</v>
      </c>
      <c r="G88" s="16">
        <v>1120.8900000000001</v>
      </c>
      <c r="H88" s="104">
        <f>G88*F88/1000</f>
        <v>7.8462300000000003</v>
      </c>
      <c r="I88" s="139">
        <f>G88*7</f>
        <v>7846.2300000000005</v>
      </c>
      <c r="J88" s="26"/>
      <c r="L88" s="22"/>
      <c r="M88" s="23"/>
      <c r="N88" s="24"/>
    </row>
    <row r="89" spans="1:14" ht="31.5" customHeight="1">
      <c r="A89" s="64">
        <v>19</v>
      </c>
      <c r="B89" s="58" t="s">
        <v>168</v>
      </c>
      <c r="C89" s="73" t="s">
        <v>79</v>
      </c>
      <c r="D89" s="17"/>
      <c r="E89" s="21"/>
      <c r="F89" s="16">
        <v>0.5</v>
      </c>
      <c r="G89" s="16">
        <v>1187</v>
      </c>
      <c r="H89" s="104">
        <f>G89*F89/1000</f>
        <v>0.59350000000000003</v>
      </c>
      <c r="I89" s="139">
        <f>G89*0.5</f>
        <v>593.5</v>
      </c>
      <c r="J89" s="26"/>
      <c r="L89" s="22"/>
      <c r="M89" s="23"/>
      <c r="N89" s="24"/>
    </row>
    <row r="90" spans="1:14" ht="15.75" customHeight="1">
      <c r="A90" s="64">
        <v>20</v>
      </c>
      <c r="B90" s="58" t="s">
        <v>198</v>
      </c>
      <c r="C90" s="73" t="s">
        <v>160</v>
      </c>
      <c r="D90" s="17"/>
      <c r="E90" s="21"/>
      <c r="F90" s="16">
        <v>1</v>
      </c>
      <c r="G90" s="16">
        <v>206.54</v>
      </c>
      <c r="H90" s="104">
        <f>G90*F90/1000</f>
        <v>0.20654</v>
      </c>
      <c r="I90" s="139">
        <f>G90</f>
        <v>206.54</v>
      </c>
      <c r="J90" s="26"/>
      <c r="L90" s="22"/>
      <c r="M90" s="23"/>
      <c r="N90" s="24"/>
    </row>
    <row r="91" spans="1:14" ht="15.75" customHeight="1">
      <c r="A91" s="64">
        <v>21</v>
      </c>
      <c r="B91" s="58" t="s">
        <v>199</v>
      </c>
      <c r="C91" s="73" t="s">
        <v>121</v>
      </c>
      <c r="D91" s="17"/>
      <c r="E91" s="21"/>
      <c r="F91" s="16">
        <v>1</v>
      </c>
      <c r="G91" s="16"/>
      <c r="H91" s="104"/>
      <c r="I91" s="139"/>
      <c r="J91" s="26"/>
      <c r="L91" s="22"/>
      <c r="M91" s="23"/>
      <c r="N91" s="24"/>
    </row>
    <row r="92" spans="1:14" ht="31.5" customHeight="1">
      <c r="A92" s="64">
        <v>22</v>
      </c>
      <c r="B92" s="58" t="s">
        <v>77</v>
      </c>
      <c r="C92" s="73" t="s">
        <v>96</v>
      </c>
      <c r="D92" s="17"/>
      <c r="E92" s="21"/>
      <c r="F92" s="16">
        <v>1</v>
      </c>
      <c r="G92" s="16">
        <v>83.36</v>
      </c>
      <c r="H92" s="104">
        <f>G92*F92/1000</f>
        <v>8.3360000000000004E-2</v>
      </c>
      <c r="I92" s="139">
        <f>G92</f>
        <v>83.36</v>
      </c>
      <c r="J92" s="26"/>
      <c r="L92" s="22"/>
      <c r="M92" s="23"/>
      <c r="N92" s="24"/>
    </row>
    <row r="93" spans="1:14" ht="15.75" customHeight="1">
      <c r="A93" s="64">
        <v>23</v>
      </c>
      <c r="B93" s="58" t="s">
        <v>126</v>
      </c>
      <c r="C93" s="73" t="s">
        <v>127</v>
      </c>
      <c r="D93" s="17"/>
      <c r="E93" s="21"/>
      <c r="F93" s="16">
        <v>1</v>
      </c>
      <c r="G93" s="16">
        <v>1582</v>
      </c>
      <c r="H93" s="104">
        <f>G93*F93/1000</f>
        <v>1.5820000000000001</v>
      </c>
      <c r="I93" s="139">
        <f>G93</f>
        <v>1582</v>
      </c>
      <c r="J93" s="26"/>
      <c r="L93" s="22"/>
      <c r="M93" s="23"/>
      <c r="N93" s="24"/>
    </row>
    <row r="94" spans="1:14" ht="15.75" customHeight="1">
      <c r="A94" s="30"/>
      <c r="B94" s="50" t="s">
        <v>50</v>
      </c>
      <c r="C94" s="46"/>
      <c r="D94" s="57"/>
      <c r="E94" s="46">
        <v>1</v>
      </c>
      <c r="F94" s="46"/>
      <c r="G94" s="34"/>
      <c r="H94" s="46"/>
      <c r="I94" s="34">
        <f>SUM(I86:I93)</f>
        <v>11558.000000000002</v>
      </c>
      <c r="J94" s="26"/>
      <c r="L94" s="22"/>
      <c r="M94" s="23"/>
      <c r="N94" s="24"/>
    </row>
    <row r="95" spans="1:14" ht="15.75" customHeight="1">
      <c r="A95" s="30"/>
      <c r="B95" s="52" t="s">
        <v>76</v>
      </c>
      <c r="C95" s="18"/>
      <c r="D95" s="18"/>
      <c r="E95" s="47"/>
      <c r="F95" s="48"/>
      <c r="G95" s="20"/>
      <c r="H95" s="87"/>
      <c r="I95" s="21">
        <v>0</v>
      </c>
      <c r="J95" s="26"/>
      <c r="L95" s="22"/>
      <c r="M95" s="23"/>
      <c r="N95" s="24"/>
    </row>
    <row r="96" spans="1:14" ht="15.75" customHeight="1">
      <c r="A96" s="88"/>
      <c r="B96" s="51" t="s">
        <v>194</v>
      </c>
      <c r="C96" s="37"/>
      <c r="D96" s="37"/>
      <c r="E96" s="37"/>
      <c r="F96" s="37"/>
      <c r="G96" s="49"/>
      <c r="H96" s="38"/>
      <c r="I96" s="34">
        <f>I84+I94</f>
        <v>49248.711049016667</v>
      </c>
      <c r="J96" s="26"/>
      <c r="L96" s="22"/>
      <c r="M96" s="23"/>
      <c r="N96" s="24"/>
    </row>
    <row r="97" spans="1:22" ht="15.75" customHeight="1">
      <c r="A97" s="158" t="s">
        <v>272</v>
      </c>
      <c r="B97" s="158"/>
      <c r="C97" s="158"/>
      <c r="D97" s="158"/>
      <c r="E97" s="158"/>
      <c r="F97" s="158"/>
      <c r="G97" s="158"/>
      <c r="H97" s="158"/>
      <c r="I97" s="158"/>
      <c r="J97" s="26"/>
      <c r="L97" s="22"/>
      <c r="M97" s="23"/>
      <c r="N97" s="24"/>
    </row>
    <row r="98" spans="1:22" ht="15.75" customHeight="1">
      <c r="A98" s="12"/>
      <c r="B98" s="179" t="s">
        <v>273</v>
      </c>
      <c r="C98" s="179"/>
      <c r="D98" s="179"/>
      <c r="E98" s="179"/>
      <c r="F98" s="179"/>
      <c r="G98" s="179"/>
      <c r="H98" s="78"/>
      <c r="I98" s="4"/>
      <c r="J98" s="26"/>
      <c r="L98" s="22"/>
    </row>
    <row r="99" spans="1:22" ht="15.75" customHeight="1">
      <c r="A99" s="79"/>
      <c r="B99" s="160" t="s">
        <v>6</v>
      </c>
      <c r="C99" s="160"/>
      <c r="D99" s="160"/>
      <c r="E99" s="160"/>
      <c r="F99" s="160"/>
      <c r="G99" s="160"/>
      <c r="H99" s="27"/>
      <c r="I99" s="54"/>
    </row>
    <row r="100" spans="1:22" ht="15.75" customHeight="1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22" ht="15.75" customHeight="1">
      <c r="A101" s="180" t="s">
        <v>7</v>
      </c>
      <c r="B101" s="180"/>
      <c r="C101" s="180"/>
      <c r="D101" s="180"/>
      <c r="E101" s="180"/>
      <c r="F101" s="180"/>
      <c r="G101" s="180"/>
      <c r="H101" s="180"/>
      <c r="I101" s="180"/>
    </row>
    <row r="102" spans="1:22" ht="15.75" customHeight="1">
      <c r="A102" s="180" t="s">
        <v>8</v>
      </c>
      <c r="B102" s="180"/>
      <c r="C102" s="180"/>
      <c r="D102" s="180"/>
      <c r="E102" s="180"/>
      <c r="F102" s="180"/>
      <c r="G102" s="180"/>
      <c r="H102" s="180"/>
      <c r="I102" s="180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11"/>
    </row>
    <row r="103" spans="1:22" ht="15.75" customHeight="1">
      <c r="A103" s="158" t="s">
        <v>9</v>
      </c>
      <c r="B103" s="158"/>
      <c r="C103" s="158"/>
      <c r="D103" s="158"/>
      <c r="E103" s="158"/>
      <c r="F103" s="158"/>
      <c r="G103" s="158"/>
      <c r="H103" s="158"/>
      <c r="I103" s="158"/>
      <c r="J103" s="28"/>
      <c r="K103" s="28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2" ht="15.75" customHeight="1">
      <c r="A104" s="14"/>
      <c r="B104" s="53"/>
      <c r="C104" s="53"/>
      <c r="D104" s="53"/>
      <c r="E104" s="53"/>
      <c r="F104" s="53"/>
      <c r="G104" s="53"/>
      <c r="H104" s="53"/>
      <c r="I104" s="53"/>
      <c r="J104" s="6"/>
      <c r="K104" s="6"/>
      <c r="L104" s="6"/>
      <c r="M104" s="6"/>
      <c r="N104" s="6"/>
      <c r="O104" s="6"/>
      <c r="P104" s="6"/>
      <c r="Q104" s="6"/>
      <c r="R104" s="157"/>
      <c r="S104" s="157"/>
      <c r="T104" s="157"/>
      <c r="U104" s="157"/>
    </row>
    <row r="105" spans="1:22" ht="15.75" customHeight="1">
      <c r="A105" s="181" t="s">
        <v>10</v>
      </c>
      <c r="B105" s="181"/>
      <c r="C105" s="181"/>
      <c r="D105" s="181"/>
      <c r="E105" s="181"/>
      <c r="F105" s="181"/>
      <c r="G105" s="181"/>
      <c r="H105" s="181"/>
      <c r="I105" s="181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2" ht="15.75" customHeight="1">
      <c r="A106" s="5"/>
      <c r="B106" s="53"/>
      <c r="C106" s="53"/>
      <c r="D106" s="53"/>
      <c r="E106" s="53"/>
      <c r="F106" s="53"/>
      <c r="G106" s="53"/>
      <c r="H106" s="53"/>
      <c r="I106" s="53"/>
    </row>
    <row r="107" spans="1:22" ht="15.75" customHeight="1">
      <c r="A107" s="158" t="s">
        <v>11</v>
      </c>
      <c r="B107" s="158"/>
      <c r="C107" s="189" t="s">
        <v>91</v>
      </c>
      <c r="D107" s="189"/>
      <c r="E107" s="189"/>
      <c r="F107" s="82"/>
      <c r="I107" s="77"/>
    </row>
    <row r="108" spans="1:22" ht="15.75" customHeight="1">
      <c r="A108" s="79"/>
      <c r="B108" s="53"/>
      <c r="C108" s="160" t="s">
        <v>12</v>
      </c>
      <c r="D108" s="160"/>
      <c r="E108" s="160"/>
      <c r="F108" s="27"/>
      <c r="I108" s="76" t="s">
        <v>13</v>
      </c>
    </row>
    <row r="109" spans="1:22" ht="15.75" customHeight="1">
      <c r="A109" s="28"/>
      <c r="B109" s="53"/>
      <c r="C109" s="15"/>
      <c r="D109" s="15"/>
      <c r="G109" s="15"/>
      <c r="H109" s="15"/>
    </row>
    <row r="110" spans="1:22" ht="15.75" customHeight="1">
      <c r="A110" s="158" t="s">
        <v>14</v>
      </c>
      <c r="B110" s="158"/>
      <c r="C110" s="172"/>
      <c r="D110" s="172"/>
      <c r="E110" s="172"/>
      <c r="F110" s="83"/>
      <c r="I110" s="77"/>
    </row>
    <row r="111" spans="1:22" ht="15.75" customHeight="1">
      <c r="A111" s="75"/>
      <c r="C111" s="157" t="s">
        <v>12</v>
      </c>
      <c r="D111" s="157"/>
      <c r="E111" s="157"/>
      <c r="F111" s="75"/>
      <c r="I111" s="76" t="s">
        <v>13</v>
      </c>
    </row>
    <row r="112" spans="1:22" ht="15.75" customHeight="1">
      <c r="A112" s="5" t="s">
        <v>15</v>
      </c>
    </row>
    <row r="113" spans="1:9">
      <c r="A113" s="173" t="s">
        <v>16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45" customHeight="1">
      <c r="A114" s="171" t="s">
        <v>17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30" customHeight="1">
      <c r="A115" s="171" t="s">
        <v>18</v>
      </c>
      <c r="B115" s="171"/>
      <c r="C115" s="171"/>
      <c r="D115" s="171"/>
      <c r="E115" s="171"/>
      <c r="F115" s="171"/>
      <c r="G115" s="171"/>
      <c r="H115" s="171"/>
      <c r="I115" s="171"/>
    </row>
    <row r="116" spans="1:9" ht="30" customHeight="1">
      <c r="A116" s="171" t="s">
        <v>22</v>
      </c>
      <c r="B116" s="171"/>
      <c r="C116" s="171"/>
      <c r="D116" s="171"/>
      <c r="E116" s="171"/>
      <c r="F116" s="171"/>
      <c r="G116" s="171"/>
      <c r="H116" s="171"/>
      <c r="I116" s="171"/>
    </row>
    <row r="117" spans="1:9" ht="15" customHeight="1">
      <c r="A117" s="171" t="s">
        <v>21</v>
      </c>
      <c r="B117" s="171"/>
      <c r="C117" s="171"/>
      <c r="D117" s="171"/>
      <c r="E117" s="171"/>
      <c r="F117" s="171"/>
      <c r="G117" s="171"/>
      <c r="H117" s="171"/>
      <c r="I117" s="171"/>
    </row>
  </sheetData>
  <autoFilter ref="I15:I100"/>
  <mergeCells count="32">
    <mergeCell ref="A117:I117"/>
    <mergeCell ref="A105:I105"/>
    <mergeCell ref="A107:B107"/>
    <mergeCell ref="C107:E107"/>
    <mergeCell ref="C108:E108"/>
    <mergeCell ref="A110:B110"/>
    <mergeCell ref="C110:E110"/>
    <mergeCell ref="C111:E111"/>
    <mergeCell ref="A113:I113"/>
    <mergeCell ref="A114:I114"/>
    <mergeCell ref="A115:I115"/>
    <mergeCell ref="A116:I116"/>
    <mergeCell ref="R104:U104"/>
    <mergeCell ref="A28:I28"/>
    <mergeCell ref="A45:I45"/>
    <mergeCell ref="A57:I57"/>
    <mergeCell ref="A81:I81"/>
    <mergeCell ref="A97:I97"/>
    <mergeCell ref="B98:G98"/>
    <mergeCell ref="B99:G99"/>
    <mergeCell ref="A101:I101"/>
    <mergeCell ref="A102:I102"/>
    <mergeCell ref="A103:I103"/>
    <mergeCell ref="A35:I35"/>
    <mergeCell ref="A85:I85"/>
    <mergeCell ref="A15:I1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179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200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18"/>
      <c r="C6" s="118"/>
      <c r="D6" s="118"/>
      <c r="E6" s="118"/>
      <c r="F6" s="118"/>
      <c r="G6" s="118"/>
      <c r="H6" s="118"/>
      <c r="I6" s="33">
        <v>42825</v>
      </c>
    </row>
    <row r="7" spans="1:15" ht="15.75">
      <c r="B7" s="116"/>
      <c r="C7" s="116"/>
      <c r="D7" s="116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1">SUM(E22/100)</f>
        <v>3.57</v>
      </c>
      <c r="G22" s="91">
        <v>353.14</v>
      </c>
      <c r="H22" s="92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1"/>
        <v>0.38640000000000002</v>
      </c>
      <c r="G23" s="91">
        <v>58.08</v>
      </c>
      <c r="H23" s="92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1"/>
        <v>0.15</v>
      </c>
      <c r="G24" s="91">
        <v>511.12</v>
      </c>
      <c r="H24" s="92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1"/>
        <v>6.3799999999999996E-2</v>
      </c>
      <c r="G25" s="91">
        <v>683.05</v>
      </c>
      <c r="H25" s="92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86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2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86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2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hidden="1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hidden="1" customHeight="1">
      <c r="A30" s="138"/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3">SUM(F30*G30/1000)</f>
        <v>1.6222722879999998</v>
      </c>
      <c r="I30" s="134">
        <v>0</v>
      </c>
      <c r="J30" s="25"/>
      <c r="K30" s="10"/>
      <c r="L30" s="10"/>
      <c r="M30" s="10"/>
    </row>
    <row r="31" spans="1:13" ht="31.5" hidden="1" customHeight="1">
      <c r="A31" s="30"/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86"/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86"/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4">SUM(F37*G37/1000)</f>
        <v>6.0090000000000003</v>
      </c>
      <c r="I37" s="134">
        <f t="shared" ref="I37:I43" si="5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5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5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4"/>
        <v>4.1427101100000003</v>
      </c>
      <c r="I40" s="16">
        <f t="shared" si="5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4"/>
        <v>0.65333449999999993</v>
      </c>
      <c r="I42" s="16">
        <f>F42/2*G42</f>
        <v>326.66724999999997</v>
      </c>
      <c r="J42" s="25"/>
      <c r="K42" s="10"/>
      <c r="L42" s="10"/>
      <c r="M42" s="10"/>
    </row>
    <row r="43" spans="1:13" ht="15.75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4"/>
        <v>0.389932</v>
      </c>
      <c r="I43" s="16">
        <f t="shared" si="5"/>
        <v>64.988666666666674</v>
      </c>
      <c r="J43" s="25"/>
      <c r="K43" s="10"/>
    </row>
    <row r="44" spans="1:13" ht="15.75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/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15.75" hidden="1" customHeight="1">
      <c r="A46" s="85"/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6"/>
        <v>4.5114615755999994</v>
      </c>
      <c r="I46" s="16">
        <f t="shared" si="7"/>
        <v>2255.7307877999997</v>
      </c>
      <c r="J46" s="26"/>
    </row>
    <row r="47" spans="1:13" ht="15.75" hidden="1" customHeight="1">
      <c r="A47" s="84"/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6"/>
        <v>3.2221747648000005</v>
      </c>
      <c r="I47" s="16">
        <f t="shared" si="7"/>
        <v>1611.0873824000003</v>
      </c>
      <c r="J47" s="26"/>
    </row>
    <row r="48" spans="1:13" ht="15.75" hidden="1" customHeight="1">
      <c r="A48" s="30"/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6"/>
        <v>0.16393723199999999</v>
      </c>
      <c r="I48" s="16">
        <f>F48/2*G48</f>
        <v>81.968615999999997</v>
      </c>
      <c r="J48" s="26"/>
    </row>
    <row r="49" spans="1:14" ht="15.75" hidden="1" customHeight="1">
      <c r="A49" s="30"/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customHeight="1">
      <c r="A50" s="30">
        <v>12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customHeight="1">
      <c r="A51" s="64">
        <v>13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5.75" customHeight="1">
      <c r="A52" s="64">
        <v>14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15.75" hidden="1" customHeight="1">
      <c r="A53" s="64"/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64">
        <v>14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175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customHeight="1">
      <c r="A57" s="64">
        <v>15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9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17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0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/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1">SUM(F63*G63/1000)</f>
        <v>1.4584000000000001</v>
      </c>
      <c r="I63" s="16">
        <v>0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1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/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1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64"/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1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64"/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1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64"/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1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64"/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2">E69</f>
        <v>9.6</v>
      </c>
      <c r="G69" s="16">
        <v>46.04</v>
      </c>
      <c r="H69" s="104">
        <f t="shared" si="11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2"/>
        <v>3</v>
      </c>
      <c r="G70" s="16">
        <v>65.42</v>
      </c>
      <c r="H70" s="104">
        <f t="shared" si="11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64">
        <v>18</v>
      </c>
      <c r="B71" s="17" t="s">
        <v>209</v>
      </c>
      <c r="C71" s="30" t="s">
        <v>210</v>
      </c>
      <c r="D71" s="98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1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3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4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3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5">SUM(F78*G78/1000)</f>
        <v>3.6190900000000004</v>
      </c>
      <c r="I78" s="16">
        <v>0</v>
      </c>
      <c r="J78" s="26"/>
      <c r="L78" s="22"/>
      <c r="M78" s="23"/>
      <c r="N78" s="24"/>
    </row>
    <row r="79" spans="1:14" ht="15.75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74" t="s">
        <v>176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20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64">
        <v>21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I16+I17+I18+I26+I27+I37+I38+I40+I41+I42+I43+I50+I51+I52+I57+I58+I61+I71+I80+I82+I83</f>
        <v>74527.585421666678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31.5" customHeight="1">
      <c r="A86" s="64">
        <v>22</v>
      </c>
      <c r="B86" s="109" t="s">
        <v>213</v>
      </c>
      <c r="C86" s="30" t="s">
        <v>162</v>
      </c>
      <c r="D86" s="52"/>
      <c r="E86" s="16"/>
      <c r="F86" s="16">
        <v>1</v>
      </c>
      <c r="G86" s="16">
        <v>1934.94</v>
      </c>
      <c r="H86" s="104">
        <f>G86*F86/1000</f>
        <v>1.9349400000000001</v>
      </c>
      <c r="I86" s="139">
        <f>G86</f>
        <v>1934.94</v>
      </c>
      <c r="J86" s="26"/>
      <c r="L86" s="22"/>
      <c r="M86" s="23"/>
      <c r="N86" s="24"/>
    </row>
    <row r="87" spans="1:14" ht="15.75" customHeight="1">
      <c r="A87" s="64">
        <v>23</v>
      </c>
      <c r="B87" s="71" t="s">
        <v>197</v>
      </c>
      <c r="C87" s="72" t="s">
        <v>95</v>
      </c>
      <c r="D87" s="17"/>
      <c r="E87" s="21"/>
      <c r="F87" s="16">
        <f>16/3</f>
        <v>5.333333333333333</v>
      </c>
      <c r="G87" s="16">
        <v>1120.8900000000001</v>
      </c>
      <c r="H87" s="104">
        <f>G87*F87/1000</f>
        <v>5.9780800000000003</v>
      </c>
      <c r="I87" s="139">
        <f t="shared" ref="I87:I91" si="16">G87</f>
        <v>1120.8900000000001</v>
      </c>
      <c r="J87" s="26"/>
      <c r="L87" s="22"/>
      <c r="M87" s="23"/>
      <c r="N87" s="24"/>
    </row>
    <row r="88" spans="1:14" ht="15.75" customHeight="1">
      <c r="A88" s="64">
        <v>24</v>
      </c>
      <c r="B88" s="110" t="s">
        <v>214</v>
      </c>
      <c r="C88" s="73" t="s">
        <v>172</v>
      </c>
      <c r="D88" s="52"/>
      <c r="E88" s="16"/>
      <c r="F88" s="16">
        <v>1</v>
      </c>
      <c r="G88" s="16">
        <v>2563.48</v>
      </c>
      <c r="H88" s="104">
        <f t="shared" ref="H88:H90" si="17">G88*F88/1000</f>
        <v>2.5634800000000002</v>
      </c>
      <c r="I88" s="139">
        <f t="shared" si="16"/>
        <v>2563.48</v>
      </c>
      <c r="J88" s="26"/>
      <c r="L88" s="22"/>
      <c r="M88" s="23"/>
      <c r="N88" s="24"/>
    </row>
    <row r="89" spans="1:14" ht="15.75" customHeight="1">
      <c r="A89" s="64">
        <v>25</v>
      </c>
      <c r="B89" s="146" t="s">
        <v>215</v>
      </c>
      <c r="C89" s="72" t="s">
        <v>127</v>
      </c>
      <c r="D89" s="52"/>
      <c r="E89" s="16"/>
      <c r="F89" s="16">
        <v>0.2</v>
      </c>
      <c r="G89" s="16">
        <v>1725</v>
      </c>
      <c r="H89" s="104">
        <f t="shared" si="17"/>
        <v>0.34499999999999997</v>
      </c>
      <c r="I89" s="139">
        <f>G89*0.2</f>
        <v>345</v>
      </c>
      <c r="J89" s="26"/>
      <c r="L89" s="22"/>
      <c r="M89" s="23"/>
      <c r="N89" s="24"/>
    </row>
    <row r="90" spans="1:14" ht="31.5" customHeight="1">
      <c r="A90" s="64">
        <v>26</v>
      </c>
      <c r="B90" s="58" t="s">
        <v>216</v>
      </c>
      <c r="C90" s="73" t="s">
        <v>157</v>
      </c>
      <c r="D90" s="52"/>
      <c r="E90" s="16"/>
      <c r="F90" s="16">
        <v>1</v>
      </c>
      <c r="G90" s="16">
        <v>666.24</v>
      </c>
      <c r="H90" s="104">
        <f t="shared" si="17"/>
        <v>0.66624000000000005</v>
      </c>
      <c r="I90" s="139">
        <f t="shared" si="16"/>
        <v>666.24</v>
      </c>
      <c r="J90" s="26"/>
      <c r="L90" s="22"/>
      <c r="M90" s="23"/>
      <c r="N90" s="24"/>
    </row>
    <row r="91" spans="1:14" ht="31.5" customHeight="1">
      <c r="A91" s="64">
        <v>27</v>
      </c>
      <c r="B91" s="58" t="s">
        <v>77</v>
      </c>
      <c r="C91" s="73" t="s">
        <v>96</v>
      </c>
      <c r="D91" s="17"/>
      <c r="E91" s="21"/>
      <c r="F91" s="16">
        <v>4</v>
      </c>
      <c r="G91" s="16">
        <v>83.36</v>
      </c>
      <c r="H91" s="104">
        <f>G91*F91/1000</f>
        <v>0.33344000000000001</v>
      </c>
      <c r="I91" s="139">
        <f t="shared" si="16"/>
        <v>83.36</v>
      </c>
      <c r="J91" s="26"/>
      <c r="L91" s="22"/>
      <c r="M91" s="23"/>
      <c r="N91" s="24"/>
    </row>
    <row r="92" spans="1:14" ht="15.75" customHeight="1">
      <c r="A92" s="30"/>
      <c r="B92" s="50" t="s">
        <v>50</v>
      </c>
      <c r="C92" s="46"/>
      <c r="D92" s="57"/>
      <c r="E92" s="46">
        <v>1</v>
      </c>
      <c r="F92" s="46"/>
      <c r="G92" s="34"/>
      <c r="H92" s="46"/>
      <c r="I92" s="34">
        <f>SUM(I86:I91)</f>
        <v>6713.9099999999989</v>
      </c>
      <c r="J92" s="26"/>
      <c r="L92" s="22"/>
      <c r="M92" s="23"/>
      <c r="N92" s="24"/>
    </row>
    <row r="93" spans="1:14" ht="15.75" customHeight="1">
      <c r="A93" s="30"/>
      <c r="B93" s="52" t="s">
        <v>76</v>
      </c>
      <c r="C93" s="18"/>
      <c r="D93" s="18"/>
      <c r="E93" s="47"/>
      <c r="F93" s="48"/>
      <c r="G93" s="20"/>
      <c r="H93" s="87"/>
      <c r="I93" s="21">
        <v>0</v>
      </c>
      <c r="J93" s="26"/>
      <c r="L93" s="22"/>
      <c r="M93" s="23"/>
      <c r="N93" s="24"/>
    </row>
    <row r="94" spans="1:14" ht="15.75" customHeight="1">
      <c r="A94" s="88"/>
      <c r="B94" s="51" t="s">
        <v>194</v>
      </c>
      <c r="C94" s="37"/>
      <c r="D94" s="37"/>
      <c r="E94" s="37"/>
      <c r="F94" s="37"/>
      <c r="G94" s="49"/>
      <c r="H94" s="38"/>
      <c r="I94" s="34">
        <f>I84+I92</f>
        <v>81241.495421666681</v>
      </c>
      <c r="J94" s="26"/>
      <c r="L94" s="22"/>
      <c r="M94" s="23"/>
      <c r="N94" s="24"/>
    </row>
    <row r="95" spans="1:14" ht="15.75" customHeight="1">
      <c r="A95" s="158" t="s">
        <v>274</v>
      </c>
      <c r="B95" s="158"/>
      <c r="C95" s="158"/>
      <c r="D95" s="158"/>
      <c r="E95" s="158"/>
      <c r="F95" s="158"/>
      <c r="G95" s="158"/>
      <c r="H95" s="158"/>
      <c r="I95" s="158"/>
      <c r="J95" s="26"/>
      <c r="L95" s="22"/>
      <c r="M95" s="23"/>
      <c r="N95" s="24"/>
    </row>
    <row r="96" spans="1:14" ht="15.75" customHeight="1">
      <c r="A96" s="12"/>
      <c r="B96" s="179" t="s">
        <v>275</v>
      </c>
      <c r="C96" s="179"/>
      <c r="D96" s="179"/>
      <c r="E96" s="179"/>
      <c r="F96" s="179"/>
      <c r="G96" s="179"/>
      <c r="H96" s="120"/>
      <c r="I96" s="4"/>
      <c r="J96" s="26"/>
      <c r="L96" s="22"/>
    </row>
    <row r="97" spans="1:22" ht="15.75" customHeight="1">
      <c r="A97" s="79"/>
      <c r="B97" s="160" t="s">
        <v>6</v>
      </c>
      <c r="C97" s="160"/>
      <c r="D97" s="160"/>
      <c r="E97" s="160"/>
      <c r="F97" s="160"/>
      <c r="G97" s="160"/>
      <c r="H97" s="27"/>
      <c r="I97" s="54"/>
    </row>
    <row r="98" spans="1:22" ht="15.75" customHeight="1">
      <c r="A98" s="55"/>
      <c r="B98" s="55"/>
      <c r="C98" s="55"/>
      <c r="D98" s="55"/>
      <c r="E98" s="55"/>
      <c r="F98" s="55"/>
      <c r="G98" s="55"/>
      <c r="H98" s="55"/>
      <c r="I98" s="55"/>
    </row>
    <row r="99" spans="1:22" ht="15.75" customHeight="1">
      <c r="A99" s="180" t="s">
        <v>7</v>
      </c>
      <c r="B99" s="180"/>
      <c r="C99" s="180"/>
      <c r="D99" s="180"/>
      <c r="E99" s="180"/>
      <c r="F99" s="180"/>
      <c r="G99" s="180"/>
      <c r="H99" s="180"/>
      <c r="I99" s="180"/>
    </row>
    <row r="100" spans="1:22" ht="15.75" customHeight="1">
      <c r="A100" s="180" t="s">
        <v>8</v>
      </c>
      <c r="B100" s="180"/>
      <c r="C100" s="180"/>
      <c r="D100" s="180"/>
      <c r="E100" s="180"/>
      <c r="F100" s="180"/>
      <c r="G100" s="180"/>
      <c r="H100" s="180"/>
      <c r="I100" s="18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1"/>
    </row>
    <row r="101" spans="1:22" ht="15.75" customHeight="1">
      <c r="A101" s="158" t="s">
        <v>9</v>
      </c>
      <c r="B101" s="158"/>
      <c r="C101" s="158"/>
      <c r="D101" s="158"/>
      <c r="E101" s="158"/>
      <c r="F101" s="158"/>
      <c r="G101" s="158"/>
      <c r="H101" s="158"/>
      <c r="I101" s="158"/>
      <c r="J101" s="28"/>
      <c r="K101" s="28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2" ht="15.75" customHeight="1">
      <c r="A102" s="14"/>
      <c r="B102" s="53"/>
      <c r="C102" s="53"/>
      <c r="D102" s="53"/>
      <c r="E102" s="53"/>
      <c r="F102" s="53"/>
      <c r="G102" s="53"/>
      <c r="H102" s="53"/>
      <c r="I102" s="53"/>
      <c r="J102" s="6"/>
      <c r="K102" s="6"/>
      <c r="L102" s="6"/>
      <c r="M102" s="6"/>
      <c r="N102" s="6"/>
      <c r="O102" s="6"/>
      <c r="P102" s="6"/>
      <c r="Q102" s="6"/>
      <c r="R102" s="157"/>
      <c r="S102" s="157"/>
      <c r="T102" s="157"/>
      <c r="U102" s="157"/>
    </row>
    <row r="103" spans="1:22" ht="15.75" customHeight="1">
      <c r="A103" s="181" t="s">
        <v>10</v>
      </c>
      <c r="B103" s="181"/>
      <c r="C103" s="181"/>
      <c r="D103" s="181"/>
      <c r="E103" s="181"/>
      <c r="F103" s="181"/>
      <c r="G103" s="181"/>
      <c r="H103" s="181"/>
      <c r="I103" s="181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2" ht="15.75" customHeight="1">
      <c r="A104" s="5"/>
      <c r="B104" s="53"/>
      <c r="C104" s="53"/>
      <c r="D104" s="53"/>
      <c r="E104" s="53"/>
      <c r="F104" s="53"/>
      <c r="G104" s="53"/>
      <c r="H104" s="53"/>
      <c r="I104" s="53"/>
    </row>
    <row r="105" spans="1:22" ht="15.75" customHeight="1">
      <c r="A105" s="158" t="s">
        <v>11</v>
      </c>
      <c r="B105" s="158"/>
      <c r="C105" s="189" t="s">
        <v>91</v>
      </c>
      <c r="D105" s="189"/>
      <c r="E105" s="189"/>
      <c r="F105" s="82"/>
      <c r="I105" s="119"/>
    </row>
    <row r="106" spans="1:22" ht="15.75" customHeight="1">
      <c r="A106" s="79"/>
      <c r="B106" s="53"/>
      <c r="C106" s="160" t="s">
        <v>12</v>
      </c>
      <c r="D106" s="160"/>
      <c r="E106" s="160"/>
      <c r="F106" s="27"/>
      <c r="I106" s="117" t="s">
        <v>13</v>
      </c>
    </row>
    <row r="107" spans="1:22" ht="15.75" customHeight="1">
      <c r="A107" s="28"/>
      <c r="B107" s="53"/>
      <c r="C107" s="15"/>
      <c r="D107" s="15"/>
      <c r="G107" s="15"/>
      <c r="H107" s="15"/>
    </row>
    <row r="108" spans="1:22" ht="15.75" customHeight="1">
      <c r="A108" s="158" t="s">
        <v>14</v>
      </c>
      <c r="B108" s="158"/>
      <c r="C108" s="172"/>
      <c r="D108" s="172"/>
      <c r="E108" s="172"/>
      <c r="F108" s="83"/>
      <c r="I108" s="119"/>
    </row>
    <row r="109" spans="1:22" ht="15.75" customHeight="1">
      <c r="A109" s="115"/>
      <c r="C109" s="157" t="s">
        <v>12</v>
      </c>
      <c r="D109" s="157"/>
      <c r="E109" s="157"/>
      <c r="F109" s="115"/>
      <c r="I109" s="117" t="s">
        <v>13</v>
      </c>
    </row>
    <row r="110" spans="1:22" ht="15.75" customHeight="1">
      <c r="A110" s="5" t="s">
        <v>15</v>
      </c>
    </row>
    <row r="111" spans="1:22">
      <c r="A111" s="173" t="s">
        <v>16</v>
      </c>
      <c r="B111" s="173"/>
      <c r="C111" s="173"/>
      <c r="D111" s="173"/>
      <c r="E111" s="173"/>
      <c r="F111" s="173"/>
      <c r="G111" s="173"/>
      <c r="H111" s="173"/>
      <c r="I111" s="173"/>
    </row>
    <row r="112" spans="1:22" ht="45" customHeight="1">
      <c r="A112" s="171" t="s">
        <v>17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30" customHeight="1">
      <c r="A113" s="171" t="s">
        <v>18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30" customHeight="1">
      <c r="A114" s="171" t="s">
        <v>22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15" customHeight="1">
      <c r="A115" s="171" t="s">
        <v>21</v>
      </c>
      <c r="B115" s="171"/>
      <c r="C115" s="171"/>
      <c r="D115" s="171"/>
      <c r="E115" s="171"/>
      <c r="F115" s="171"/>
      <c r="G115" s="171"/>
      <c r="H115" s="171"/>
      <c r="I115" s="171"/>
    </row>
  </sheetData>
  <autoFilter ref="I15:I98"/>
  <mergeCells count="31">
    <mergeCell ref="A14:I14"/>
    <mergeCell ref="A3:I3"/>
    <mergeCell ref="A4:I4"/>
    <mergeCell ref="A5:I5"/>
    <mergeCell ref="A8:I8"/>
    <mergeCell ref="A10:I10"/>
    <mergeCell ref="A100:I100"/>
    <mergeCell ref="A101:I101"/>
    <mergeCell ref="A15:I15"/>
    <mergeCell ref="A28:I28"/>
    <mergeCell ref="A44:I44"/>
    <mergeCell ref="A55:I55"/>
    <mergeCell ref="A81:I81"/>
    <mergeCell ref="A85:I85"/>
    <mergeCell ref="A95:I95"/>
    <mergeCell ref="B96:G96"/>
    <mergeCell ref="B97:G97"/>
    <mergeCell ref="A99:I99"/>
    <mergeCell ref="R102:U102"/>
    <mergeCell ref="A103:I103"/>
    <mergeCell ref="A105:B105"/>
    <mergeCell ref="C105:E105"/>
    <mergeCell ref="A114:I114"/>
    <mergeCell ref="C106:E106"/>
    <mergeCell ref="A115:I115"/>
    <mergeCell ref="A108:B108"/>
    <mergeCell ref="C108:E108"/>
    <mergeCell ref="C109:E109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180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217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18"/>
      <c r="C6" s="118"/>
      <c r="D6" s="118"/>
      <c r="E6" s="118"/>
      <c r="F6" s="118"/>
      <c r="G6" s="118"/>
      <c r="H6" s="118"/>
      <c r="I6" s="33">
        <v>42855</v>
      </c>
    </row>
    <row r="7" spans="1:15" ht="15.75">
      <c r="B7" s="116"/>
      <c r="C7" s="116"/>
      <c r="D7" s="116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1">SUM(E22/100)</f>
        <v>3.57</v>
      </c>
      <c r="G22" s="91">
        <v>353.14</v>
      </c>
      <c r="H22" s="92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1"/>
        <v>0.38640000000000002</v>
      </c>
      <c r="G23" s="91">
        <v>58.08</v>
      </c>
      <c r="H23" s="92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1"/>
        <v>0.15</v>
      </c>
      <c r="G24" s="91">
        <v>511.12</v>
      </c>
      <c r="H24" s="92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1"/>
        <v>6.3799999999999996E-2</v>
      </c>
      <c r="G25" s="91">
        <v>683.05</v>
      </c>
      <c r="H25" s="92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86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2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86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2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hidden="1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hidden="1" customHeight="1">
      <c r="A30" s="138"/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3">SUM(F30*G30/1000)</f>
        <v>1.6222722879999998</v>
      </c>
      <c r="I30" s="134">
        <v>0</v>
      </c>
      <c r="J30" s="25"/>
      <c r="K30" s="10"/>
      <c r="L30" s="10"/>
      <c r="M30" s="10"/>
    </row>
    <row r="31" spans="1:13" ht="31.5" hidden="1" customHeight="1">
      <c r="A31" s="30"/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86"/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86"/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4">SUM(F37*G37/1000)</f>
        <v>6.0090000000000003</v>
      </c>
      <c r="I37" s="134">
        <f t="shared" ref="I37:I43" si="5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5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5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4"/>
        <v>4.1427101100000003</v>
      </c>
      <c r="I40" s="16">
        <f t="shared" si="5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4"/>
        <v>0.65333449999999993</v>
      </c>
      <c r="I42" s="16">
        <f>F42/2*G42</f>
        <v>326.66724999999997</v>
      </c>
      <c r="J42" s="25"/>
      <c r="K42" s="10"/>
      <c r="L42" s="10"/>
      <c r="M42" s="10"/>
    </row>
    <row r="43" spans="1:13" ht="15.75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4"/>
        <v>0.389932</v>
      </c>
      <c r="I43" s="16">
        <f t="shared" si="5"/>
        <v>64.988666666666674</v>
      </c>
      <c r="J43" s="25"/>
      <c r="K43" s="10"/>
    </row>
    <row r="44" spans="1:13" ht="15.75" hidden="1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/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15.75" hidden="1" customHeight="1">
      <c r="A46" s="85"/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6"/>
        <v>4.5114615755999994</v>
      </c>
      <c r="I46" s="16">
        <f t="shared" si="7"/>
        <v>2255.7307877999997</v>
      </c>
      <c r="J46" s="26"/>
    </row>
    <row r="47" spans="1:13" ht="15.75" hidden="1" customHeight="1">
      <c r="A47" s="84"/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6"/>
        <v>3.2221747648000005</v>
      </c>
      <c r="I47" s="16">
        <f t="shared" si="7"/>
        <v>1611.0873824000003</v>
      </c>
      <c r="J47" s="26"/>
    </row>
    <row r="48" spans="1:13" ht="15.75" hidden="1" customHeight="1">
      <c r="A48" s="30"/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6"/>
        <v>0.16393723199999999</v>
      </c>
      <c r="I48" s="16">
        <f>F48/2*G48</f>
        <v>81.968615999999997</v>
      </c>
      <c r="J48" s="26"/>
    </row>
    <row r="49" spans="1:14" ht="15.75" hidden="1" customHeight="1">
      <c r="A49" s="30"/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64">
        <v>13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5.75" hidden="1" customHeight="1">
      <c r="A52" s="64">
        <v>14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15.75" hidden="1" customHeight="1">
      <c r="A53" s="64"/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64">
        <v>14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90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9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13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0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customHeight="1">
      <c r="A63" s="64">
        <v>14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1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1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/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1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64"/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1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64"/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1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64"/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1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64"/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2">E69</f>
        <v>9.6</v>
      </c>
      <c r="G69" s="16">
        <v>46.04</v>
      </c>
      <c r="H69" s="104">
        <f t="shared" si="11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2"/>
        <v>3</v>
      </c>
      <c r="G70" s="16">
        <v>65.42</v>
      </c>
      <c r="H70" s="104">
        <f t="shared" si="11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64">
        <v>15</v>
      </c>
      <c r="B71" s="17" t="s">
        <v>209</v>
      </c>
      <c r="C71" s="30" t="s">
        <v>210</v>
      </c>
      <c r="D71" s="98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1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3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4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3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5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22" ht="15.75" customHeight="1">
      <c r="A81" s="174" t="s">
        <v>181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22" ht="15.75" customHeight="1">
      <c r="A82" s="64">
        <v>16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64">
        <v>17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I16+I17+I18+I26+I27+I37+I38+I40+I41+I42+I43+I57+I61+I63+I71+I82+I83</f>
        <v>45536.754461666664</v>
      </c>
      <c r="J84" s="26"/>
      <c r="L84" s="22"/>
      <c r="M84" s="23"/>
      <c r="N84" s="24"/>
    </row>
    <row r="85" spans="1:22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22" ht="15.75" customHeight="1">
      <c r="A86" s="30"/>
      <c r="B86" s="50" t="s">
        <v>50</v>
      </c>
      <c r="C86" s="46"/>
      <c r="D86" s="57"/>
      <c r="E86" s="46">
        <v>1</v>
      </c>
      <c r="F86" s="46"/>
      <c r="G86" s="34"/>
      <c r="H86" s="46"/>
      <c r="I86" s="34">
        <f>SUM(A85)</f>
        <v>0</v>
      </c>
      <c r="J86" s="26"/>
      <c r="L86" s="22"/>
      <c r="M86" s="23"/>
      <c r="N86" s="24"/>
    </row>
    <row r="87" spans="1:22" ht="15.75" customHeight="1">
      <c r="A87" s="30"/>
      <c r="B87" s="52" t="s">
        <v>76</v>
      </c>
      <c r="C87" s="18"/>
      <c r="D87" s="18"/>
      <c r="E87" s="47"/>
      <c r="F87" s="48"/>
      <c r="G87" s="20"/>
      <c r="H87" s="87"/>
      <c r="I87" s="21">
        <v>0</v>
      </c>
      <c r="J87" s="26"/>
      <c r="L87" s="22"/>
      <c r="M87" s="23"/>
      <c r="N87" s="24"/>
    </row>
    <row r="88" spans="1:22" ht="15.75" customHeight="1">
      <c r="A88" s="88"/>
      <c r="B88" s="51" t="s">
        <v>194</v>
      </c>
      <c r="C88" s="37"/>
      <c r="D88" s="37"/>
      <c r="E88" s="37"/>
      <c r="F88" s="37"/>
      <c r="G88" s="49"/>
      <c r="H88" s="38"/>
      <c r="I88" s="34">
        <f>I84+I86</f>
        <v>45536.754461666664</v>
      </c>
      <c r="J88" s="26"/>
      <c r="L88" s="22"/>
      <c r="M88" s="23"/>
      <c r="N88" s="24"/>
    </row>
    <row r="89" spans="1:22" ht="15.75" customHeight="1">
      <c r="A89" s="158" t="s">
        <v>276</v>
      </c>
      <c r="B89" s="158"/>
      <c r="C89" s="158"/>
      <c r="D89" s="158"/>
      <c r="E89" s="158"/>
      <c r="F89" s="158"/>
      <c r="G89" s="158"/>
      <c r="H89" s="158"/>
      <c r="I89" s="158"/>
      <c r="J89" s="26"/>
      <c r="L89" s="22"/>
      <c r="M89" s="23"/>
      <c r="N89" s="24"/>
    </row>
    <row r="90" spans="1:22" ht="15.75" customHeight="1">
      <c r="A90" s="12"/>
      <c r="B90" s="179" t="s">
        <v>277</v>
      </c>
      <c r="C90" s="179"/>
      <c r="D90" s="179"/>
      <c r="E90" s="179"/>
      <c r="F90" s="179"/>
      <c r="G90" s="179"/>
      <c r="H90" s="120"/>
      <c r="I90" s="4"/>
      <c r="J90" s="26"/>
      <c r="L90" s="22"/>
    </row>
    <row r="91" spans="1:22" ht="15.75" customHeight="1">
      <c r="A91" s="79"/>
      <c r="B91" s="160" t="s">
        <v>6</v>
      </c>
      <c r="C91" s="160"/>
      <c r="D91" s="160"/>
      <c r="E91" s="160"/>
      <c r="F91" s="160"/>
      <c r="G91" s="160"/>
      <c r="H91" s="27"/>
      <c r="I91" s="54"/>
    </row>
    <row r="92" spans="1:22" ht="15.75" customHeight="1">
      <c r="A92" s="55"/>
      <c r="B92" s="55"/>
      <c r="C92" s="55"/>
      <c r="D92" s="55"/>
      <c r="E92" s="55"/>
      <c r="F92" s="55"/>
      <c r="G92" s="55"/>
      <c r="H92" s="55"/>
      <c r="I92" s="55"/>
    </row>
    <row r="93" spans="1:22" ht="15.75" customHeight="1">
      <c r="A93" s="180" t="s">
        <v>7</v>
      </c>
      <c r="B93" s="180"/>
      <c r="C93" s="180"/>
      <c r="D93" s="180"/>
      <c r="E93" s="180"/>
      <c r="F93" s="180"/>
      <c r="G93" s="180"/>
      <c r="H93" s="180"/>
      <c r="I93" s="180"/>
    </row>
    <row r="94" spans="1:22" ht="15.75" customHeight="1">
      <c r="A94" s="180" t="s">
        <v>8</v>
      </c>
      <c r="B94" s="180"/>
      <c r="C94" s="180"/>
      <c r="D94" s="180"/>
      <c r="E94" s="180"/>
      <c r="F94" s="180"/>
      <c r="G94" s="180"/>
      <c r="H94" s="180"/>
      <c r="I94" s="18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58" t="s">
        <v>9</v>
      </c>
      <c r="B95" s="158"/>
      <c r="C95" s="158"/>
      <c r="D95" s="158"/>
      <c r="E95" s="158"/>
      <c r="F95" s="158"/>
      <c r="G95" s="158"/>
      <c r="H95" s="158"/>
      <c r="I95" s="158"/>
      <c r="J95" s="28"/>
      <c r="K95" s="28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 customHeight="1">
      <c r="A96" s="14"/>
      <c r="B96" s="53"/>
      <c r="C96" s="53"/>
      <c r="D96" s="53"/>
      <c r="E96" s="53"/>
      <c r="F96" s="53"/>
      <c r="G96" s="53"/>
      <c r="H96" s="53"/>
      <c r="I96" s="53"/>
      <c r="J96" s="6"/>
      <c r="K96" s="6"/>
      <c r="L96" s="6"/>
      <c r="M96" s="6"/>
      <c r="N96" s="6"/>
      <c r="O96" s="6"/>
      <c r="P96" s="6"/>
      <c r="Q96" s="6"/>
      <c r="R96" s="157"/>
      <c r="S96" s="157"/>
      <c r="T96" s="157"/>
      <c r="U96" s="157"/>
    </row>
    <row r="97" spans="1:21" ht="15.75" customHeight="1">
      <c r="A97" s="181" t="s">
        <v>10</v>
      </c>
      <c r="B97" s="181"/>
      <c r="C97" s="181"/>
      <c r="D97" s="181"/>
      <c r="E97" s="181"/>
      <c r="F97" s="181"/>
      <c r="G97" s="181"/>
      <c r="H97" s="181"/>
      <c r="I97" s="181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ht="15.75" customHeight="1">
      <c r="A98" s="5"/>
      <c r="B98" s="53"/>
      <c r="C98" s="53"/>
      <c r="D98" s="53"/>
      <c r="E98" s="53"/>
      <c r="F98" s="53"/>
      <c r="G98" s="53"/>
      <c r="H98" s="53"/>
      <c r="I98" s="53"/>
    </row>
    <row r="99" spans="1:21" ht="15.75" customHeight="1">
      <c r="A99" s="158" t="s">
        <v>11</v>
      </c>
      <c r="B99" s="158"/>
      <c r="C99" s="189" t="s">
        <v>91</v>
      </c>
      <c r="D99" s="189"/>
      <c r="E99" s="189"/>
      <c r="F99" s="82"/>
      <c r="I99" s="119"/>
    </row>
    <row r="100" spans="1:21" ht="15.75" customHeight="1">
      <c r="A100" s="79"/>
      <c r="B100" s="53"/>
      <c r="C100" s="160" t="s">
        <v>12</v>
      </c>
      <c r="D100" s="160"/>
      <c r="E100" s="160"/>
      <c r="F100" s="27"/>
      <c r="I100" s="117" t="s">
        <v>13</v>
      </c>
    </row>
    <row r="101" spans="1:21" ht="15.75" customHeight="1">
      <c r="A101" s="28"/>
      <c r="B101" s="53"/>
      <c r="C101" s="15"/>
      <c r="D101" s="15"/>
      <c r="G101" s="15"/>
      <c r="H101" s="15"/>
    </row>
    <row r="102" spans="1:21" ht="15.75" customHeight="1">
      <c r="A102" s="158" t="s">
        <v>14</v>
      </c>
      <c r="B102" s="158"/>
      <c r="C102" s="172"/>
      <c r="D102" s="172"/>
      <c r="E102" s="172"/>
      <c r="F102" s="83"/>
      <c r="I102" s="119"/>
    </row>
    <row r="103" spans="1:21" ht="15.75" customHeight="1">
      <c r="A103" s="115"/>
      <c r="C103" s="157" t="s">
        <v>12</v>
      </c>
      <c r="D103" s="157"/>
      <c r="E103" s="157"/>
      <c r="F103" s="115"/>
      <c r="I103" s="117" t="s">
        <v>13</v>
      </c>
    </row>
    <row r="104" spans="1:21" ht="15.75" customHeight="1">
      <c r="A104" s="5" t="s">
        <v>15</v>
      </c>
    </row>
    <row r="105" spans="1:21">
      <c r="A105" s="173" t="s">
        <v>16</v>
      </c>
      <c r="B105" s="173"/>
      <c r="C105" s="173"/>
      <c r="D105" s="173"/>
      <c r="E105" s="173"/>
      <c r="F105" s="173"/>
      <c r="G105" s="173"/>
      <c r="H105" s="173"/>
      <c r="I105" s="173"/>
    </row>
    <row r="106" spans="1:21" ht="45" customHeight="1">
      <c r="A106" s="171" t="s">
        <v>17</v>
      </c>
      <c r="B106" s="171"/>
      <c r="C106" s="171"/>
      <c r="D106" s="171"/>
      <c r="E106" s="171"/>
      <c r="F106" s="171"/>
      <c r="G106" s="171"/>
      <c r="H106" s="171"/>
      <c r="I106" s="171"/>
    </row>
    <row r="107" spans="1:21" ht="30" customHeight="1">
      <c r="A107" s="171" t="s">
        <v>18</v>
      </c>
      <c r="B107" s="171"/>
      <c r="C107" s="171"/>
      <c r="D107" s="171"/>
      <c r="E107" s="171"/>
      <c r="F107" s="171"/>
      <c r="G107" s="171"/>
      <c r="H107" s="171"/>
      <c r="I107" s="171"/>
    </row>
    <row r="108" spans="1:21" ht="30" customHeight="1">
      <c r="A108" s="171" t="s">
        <v>22</v>
      </c>
      <c r="B108" s="171"/>
      <c r="C108" s="171"/>
      <c r="D108" s="171"/>
      <c r="E108" s="171"/>
      <c r="F108" s="171"/>
      <c r="G108" s="171"/>
      <c r="H108" s="171"/>
      <c r="I108" s="171"/>
    </row>
    <row r="109" spans="1:21" ht="15" customHeight="1">
      <c r="A109" s="171" t="s">
        <v>21</v>
      </c>
      <c r="B109" s="171"/>
      <c r="C109" s="171"/>
      <c r="D109" s="171"/>
      <c r="E109" s="171"/>
      <c r="F109" s="171"/>
      <c r="G109" s="171"/>
      <c r="H109" s="171"/>
      <c r="I109" s="171"/>
    </row>
  </sheetData>
  <autoFilter ref="I15:I92"/>
  <mergeCells count="31">
    <mergeCell ref="A14:I14"/>
    <mergeCell ref="A3:I3"/>
    <mergeCell ref="A4:I4"/>
    <mergeCell ref="A5:I5"/>
    <mergeCell ref="A8:I8"/>
    <mergeCell ref="A10:I10"/>
    <mergeCell ref="A95:I95"/>
    <mergeCell ref="A15:I15"/>
    <mergeCell ref="A28:I28"/>
    <mergeCell ref="A44:I44"/>
    <mergeCell ref="A55:I55"/>
    <mergeCell ref="A81:I81"/>
    <mergeCell ref="A85:I85"/>
    <mergeCell ref="A89:I89"/>
    <mergeCell ref="B90:G90"/>
    <mergeCell ref="B91:G91"/>
    <mergeCell ref="A93:I93"/>
    <mergeCell ref="A94:I94"/>
    <mergeCell ref="A109:I109"/>
    <mergeCell ref="R96:U96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218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219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18"/>
      <c r="C6" s="118"/>
      <c r="D6" s="118"/>
      <c r="E6" s="118"/>
      <c r="F6" s="118"/>
      <c r="G6" s="118"/>
      <c r="H6" s="118"/>
      <c r="I6" s="33">
        <v>42886</v>
      </c>
    </row>
    <row r="7" spans="1:15" ht="15.75">
      <c r="B7" s="116"/>
      <c r="C7" s="116"/>
      <c r="D7" s="116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11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12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customHeight="1">
      <c r="A30" s="153">
        <v>13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14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customHeight="1">
      <c r="A33" s="86">
        <v>16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hidden="1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customHeight="1">
      <c r="A45" s="30">
        <v>17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customHeight="1">
      <c r="A46" s="30">
        <v>18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customHeight="1">
      <c r="A47" s="64">
        <v>19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customHeight="1">
      <c r="A48" s="30">
        <v>20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customHeight="1">
      <c r="A49" s="30">
        <v>21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64">
        <v>13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64">
        <v>14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customHeight="1">
      <c r="A53" s="64">
        <v>22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customHeight="1">
      <c r="A54" s="64">
        <v>23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175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hidden="1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hidden="1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24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>
        <v>14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64">
        <v>30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74" t="s">
        <v>176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31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64">
        <v>32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I16+I17+I18+I19+I20+I21+I22+I23+I24+I25+I26+I27+I30+I31+I32+I33+I45+I46+I47+I48+I49+I53+I54+I61+I65+I66+I67+I68+I69+I71+I82+I83</f>
        <v>165458.88648231112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15.75" customHeight="1">
      <c r="A86" s="64">
        <v>33</v>
      </c>
      <c r="B86" s="71" t="s">
        <v>197</v>
      </c>
      <c r="C86" s="72" t="s">
        <v>95</v>
      </c>
      <c r="D86" s="41"/>
      <c r="E86" s="20"/>
      <c r="F86" s="39">
        <f>16/3</f>
        <v>5.333333333333333</v>
      </c>
      <c r="G86" s="39">
        <v>1120.8900000000001</v>
      </c>
      <c r="H86" s="143">
        <f>G86*F86/1000</f>
        <v>5.9780800000000003</v>
      </c>
      <c r="I86" s="155">
        <f>G86</f>
        <v>1120.8900000000001</v>
      </c>
      <c r="J86" s="26"/>
      <c r="L86" s="22"/>
      <c r="M86" s="23"/>
      <c r="N86" s="24"/>
    </row>
    <row r="87" spans="1:14" ht="31.5" customHeight="1">
      <c r="A87" s="64">
        <v>34</v>
      </c>
      <c r="B87" s="58" t="s">
        <v>231</v>
      </c>
      <c r="C87" s="73" t="s">
        <v>157</v>
      </c>
      <c r="D87" s="52"/>
      <c r="E87" s="16"/>
      <c r="F87" s="16">
        <v>1</v>
      </c>
      <c r="G87" s="39">
        <v>727.73</v>
      </c>
      <c r="H87" s="104">
        <f t="shared" ref="H87:H92" si="20">G87*F87/1000</f>
        <v>0.72772999999999999</v>
      </c>
      <c r="I87" s="155">
        <f>G87</f>
        <v>727.73</v>
      </c>
      <c r="J87" s="26"/>
      <c r="L87" s="22"/>
      <c r="M87" s="23"/>
      <c r="N87" s="24"/>
    </row>
    <row r="88" spans="1:14" ht="31.5" customHeight="1">
      <c r="A88" s="64">
        <v>35</v>
      </c>
      <c r="B88" s="58" t="s">
        <v>232</v>
      </c>
      <c r="C88" s="73" t="s">
        <v>157</v>
      </c>
      <c r="D88" s="52"/>
      <c r="E88" s="16"/>
      <c r="F88" s="16">
        <v>8</v>
      </c>
      <c r="G88" s="39">
        <v>1046.06</v>
      </c>
      <c r="H88" s="104">
        <f t="shared" si="20"/>
        <v>8.3684799999999999</v>
      </c>
      <c r="I88" s="155">
        <f>G88*8</f>
        <v>8368.48</v>
      </c>
      <c r="J88" s="26"/>
      <c r="L88" s="22"/>
      <c r="M88" s="23"/>
      <c r="N88" s="24"/>
    </row>
    <row r="89" spans="1:14" ht="15.75" customHeight="1">
      <c r="A89" s="64">
        <v>36</v>
      </c>
      <c r="B89" s="109" t="s">
        <v>220</v>
      </c>
      <c r="C89" s="30" t="s">
        <v>96</v>
      </c>
      <c r="D89" s="17"/>
      <c r="E89" s="21"/>
      <c r="F89" s="16">
        <v>2</v>
      </c>
      <c r="G89" s="16">
        <v>45</v>
      </c>
      <c r="H89" s="104">
        <f t="shared" si="20"/>
        <v>0.09</v>
      </c>
      <c r="I89" s="155">
        <f>G89*2</f>
        <v>90</v>
      </c>
      <c r="J89" s="26"/>
      <c r="L89" s="22"/>
      <c r="M89" s="23"/>
      <c r="N89" s="24"/>
    </row>
    <row r="90" spans="1:14" ht="15.75" customHeight="1">
      <c r="A90" s="64">
        <v>37</v>
      </c>
      <c r="B90" s="58" t="s">
        <v>233</v>
      </c>
      <c r="C90" s="73" t="s">
        <v>96</v>
      </c>
      <c r="D90" s="52"/>
      <c r="E90" s="16"/>
      <c r="F90" s="16">
        <v>2</v>
      </c>
      <c r="G90" s="16">
        <v>22</v>
      </c>
      <c r="H90" s="104">
        <f t="shared" si="20"/>
        <v>4.3999999999999997E-2</v>
      </c>
      <c r="I90" s="155">
        <f t="shared" ref="I90:I91" si="21">G90*2</f>
        <v>44</v>
      </c>
      <c r="J90" s="26"/>
      <c r="L90" s="22"/>
      <c r="M90" s="23"/>
      <c r="N90" s="24"/>
    </row>
    <row r="91" spans="1:14" ht="15.75" customHeight="1">
      <c r="A91" s="64">
        <v>38</v>
      </c>
      <c r="B91" s="58" t="s">
        <v>221</v>
      </c>
      <c r="C91" s="73" t="s">
        <v>96</v>
      </c>
      <c r="D91" s="52"/>
      <c r="E91" s="16"/>
      <c r="F91" s="16">
        <v>2</v>
      </c>
      <c r="G91" s="16">
        <v>204</v>
      </c>
      <c r="H91" s="104">
        <f t="shared" si="20"/>
        <v>0.40799999999999997</v>
      </c>
      <c r="I91" s="155">
        <f t="shared" si="21"/>
        <v>408</v>
      </c>
      <c r="J91" s="26"/>
      <c r="L91" s="22"/>
      <c r="M91" s="23"/>
      <c r="N91" s="24"/>
    </row>
    <row r="92" spans="1:14" ht="15.75" customHeight="1">
      <c r="A92" s="64">
        <v>39</v>
      </c>
      <c r="B92" s="58" t="s">
        <v>222</v>
      </c>
      <c r="C92" s="73" t="s">
        <v>96</v>
      </c>
      <c r="D92" s="52"/>
      <c r="E92" s="16"/>
      <c r="F92" s="16">
        <v>3</v>
      </c>
      <c r="G92" s="16">
        <v>244</v>
      </c>
      <c r="H92" s="104">
        <f t="shared" si="20"/>
        <v>0.73199999999999998</v>
      </c>
      <c r="I92" s="155">
        <f>G92*3</f>
        <v>732</v>
      </c>
      <c r="J92" s="26"/>
      <c r="L92" s="22"/>
      <c r="M92" s="23"/>
      <c r="N92" s="24"/>
    </row>
    <row r="93" spans="1:14" ht="15.75" customHeight="1">
      <c r="A93" s="64">
        <v>40</v>
      </c>
      <c r="B93" s="58" t="s">
        <v>223</v>
      </c>
      <c r="C93" s="73" t="s">
        <v>96</v>
      </c>
      <c r="D93" s="52"/>
      <c r="E93" s="16"/>
      <c r="F93" s="16">
        <v>6</v>
      </c>
      <c r="G93" s="16">
        <v>112</v>
      </c>
      <c r="H93" s="104">
        <f>G93*F93/1000</f>
        <v>0.67200000000000004</v>
      </c>
      <c r="I93" s="155">
        <f>G93*6</f>
        <v>672</v>
      </c>
      <c r="J93" s="26"/>
      <c r="L93" s="22"/>
      <c r="M93" s="23"/>
      <c r="N93" s="24"/>
    </row>
    <row r="94" spans="1:14" ht="15.75" customHeight="1">
      <c r="A94" s="64">
        <v>41</v>
      </c>
      <c r="B94" s="58" t="s">
        <v>224</v>
      </c>
      <c r="C94" s="73" t="s">
        <v>96</v>
      </c>
      <c r="D94" s="52"/>
      <c r="E94" s="16"/>
      <c r="F94" s="16">
        <v>1</v>
      </c>
      <c r="G94" s="16">
        <v>140</v>
      </c>
      <c r="H94" s="104">
        <f t="shared" ref="H94:H96" si="22">G94*F94/1000</f>
        <v>0.14000000000000001</v>
      </c>
      <c r="I94" s="155">
        <f>G94</f>
        <v>140</v>
      </c>
      <c r="J94" s="26"/>
      <c r="L94" s="22"/>
      <c r="M94" s="23"/>
      <c r="N94" s="24"/>
    </row>
    <row r="95" spans="1:14" ht="15.75" customHeight="1">
      <c r="A95" s="64">
        <v>42</v>
      </c>
      <c r="B95" s="109" t="s">
        <v>225</v>
      </c>
      <c r="C95" s="30" t="s">
        <v>96</v>
      </c>
      <c r="D95" s="17"/>
      <c r="E95" s="21"/>
      <c r="F95" s="16">
        <v>3</v>
      </c>
      <c r="G95" s="16">
        <v>108</v>
      </c>
      <c r="H95" s="104">
        <f t="shared" si="22"/>
        <v>0.32400000000000001</v>
      </c>
      <c r="I95" s="155">
        <f>G95*3</f>
        <v>324</v>
      </c>
      <c r="J95" s="26"/>
      <c r="L95" s="22"/>
      <c r="M95" s="23"/>
      <c r="N95" s="24"/>
    </row>
    <row r="96" spans="1:14" ht="15.75" customHeight="1">
      <c r="A96" s="64">
        <v>43</v>
      </c>
      <c r="B96" s="58" t="s">
        <v>226</v>
      </c>
      <c r="C96" s="73" t="s">
        <v>96</v>
      </c>
      <c r="D96" s="52"/>
      <c r="E96" s="16"/>
      <c r="F96" s="16">
        <v>1</v>
      </c>
      <c r="G96" s="16">
        <v>61</v>
      </c>
      <c r="H96" s="104">
        <f t="shared" si="22"/>
        <v>6.0999999999999999E-2</v>
      </c>
      <c r="I96" s="155">
        <f>G96</f>
        <v>61</v>
      </c>
      <c r="J96" s="26"/>
      <c r="L96" s="22"/>
      <c r="M96" s="23"/>
      <c r="N96" s="24"/>
    </row>
    <row r="97" spans="1:22" ht="15.75" customHeight="1">
      <c r="A97" s="64">
        <v>44</v>
      </c>
      <c r="B97" s="58" t="s">
        <v>227</v>
      </c>
      <c r="C97" s="107" t="s">
        <v>228</v>
      </c>
      <c r="D97" s="52"/>
      <c r="E97" s="16"/>
      <c r="F97" s="16">
        <v>2</v>
      </c>
      <c r="G97" s="16">
        <v>294.45</v>
      </c>
      <c r="H97" s="104">
        <f>G97*F97/1000</f>
        <v>0.58889999999999998</v>
      </c>
      <c r="I97" s="155">
        <f>G97*2</f>
        <v>588.9</v>
      </c>
      <c r="J97" s="26"/>
      <c r="L97" s="22"/>
      <c r="M97" s="23"/>
      <c r="N97" s="24"/>
    </row>
    <row r="98" spans="1:22" ht="15.75" customHeight="1">
      <c r="A98" s="64">
        <v>45</v>
      </c>
      <c r="B98" s="58" t="s">
        <v>229</v>
      </c>
      <c r="C98" s="73" t="s">
        <v>96</v>
      </c>
      <c r="D98" s="17"/>
      <c r="E98" s="21"/>
      <c r="F98" s="16">
        <v>5</v>
      </c>
      <c r="G98" s="16">
        <v>189.88</v>
      </c>
      <c r="H98" s="104">
        <f t="shared" ref="H98:H99" si="23">G98*F98/1000</f>
        <v>0.94940000000000002</v>
      </c>
      <c r="I98" s="155">
        <f>G98*5</f>
        <v>949.4</v>
      </c>
      <c r="J98" s="26"/>
      <c r="L98" s="22"/>
      <c r="M98" s="23"/>
      <c r="N98" s="24"/>
    </row>
    <row r="99" spans="1:22" ht="31.5" customHeight="1">
      <c r="A99" s="64">
        <v>46</v>
      </c>
      <c r="B99" s="58" t="s">
        <v>230</v>
      </c>
      <c r="C99" s="73" t="s">
        <v>121</v>
      </c>
      <c r="D99" s="17"/>
      <c r="E99" s="21"/>
      <c r="F99" s="16">
        <v>1</v>
      </c>
      <c r="G99" s="16">
        <v>43831</v>
      </c>
      <c r="H99" s="104">
        <f t="shared" si="23"/>
        <v>43.831000000000003</v>
      </c>
      <c r="I99" s="155">
        <f>G99</f>
        <v>43831</v>
      </c>
      <c r="J99" s="26"/>
      <c r="L99" s="22"/>
      <c r="M99" s="23"/>
      <c r="N99" s="24"/>
    </row>
    <row r="100" spans="1:22" ht="15.75" customHeight="1">
      <c r="A100" s="30"/>
      <c r="B100" s="50" t="s">
        <v>50</v>
      </c>
      <c r="C100" s="46"/>
      <c r="D100" s="57"/>
      <c r="E100" s="46">
        <v>1</v>
      </c>
      <c r="F100" s="46"/>
      <c r="G100" s="34"/>
      <c r="H100" s="46"/>
      <c r="I100" s="34">
        <f>SUM(I86:I99)</f>
        <v>58057.4</v>
      </c>
      <c r="J100" s="26"/>
      <c r="L100" s="22"/>
      <c r="M100" s="23"/>
      <c r="N100" s="24"/>
    </row>
    <row r="101" spans="1:22" ht="15.75" customHeight="1">
      <c r="A101" s="30"/>
      <c r="B101" s="52" t="s">
        <v>76</v>
      </c>
      <c r="C101" s="18"/>
      <c r="D101" s="18"/>
      <c r="E101" s="47"/>
      <c r="F101" s="48"/>
      <c r="G101" s="20"/>
      <c r="H101" s="87"/>
      <c r="I101" s="21">
        <v>0</v>
      </c>
      <c r="J101" s="26"/>
      <c r="L101" s="22"/>
      <c r="M101" s="23"/>
      <c r="N101" s="24"/>
    </row>
    <row r="102" spans="1:22" ht="15.75" customHeight="1">
      <c r="A102" s="88"/>
      <c r="B102" s="51" t="s">
        <v>194</v>
      </c>
      <c r="C102" s="37"/>
      <c r="D102" s="37"/>
      <c r="E102" s="37"/>
      <c r="F102" s="37"/>
      <c r="G102" s="49"/>
      <c r="H102" s="38"/>
      <c r="I102" s="34">
        <f>I84+I100</f>
        <v>223516.28648231112</v>
      </c>
      <c r="J102" s="26"/>
      <c r="L102" s="22"/>
      <c r="M102" s="23"/>
      <c r="N102" s="24"/>
    </row>
    <row r="103" spans="1:22" ht="15.75" customHeight="1">
      <c r="A103" s="158" t="s">
        <v>278</v>
      </c>
      <c r="B103" s="158"/>
      <c r="C103" s="158"/>
      <c r="D103" s="158"/>
      <c r="E103" s="158"/>
      <c r="F103" s="158"/>
      <c r="G103" s="158"/>
      <c r="H103" s="158"/>
      <c r="I103" s="158"/>
      <c r="J103" s="26"/>
      <c r="L103" s="22"/>
      <c r="M103" s="23"/>
      <c r="N103" s="24"/>
    </row>
    <row r="104" spans="1:22" ht="15.75" customHeight="1">
      <c r="A104" s="12"/>
      <c r="B104" s="179" t="s">
        <v>279</v>
      </c>
      <c r="C104" s="179"/>
      <c r="D104" s="179"/>
      <c r="E104" s="179"/>
      <c r="F104" s="179"/>
      <c r="G104" s="179"/>
      <c r="H104" s="120"/>
      <c r="I104" s="4"/>
      <c r="J104" s="26"/>
      <c r="L104" s="22"/>
    </row>
    <row r="105" spans="1:22" ht="15.75" customHeight="1">
      <c r="A105" s="79"/>
      <c r="B105" s="160" t="s">
        <v>6</v>
      </c>
      <c r="C105" s="160"/>
      <c r="D105" s="160"/>
      <c r="E105" s="160"/>
      <c r="F105" s="160"/>
      <c r="G105" s="160"/>
      <c r="H105" s="27"/>
      <c r="I105" s="54"/>
    </row>
    <row r="106" spans="1:22" ht="15.75" customHeight="1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22" ht="15.75" customHeight="1">
      <c r="A107" s="180" t="s">
        <v>7</v>
      </c>
      <c r="B107" s="180"/>
      <c r="C107" s="180"/>
      <c r="D107" s="180"/>
      <c r="E107" s="180"/>
      <c r="F107" s="180"/>
      <c r="G107" s="180"/>
      <c r="H107" s="180"/>
      <c r="I107" s="180"/>
    </row>
    <row r="108" spans="1:22" ht="15.75" customHeight="1">
      <c r="A108" s="180" t="s">
        <v>8</v>
      </c>
      <c r="B108" s="180"/>
      <c r="C108" s="180"/>
      <c r="D108" s="180"/>
      <c r="E108" s="180"/>
      <c r="F108" s="180"/>
      <c r="G108" s="180"/>
      <c r="H108" s="180"/>
      <c r="I108" s="180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11"/>
    </row>
    <row r="109" spans="1:22" ht="15.75" customHeight="1">
      <c r="A109" s="158" t="s">
        <v>9</v>
      </c>
      <c r="B109" s="158"/>
      <c r="C109" s="158"/>
      <c r="D109" s="158"/>
      <c r="E109" s="158"/>
      <c r="F109" s="158"/>
      <c r="G109" s="158"/>
      <c r="H109" s="158"/>
      <c r="I109" s="158"/>
      <c r="J109" s="28"/>
      <c r="K109" s="28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2" ht="15.75" customHeight="1">
      <c r="A110" s="14"/>
      <c r="B110" s="53"/>
      <c r="C110" s="53"/>
      <c r="D110" s="53"/>
      <c r="E110" s="53"/>
      <c r="F110" s="53"/>
      <c r="G110" s="53"/>
      <c r="H110" s="53"/>
      <c r="I110" s="53"/>
      <c r="J110" s="6"/>
      <c r="K110" s="6"/>
      <c r="L110" s="6"/>
      <c r="M110" s="6"/>
      <c r="N110" s="6"/>
      <c r="O110" s="6"/>
      <c r="P110" s="6"/>
      <c r="Q110" s="6"/>
      <c r="R110" s="157"/>
      <c r="S110" s="157"/>
      <c r="T110" s="157"/>
      <c r="U110" s="157"/>
    </row>
    <row r="111" spans="1:22" ht="15.75" customHeight="1">
      <c r="A111" s="181" t="s">
        <v>10</v>
      </c>
      <c r="B111" s="181"/>
      <c r="C111" s="181"/>
      <c r="D111" s="181"/>
      <c r="E111" s="181"/>
      <c r="F111" s="181"/>
      <c r="G111" s="181"/>
      <c r="H111" s="181"/>
      <c r="I111" s="181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1:22" ht="15.75" customHeight="1">
      <c r="A112" s="5"/>
      <c r="B112" s="53"/>
      <c r="C112" s="53"/>
      <c r="D112" s="53"/>
      <c r="E112" s="53"/>
      <c r="F112" s="53"/>
      <c r="G112" s="53"/>
      <c r="H112" s="53"/>
      <c r="I112" s="53"/>
    </row>
    <row r="113" spans="1:9" ht="15.75" customHeight="1">
      <c r="A113" s="158" t="s">
        <v>11</v>
      </c>
      <c r="B113" s="158"/>
      <c r="C113" s="189" t="s">
        <v>91</v>
      </c>
      <c r="D113" s="189"/>
      <c r="E113" s="189"/>
      <c r="F113" s="82"/>
      <c r="I113" s="119"/>
    </row>
    <row r="114" spans="1:9" ht="15.75" customHeight="1">
      <c r="A114" s="79"/>
      <c r="B114" s="53"/>
      <c r="C114" s="160" t="s">
        <v>12</v>
      </c>
      <c r="D114" s="160"/>
      <c r="E114" s="160"/>
      <c r="F114" s="27"/>
      <c r="I114" s="117" t="s">
        <v>13</v>
      </c>
    </row>
    <row r="115" spans="1:9" ht="15.75" customHeight="1">
      <c r="A115" s="28"/>
      <c r="B115" s="53"/>
      <c r="C115" s="15"/>
      <c r="D115" s="15"/>
      <c r="G115" s="15"/>
      <c r="H115" s="15"/>
    </row>
    <row r="116" spans="1:9" ht="15.75" customHeight="1">
      <c r="A116" s="158" t="s">
        <v>14</v>
      </c>
      <c r="B116" s="158"/>
      <c r="C116" s="172"/>
      <c r="D116" s="172"/>
      <c r="E116" s="172"/>
      <c r="F116" s="83"/>
      <c r="I116" s="119"/>
    </row>
    <row r="117" spans="1:9" ht="15.75" customHeight="1">
      <c r="A117" s="115"/>
      <c r="C117" s="157" t="s">
        <v>12</v>
      </c>
      <c r="D117" s="157"/>
      <c r="E117" s="157"/>
      <c r="F117" s="115"/>
      <c r="I117" s="117" t="s">
        <v>13</v>
      </c>
    </row>
    <row r="118" spans="1:9" ht="15.75" customHeight="1">
      <c r="A118" s="5" t="s">
        <v>15</v>
      </c>
    </row>
    <row r="119" spans="1:9">
      <c r="A119" s="173" t="s">
        <v>16</v>
      </c>
      <c r="B119" s="173"/>
      <c r="C119" s="173"/>
      <c r="D119" s="173"/>
      <c r="E119" s="173"/>
      <c r="F119" s="173"/>
      <c r="G119" s="173"/>
      <c r="H119" s="173"/>
      <c r="I119" s="173"/>
    </row>
    <row r="120" spans="1:9" ht="45" customHeight="1">
      <c r="A120" s="171" t="s">
        <v>17</v>
      </c>
      <c r="B120" s="171"/>
      <c r="C120" s="171"/>
      <c r="D120" s="171"/>
      <c r="E120" s="171"/>
      <c r="F120" s="171"/>
      <c r="G120" s="171"/>
      <c r="H120" s="171"/>
      <c r="I120" s="171"/>
    </row>
    <row r="121" spans="1:9" ht="30" customHeight="1">
      <c r="A121" s="171" t="s">
        <v>18</v>
      </c>
      <c r="B121" s="171"/>
      <c r="C121" s="171"/>
      <c r="D121" s="171"/>
      <c r="E121" s="171"/>
      <c r="F121" s="171"/>
      <c r="G121" s="171"/>
      <c r="H121" s="171"/>
      <c r="I121" s="171"/>
    </row>
    <row r="122" spans="1:9" ht="30" customHeight="1">
      <c r="A122" s="171" t="s">
        <v>22</v>
      </c>
      <c r="B122" s="171"/>
      <c r="C122" s="171"/>
      <c r="D122" s="171"/>
      <c r="E122" s="171"/>
      <c r="F122" s="171"/>
      <c r="G122" s="171"/>
      <c r="H122" s="171"/>
      <c r="I122" s="171"/>
    </row>
    <row r="123" spans="1:9" ht="15" customHeight="1">
      <c r="A123" s="171" t="s">
        <v>21</v>
      </c>
      <c r="B123" s="171"/>
      <c r="C123" s="171"/>
      <c r="D123" s="171"/>
      <c r="E123" s="171"/>
      <c r="F123" s="171"/>
      <c r="G123" s="171"/>
      <c r="H123" s="171"/>
      <c r="I123" s="171"/>
    </row>
  </sheetData>
  <autoFilter ref="I15:I106"/>
  <mergeCells count="31">
    <mergeCell ref="A14:I14"/>
    <mergeCell ref="A3:I3"/>
    <mergeCell ref="A4:I4"/>
    <mergeCell ref="A5:I5"/>
    <mergeCell ref="A8:I8"/>
    <mergeCell ref="A10:I10"/>
    <mergeCell ref="A109:I109"/>
    <mergeCell ref="A15:I15"/>
    <mergeCell ref="A28:I28"/>
    <mergeCell ref="A44:I44"/>
    <mergeCell ref="A55:I55"/>
    <mergeCell ref="A81:I81"/>
    <mergeCell ref="A85:I85"/>
    <mergeCell ref="A103:I103"/>
    <mergeCell ref="B104:G104"/>
    <mergeCell ref="B105:G105"/>
    <mergeCell ref="A107:I107"/>
    <mergeCell ref="A108:I108"/>
    <mergeCell ref="A123:I123"/>
    <mergeCell ref="R110:U110"/>
    <mergeCell ref="A111:I111"/>
    <mergeCell ref="A113:B113"/>
    <mergeCell ref="C113:E113"/>
    <mergeCell ref="C114:E114"/>
    <mergeCell ref="A116:B116"/>
    <mergeCell ref="C116:E116"/>
    <mergeCell ref="C117:E117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234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235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26"/>
      <c r="C6" s="126"/>
      <c r="D6" s="126"/>
      <c r="E6" s="126"/>
      <c r="F6" s="126"/>
      <c r="G6" s="126"/>
      <c r="H6" s="126"/>
      <c r="I6" s="33">
        <v>42916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customHeight="1">
      <c r="A30" s="153">
        <v>6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customHeight="1">
      <c r="A33" s="86">
        <v>8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hidden="1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>
        <v>17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18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64">
        <v>19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20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21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64">
        <v>13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64">
        <v>14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64">
        <v>22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64">
        <v>23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90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hidden="1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hidden="1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9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>
        <v>14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64">
        <v>10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74" t="s">
        <v>181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11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64">
        <v>12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I16+I17+I18+I26+I27+I30+I31+I33+I61+I71+I82+I83</f>
        <v>40558.614132111106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15.75" customHeight="1">
      <c r="A86" s="64">
        <v>13</v>
      </c>
      <c r="B86" s="71" t="s">
        <v>197</v>
      </c>
      <c r="C86" s="72" t="s">
        <v>95</v>
      </c>
      <c r="D86" s="41"/>
      <c r="E86" s="20"/>
      <c r="F86" s="39">
        <f>16/3</f>
        <v>5.333333333333333</v>
      </c>
      <c r="G86" s="39">
        <v>1120.8900000000001</v>
      </c>
      <c r="H86" s="143">
        <f>G86*F86/1000</f>
        <v>5.9780800000000003</v>
      </c>
      <c r="I86" s="155">
        <f>G86*(10/3)</f>
        <v>3736.3000000000006</v>
      </c>
      <c r="J86" s="26"/>
      <c r="L86" s="22"/>
      <c r="M86" s="23"/>
      <c r="N86" s="24"/>
    </row>
    <row r="87" spans="1:14" ht="31.5" customHeight="1">
      <c r="A87" s="64">
        <v>14</v>
      </c>
      <c r="B87" s="58" t="s">
        <v>236</v>
      </c>
      <c r="C87" s="73" t="s">
        <v>37</v>
      </c>
      <c r="D87" s="17"/>
      <c r="E87" s="21"/>
      <c r="F87" s="16">
        <v>0.05</v>
      </c>
      <c r="G87" s="16">
        <v>3581.13</v>
      </c>
      <c r="H87" s="104">
        <f t="shared" ref="H87:H88" si="20">G87*F87/1000</f>
        <v>0.17905650000000004</v>
      </c>
      <c r="I87" s="155">
        <f>G87*0.02</f>
        <v>71.622600000000006</v>
      </c>
      <c r="J87" s="26"/>
      <c r="L87" s="22"/>
      <c r="M87" s="23"/>
      <c r="N87" s="24"/>
    </row>
    <row r="88" spans="1:14" ht="15.75" customHeight="1">
      <c r="A88" s="64">
        <v>15</v>
      </c>
      <c r="B88" s="58" t="s">
        <v>280</v>
      </c>
      <c r="C88" s="73" t="s">
        <v>31</v>
      </c>
      <c r="D88" s="41"/>
      <c r="E88" s="20"/>
      <c r="F88" s="39">
        <f>(139.06+124.46+55.02+115.6+96.62+329.47)-(5.298*6)</f>
        <v>828.44200000000001</v>
      </c>
      <c r="G88" s="39">
        <v>42.61</v>
      </c>
      <c r="H88" s="39">
        <f t="shared" si="20"/>
        <v>35.299913619999998</v>
      </c>
      <c r="I88" s="155">
        <f>G88*F88</f>
        <v>35299.913619999999</v>
      </c>
      <c r="J88" s="26"/>
      <c r="L88" s="22"/>
      <c r="M88" s="23"/>
      <c r="N88" s="24"/>
    </row>
    <row r="89" spans="1:14" ht="15.75" customHeight="1">
      <c r="A89" s="30"/>
      <c r="B89" s="50" t="s">
        <v>50</v>
      </c>
      <c r="C89" s="46"/>
      <c r="D89" s="57"/>
      <c r="E89" s="46">
        <v>1</v>
      </c>
      <c r="F89" s="46"/>
      <c r="G89" s="34"/>
      <c r="H89" s="46"/>
      <c r="I89" s="34">
        <f>SUM(I86:I88)</f>
        <v>39107.836219999997</v>
      </c>
      <c r="J89" s="26"/>
      <c r="L89" s="22"/>
      <c r="M89" s="23"/>
      <c r="N89" s="24"/>
    </row>
    <row r="90" spans="1:14" ht="15.75" customHeight="1">
      <c r="A90" s="30"/>
      <c r="B90" s="52" t="s">
        <v>76</v>
      </c>
      <c r="C90" s="18"/>
      <c r="D90" s="18"/>
      <c r="E90" s="47"/>
      <c r="F90" s="48"/>
      <c r="G90" s="20"/>
      <c r="H90" s="87"/>
      <c r="I90" s="21">
        <v>0</v>
      </c>
      <c r="J90" s="26"/>
      <c r="L90" s="22"/>
      <c r="M90" s="23"/>
      <c r="N90" s="24"/>
    </row>
    <row r="91" spans="1:14" ht="15.75" customHeight="1">
      <c r="A91" s="88"/>
      <c r="B91" s="51" t="s">
        <v>194</v>
      </c>
      <c r="C91" s="37"/>
      <c r="D91" s="37"/>
      <c r="E91" s="37"/>
      <c r="F91" s="37"/>
      <c r="G91" s="49"/>
      <c r="H91" s="38"/>
      <c r="I91" s="34">
        <f>I84+I89</f>
        <v>79666.450352111104</v>
      </c>
      <c r="J91" s="26"/>
      <c r="L91" s="22"/>
      <c r="M91" s="23"/>
      <c r="N91" s="24"/>
    </row>
    <row r="92" spans="1:14" ht="15.75" customHeight="1">
      <c r="A92" s="158" t="s">
        <v>281</v>
      </c>
      <c r="B92" s="158"/>
      <c r="C92" s="158"/>
      <c r="D92" s="158"/>
      <c r="E92" s="158"/>
      <c r="F92" s="158"/>
      <c r="G92" s="158"/>
      <c r="H92" s="158"/>
      <c r="I92" s="158"/>
      <c r="J92" s="26"/>
      <c r="L92" s="22"/>
      <c r="M92" s="23"/>
      <c r="N92" s="24"/>
    </row>
    <row r="93" spans="1:14" ht="15.75" customHeight="1">
      <c r="A93" s="12"/>
      <c r="B93" s="179" t="s">
        <v>282</v>
      </c>
      <c r="C93" s="179"/>
      <c r="D93" s="179"/>
      <c r="E93" s="179"/>
      <c r="F93" s="179"/>
      <c r="G93" s="179"/>
      <c r="H93" s="121"/>
      <c r="I93" s="4"/>
      <c r="J93" s="26"/>
      <c r="L93" s="22"/>
    </row>
    <row r="94" spans="1:14" ht="15.75" customHeight="1">
      <c r="A94" s="79"/>
      <c r="B94" s="160" t="s">
        <v>6</v>
      </c>
      <c r="C94" s="160"/>
      <c r="D94" s="160"/>
      <c r="E94" s="160"/>
      <c r="F94" s="160"/>
      <c r="G94" s="160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180" t="s">
        <v>7</v>
      </c>
      <c r="B96" s="180"/>
      <c r="C96" s="180"/>
      <c r="D96" s="180"/>
      <c r="E96" s="180"/>
      <c r="F96" s="180"/>
      <c r="G96" s="180"/>
      <c r="H96" s="180"/>
      <c r="I96" s="180"/>
    </row>
    <row r="97" spans="1:22" ht="15.75" customHeight="1">
      <c r="A97" s="180" t="s">
        <v>8</v>
      </c>
      <c r="B97" s="180"/>
      <c r="C97" s="180"/>
      <c r="D97" s="180"/>
      <c r="E97" s="180"/>
      <c r="F97" s="180"/>
      <c r="G97" s="180"/>
      <c r="H97" s="180"/>
      <c r="I97" s="18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58" t="s">
        <v>9</v>
      </c>
      <c r="B98" s="158"/>
      <c r="C98" s="158"/>
      <c r="D98" s="158"/>
      <c r="E98" s="158"/>
      <c r="F98" s="158"/>
      <c r="G98" s="158"/>
      <c r="H98" s="158"/>
      <c r="I98" s="158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157"/>
      <c r="S99" s="157"/>
      <c r="T99" s="157"/>
      <c r="U99" s="157"/>
    </row>
    <row r="100" spans="1:22" ht="15.75" customHeight="1">
      <c r="A100" s="181" t="s">
        <v>10</v>
      </c>
      <c r="B100" s="181"/>
      <c r="C100" s="181"/>
      <c r="D100" s="181"/>
      <c r="E100" s="181"/>
      <c r="F100" s="181"/>
      <c r="G100" s="181"/>
      <c r="H100" s="181"/>
      <c r="I100" s="18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158" t="s">
        <v>11</v>
      </c>
      <c r="B102" s="158"/>
      <c r="C102" s="189" t="s">
        <v>91</v>
      </c>
      <c r="D102" s="189"/>
      <c r="E102" s="189"/>
      <c r="F102" s="82"/>
      <c r="I102" s="124"/>
    </row>
    <row r="103" spans="1:22" ht="15.75" customHeight="1">
      <c r="A103" s="79"/>
      <c r="B103" s="53"/>
      <c r="C103" s="160" t="s">
        <v>12</v>
      </c>
      <c r="D103" s="160"/>
      <c r="E103" s="160"/>
      <c r="F103" s="27"/>
      <c r="I103" s="122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158" t="s">
        <v>14</v>
      </c>
      <c r="B105" s="158"/>
      <c r="C105" s="172"/>
      <c r="D105" s="172"/>
      <c r="E105" s="172"/>
      <c r="F105" s="83"/>
      <c r="I105" s="124"/>
    </row>
    <row r="106" spans="1:22" ht="15.75" customHeight="1">
      <c r="A106" s="125"/>
      <c r="C106" s="157" t="s">
        <v>12</v>
      </c>
      <c r="D106" s="157"/>
      <c r="E106" s="157"/>
      <c r="F106" s="125"/>
      <c r="I106" s="122" t="s">
        <v>13</v>
      </c>
    </row>
    <row r="107" spans="1:22" ht="15.75" customHeight="1">
      <c r="A107" s="5" t="s">
        <v>15</v>
      </c>
    </row>
    <row r="108" spans="1:22">
      <c r="A108" s="173" t="s">
        <v>16</v>
      </c>
      <c r="B108" s="173"/>
      <c r="C108" s="173"/>
      <c r="D108" s="173"/>
      <c r="E108" s="173"/>
      <c r="F108" s="173"/>
      <c r="G108" s="173"/>
      <c r="H108" s="173"/>
      <c r="I108" s="173"/>
    </row>
    <row r="109" spans="1:22" ht="45" customHeight="1">
      <c r="A109" s="171" t="s">
        <v>17</v>
      </c>
      <c r="B109" s="171"/>
      <c r="C109" s="171"/>
      <c r="D109" s="171"/>
      <c r="E109" s="171"/>
      <c r="F109" s="171"/>
      <c r="G109" s="171"/>
      <c r="H109" s="171"/>
      <c r="I109" s="171"/>
    </row>
    <row r="110" spans="1:22" ht="30" customHeight="1">
      <c r="A110" s="171" t="s">
        <v>18</v>
      </c>
      <c r="B110" s="171"/>
      <c r="C110" s="171"/>
      <c r="D110" s="171"/>
      <c r="E110" s="171"/>
      <c r="F110" s="171"/>
      <c r="G110" s="171"/>
      <c r="H110" s="171"/>
      <c r="I110" s="171"/>
    </row>
    <row r="111" spans="1:22" ht="30" customHeight="1">
      <c r="A111" s="171" t="s">
        <v>22</v>
      </c>
      <c r="B111" s="171"/>
      <c r="C111" s="171"/>
      <c r="D111" s="171"/>
      <c r="E111" s="171"/>
      <c r="F111" s="171"/>
      <c r="G111" s="171"/>
      <c r="H111" s="171"/>
      <c r="I111" s="171"/>
    </row>
    <row r="112" spans="1:22" ht="15" customHeight="1">
      <c r="A112" s="171" t="s">
        <v>21</v>
      </c>
      <c r="B112" s="171"/>
      <c r="C112" s="171"/>
      <c r="D112" s="171"/>
      <c r="E112" s="171"/>
      <c r="F112" s="171"/>
      <c r="G112" s="171"/>
      <c r="H112" s="171"/>
      <c r="I112" s="171"/>
    </row>
  </sheetData>
  <autoFilter ref="I15:I95"/>
  <mergeCells count="31"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8:I28"/>
    <mergeCell ref="A44:I44"/>
    <mergeCell ref="A55:I55"/>
    <mergeCell ref="A81:I81"/>
    <mergeCell ref="A85:I85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237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238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26"/>
      <c r="C6" s="126"/>
      <c r="D6" s="126"/>
      <c r="E6" s="126"/>
      <c r="F6" s="126"/>
      <c r="G6" s="126"/>
      <c r="H6" s="126"/>
      <c r="I6" s="33">
        <v>42947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customHeight="1">
      <c r="A30" s="153">
        <v>6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customHeight="1">
      <c r="A33" s="86">
        <v>8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hidden="1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>
        <v>17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18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64">
        <v>19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20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21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64">
        <v>13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64">
        <v>14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64">
        <v>22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64">
        <v>23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90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hidden="1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hidden="1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9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>
        <v>14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64">
        <v>10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22" ht="15.75" customHeight="1">
      <c r="A81" s="174" t="s">
        <v>181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22" ht="15.75" customHeight="1">
      <c r="A82" s="64">
        <v>11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64">
        <v>12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I16+I17+I18+I26+I27+I30+I31+I33+I61+I71+I82+I83</f>
        <v>40558.614132111106</v>
      </c>
      <c r="J84" s="26"/>
      <c r="L84" s="22"/>
      <c r="M84" s="23"/>
      <c r="N84" s="24"/>
    </row>
    <row r="85" spans="1:22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22" ht="31.5" customHeight="1">
      <c r="A86" s="64">
        <v>13</v>
      </c>
      <c r="B86" s="58" t="s">
        <v>239</v>
      </c>
      <c r="C86" s="73" t="s">
        <v>157</v>
      </c>
      <c r="D86" s="41"/>
      <c r="E86" s="20"/>
      <c r="F86" s="39">
        <v>2</v>
      </c>
      <c r="G86" s="39">
        <v>589.84</v>
      </c>
      <c r="H86" s="143">
        <f t="shared" ref="H86" si="20">G86*F86/1000</f>
        <v>1.1796800000000001</v>
      </c>
      <c r="I86" s="155">
        <f>G86</f>
        <v>589.84</v>
      </c>
      <c r="J86" s="26"/>
      <c r="L86" s="22"/>
      <c r="M86" s="23"/>
      <c r="N86" s="24"/>
    </row>
    <row r="87" spans="1:22" ht="15.75" customHeight="1">
      <c r="A87" s="30"/>
      <c r="B87" s="50" t="s">
        <v>50</v>
      </c>
      <c r="C87" s="46"/>
      <c r="D87" s="57"/>
      <c r="E87" s="46">
        <v>1</v>
      </c>
      <c r="F87" s="46"/>
      <c r="G87" s="34"/>
      <c r="H87" s="46"/>
      <c r="I87" s="34">
        <f>SUM(I86:I86)</f>
        <v>589.84</v>
      </c>
      <c r="J87" s="26"/>
      <c r="L87" s="22"/>
      <c r="M87" s="23"/>
      <c r="N87" s="24"/>
    </row>
    <row r="88" spans="1:22" ht="15.75" customHeight="1">
      <c r="A88" s="30"/>
      <c r="B88" s="52" t="s">
        <v>76</v>
      </c>
      <c r="C88" s="18"/>
      <c r="D88" s="18"/>
      <c r="E88" s="47"/>
      <c r="F88" s="48"/>
      <c r="G88" s="20"/>
      <c r="H88" s="87"/>
      <c r="I88" s="21">
        <v>0</v>
      </c>
      <c r="J88" s="26"/>
      <c r="L88" s="22"/>
      <c r="M88" s="23"/>
      <c r="N88" s="24"/>
    </row>
    <row r="89" spans="1:22" ht="15.75" customHeight="1">
      <c r="A89" s="88"/>
      <c r="B89" s="51" t="s">
        <v>194</v>
      </c>
      <c r="C89" s="37"/>
      <c r="D89" s="37"/>
      <c r="E89" s="37"/>
      <c r="F89" s="37"/>
      <c r="G89" s="49"/>
      <c r="H89" s="38"/>
      <c r="I89" s="34">
        <f>I84+I87</f>
        <v>41148.454132111103</v>
      </c>
      <c r="J89" s="26"/>
      <c r="L89" s="22"/>
      <c r="M89" s="23"/>
      <c r="N89" s="24"/>
    </row>
    <row r="90" spans="1:22" ht="15.75" customHeight="1">
      <c r="A90" s="158" t="s">
        <v>240</v>
      </c>
      <c r="B90" s="158"/>
      <c r="C90" s="158"/>
      <c r="D90" s="158"/>
      <c r="E90" s="158"/>
      <c r="F90" s="158"/>
      <c r="G90" s="158"/>
      <c r="H90" s="158"/>
      <c r="I90" s="158"/>
      <c r="J90" s="26"/>
      <c r="L90" s="22"/>
      <c r="M90" s="23"/>
      <c r="N90" s="24"/>
    </row>
    <row r="91" spans="1:22" ht="15.75" customHeight="1">
      <c r="A91" s="12"/>
      <c r="B91" s="179" t="s">
        <v>241</v>
      </c>
      <c r="C91" s="179"/>
      <c r="D91" s="179"/>
      <c r="E91" s="179"/>
      <c r="F91" s="179"/>
      <c r="G91" s="179"/>
      <c r="H91" s="121"/>
      <c r="I91" s="4"/>
      <c r="J91" s="26"/>
      <c r="L91" s="22"/>
    </row>
    <row r="92" spans="1:22" ht="15.75" customHeight="1">
      <c r="A92" s="79"/>
      <c r="B92" s="160" t="s">
        <v>6</v>
      </c>
      <c r="C92" s="160"/>
      <c r="D92" s="160"/>
      <c r="E92" s="160"/>
      <c r="F92" s="160"/>
      <c r="G92" s="160"/>
      <c r="H92" s="27"/>
      <c r="I92" s="54"/>
    </row>
    <row r="93" spans="1:22" ht="15.75" customHeight="1">
      <c r="A93" s="55"/>
      <c r="B93" s="55"/>
      <c r="C93" s="55"/>
      <c r="D93" s="55"/>
      <c r="E93" s="55"/>
      <c r="F93" s="55"/>
      <c r="G93" s="55"/>
      <c r="H93" s="55"/>
      <c r="I93" s="55"/>
    </row>
    <row r="94" spans="1:22" ht="15.75" customHeight="1">
      <c r="A94" s="180" t="s">
        <v>7</v>
      </c>
      <c r="B94" s="180"/>
      <c r="C94" s="180"/>
      <c r="D94" s="180"/>
      <c r="E94" s="180"/>
      <c r="F94" s="180"/>
      <c r="G94" s="180"/>
      <c r="H94" s="180"/>
      <c r="I94" s="180"/>
    </row>
    <row r="95" spans="1:22" ht="15.75" customHeight="1">
      <c r="A95" s="180" t="s">
        <v>8</v>
      </c>
      <c r="B95" s="180"/>
      <c r="C95" s="180"/>
      <c r="D95" s="180"/>
      <c r="E95" s="180"/>
      <c r="F95" s="180"/>
      <c r="G95" s="180"/>
      <c r="H95" s="180"/>
      <c r="I95" s="18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11"/>
    </row>
    <row r="96" spans="1:22" ht="15.75" customHeight="1">
      <c r="A96" s="158" t="s">
        <v>9</v>
      </c>
      <c r="B96" s="158"/>
      <c r="C96" s="158"/>
      <c r="D96" s="158"/>
      <c r="E96" s="158"/>
      <c r="F96" s="158"/>
      <c r="G96" s="158"/>
      <c r="H96" s="158"/>
      <c r="I96" s="158"/>
      <c r="J96" s="28"/>
      <c r="K96" s="28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14"/>
      <c r="B97" s="53"/>
      <c r="C97" s="53"/>
      <c r="D97" s="53"/>
      <c r="E97" s="53"/>
      <c r="F97" s="53"/>
      <c r="G97" s="53"/>
      <c r="H97" s="53"/>
      <c r="I97" s="53"/>
      <c r="J97" s="6"/>
      <c r="K97" s="6"/>
      <c r="L97" s="6"/>
      <c r="M97" s="6"/>
      <c r="N97" s="6"/>
      <c r="O97" s="6"/>
      <c r="P97" s="6"/>
      <c r="Q97" s="6"/>
      <c r="R97" s="157"/>
      <c r="S97" s="157"/>
      <c r="T97" s="157"/>
      <c r="U97" s="157"/>
    </row>
    <row r="98" spans="1:21" ht="15.75" customHeight="1">
      <c r="A98" s="181" t="s">
        <v>10</v>
      </c>
      <c r="B98" s="181"/>
      <c r="C98" s="181"/>
      <c r="D98" s="181"/>
      <c r="E98" s="181"/>
      <c r="F98" s="181"/>
      <c r="G98" s="181"/>
      <c r="H98" s="181"/>
      <c r="I98" s="181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ht="15.75" customHeight="1">
      <c r="A99" s="5"/>
      <c r="B99" s="53"/>
      <c r="C99" s="53"/>
      <c r="D99" s="53"/>
      <c r="E99" s="53"/>
      <c r="F99" s="53"/>
      <c r="G99" s="53"/>
      <c r="H99" s="53"/>
      <c r="I99" s="53"/>
    </row>
    <row r="100" spans="1:21" ht="15.75" customHeight="1">
      <c r="A100" s="158" t="s">
        <v>11</v>
      </c>
      <c r="B100" s="158"/>
      <c r="C100" s="189" t="s">
        <v>91</v>
      </c>
      <c r="D100" s="189"/>
      <c r="E100" s="189"/>
      <c r="F100" s="82"/>
      <c r="I100" s="124"/>
    </row>
    <row r="101" spans="1:21" ht="15.75" customHeight="1">
      <c r="A101" s="79"/>
      <c r="B101" s="53"/>
      <c r="C101" s="160" t="s">
        <v>12</v>
      </c>
      <c r="D101" s="160"/>
      <c r="E101" s="160"/>
      <c r="F101" s="27"/>
      <c r="I101" s="122" t="s">
        <v>13</v>
      </c>
    </row>
    <row r="102" spans="1:21" ht="15.75" customHeight="1">
      <c r="A102" s="28"/>
      <c r="B102" s="53"/>
      <c r="C102" s="15"/>
      <c r="D102" s="15"/>
      <c r="G102" s="15"/>
      <c r="H102" s="15"/>
    </row>
    <row r="103" spans="1:21" ht="15.75" customHeight="1">
      <c r="A103" s="158" t="s">
        <v>14</v>
      </c>
      <c r="B103" s="158"/>
      <c r="C103" s="172"/>
      <c r="D103" s="172"/>
      <c r="E103" s="172"/>
      <c r="F103" s="83"/>
      <c r="I103" s="124"/>
    </row>
    <row r="104" spans="1:21" ht="15.75" customHeight="1">
      <c r="A104" s="125"/>
      <c r="C104" s="157" t="s">
        <v>12</v>
      </c>
      <c r="D104" s="157"/>
      <c r="E104" s="157"/>
      <c r="F104" s="125"/>
      <c r="I104" s="122" t="s">
        <v>13</v>
      </c>
    </row>
    <row r="105" spans="1:21" ht="15.75" customHeight="1">
      <c r="A105" s="5" t="s">
        <v>15</v>
      </c>
    </row>
    <row r="106" spans="1:21">
      <c r="A106" s="173" t="s">
        <v>16</v>
      </c>
      <c r="B106" s="173"/>
      <c r="C106" s="173"/>
      <c r="D106" s="173"/>
      <c r="E106" s="173"/>
      <c r="F106" s="173"/>
      <c r="G106" s="173"/>
      <c r="H106" s="173"/>
      <c r="I106" s="173"/>
    </row>
    <row r="107" spans="1:21" ht="45" customHeight="1">
      <c r="A107" s="171" t="s">
        <v>17</v>
      </c>
      <c r="B107" s="171"/>
      <c r="C107" s="171"/>
      <c r="D107" s="171"/>
      <c r="E107" s="171"/>
      <c r="F107" s="171"/>
      <c r="G107" s="171"/>
      <c r="H107" s="171"/>
      <c r="I107" s="171"/>
    </row>
    <row r="108" spans="1:21" ht="30" customHeight="1">
      <c r="A108" s="171" t="s">
        <v>18</v>
      </c>
      <c r="B108" s="171"/>
      <c r="C108" s="171"/>
      <c r="D108" s="171"/>
      <c r="E108" s="171"/>
      <c r="F108" s="171"/>
      <c r="G108" s="171"/>
      <c r="H108" s="171"/>
      <c r="I108" s="171"/>
    </row>
    <row r="109" spans="1:21" ht="30" customHeight="1">
      <c r="A109" s="171" t="s">
        <v>22</v>
      </c>
      <c r="B109" s="171"/>
      <c r="C109" s="171"/>
      <c r="D109" s="171"/>
      <c r="E109" s="171"/>
      <c r="F109" s="171"/>
      <c r="G109" s="171"/>
      <c r="H109" s="171"/>
      <c r="I109" s="171"/>
    </row>
    <row r="110" spans="1:21" ht="15" customHeight="1">
      <c r="A110" s="171" t="s">
        <v>21</v>
      </c>
      <c r="B110" s="171"/>
      <c r="C110" s="171"/>
      <c r="D110" s="171"/>
      <c r="E110" s="171"/>
      <c r="F110" s="171"/>
      <c r="G110" s="171"/>
      <c r="H110" s="171"/>
      <c r="I110" s="171"/>
    </row>
  </sheetData>
  <autoFilter ref="I15:I93"/>
  <mergeCells count="31">
    <mergeCell ref="A110:I110"/>
    <mergeCell ref="R97:U97"/>
    <mergeCell ref="A98:I98"/>
    <mergeCell ref="A100:B100"/>
    <mergeCell ref="C100:E100"/>
    <mergeCell ref="C101:E101"/>
    <mergeCell ref="A103:B103"/>
    <mergeCell ref="C103:E103"/>
    <mergeCell ref="C104:E104"/>
    <mergeCell ref="A106:I106"/>
    <mergeCell ref="A107:I107"/>
    <mergeCell ref="A108:I108"/>
    <mergeCell ref="A109:I109"/>
    <mergeCell ref="A96:I96"/>
    <mergeCell ref="A15:I15"/>
    <mergeCell ref="A28:I28"/>
    <mergeCell ref="A44:I44"/>
    <mergeCell ref="A55:I55"/>
    <mergeCell ref="A81:I81"/>
    <mergeCell ref="A85:I85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242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243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26"/>
      <c r="C6" s="126"/>
      <c r="D6" s="126"/>
      <c r="E6" s="126"/>
      <c r="F6" s="126"/>
      <c r="G6" s="126"/>
      <c r="H6" s="126"/>
      <c r="I6" s="33">
        <v>42978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customHeight="1">
      <c r="A30" s="153">
        <v>6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customHeight="1">
      <c r="A33" s="86">
        <v>8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hidden="1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hidden="1" customHeight="1">
      <c r="A45" s="30">
        <v>17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18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64">
        <v>19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20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21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64">
        <v>13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64">
        <v>14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64">
        <v>22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64">
        <v>23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90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hidden="1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hidden="1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9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hidden="1" customHeight="1">
      <c r="A63" s="64">
        <v>14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64"/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64">
        <v>10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74" t="s">
        <v>181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11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64">
        <v>12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I16+I17+I18+I26+I27+I30+I31+I33+I61+I71+I82+I83</f>
        <v>40558.614132111106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31.5" customHeight="1">
      <c r="A86" s="64">
        <v>13</v>
      </c>
      <c r="B86" s="58" t="s">
        <v>77</v>
      </c>
      <c r="C86" s="73" t="s">
        <v>96</v>
      </c>
      <c r="D86" s="17"/>
      <c r="E86" s="21"/>
      <c r="F86" s="16">
        <v>4</v>
      </c>
      <c r="G86" s="16">
        <v>83.36</v>
      </c>
      <c r="H86" s="104">
        <f>G86*F86/1000</f>
        <v>0.33344000000000001</v>
      </c>
      <c r="I86" s="155">
        <f>G86*3</f>
        <v>250.07999999999998</v>
      </c>
      <c r="J86" s="26"/>
      <c r="L86" s="22"/>
      <c r="M86" s="23"/>
      <c r="N86" s="24"/>
    </row>
    <row r="87" spans="1:14" ht="31.5" customHeight="1">
      <c r="A87" s="64">
        <v>14</v>
      </c>
      <c r="B87" s="58" t="s">
        <v>236</v>
      </c>
      <c r="C87" s="73" t="s">
        <v>37</v>
      </c>
      <c r="D87" s="41"/>
      <c r="E87" s="20"/>
      <c r="F87" s="39">
        <v>0.05</v>
      </c>
      <c r="G87" s="39">
        <v>3581.13</v>
      </c>
      <c r="H87" s="143">
        <f t="shared" ref="H87:H90" si="20">G87*F87/1000</f>
        <v>0.17905650000000004</v>
      </c>
      <c r="I87" s="155">
        <f>G87*0.03</f>
        <v>107.43389999999999</v>
      </c>
      <c r="J87" s="26"/>
      <c r="L87" s="22"/>
      <c r="M87" s="23"/>
      <c r="N87" s="24"/>
    </row>
    <row r="88" spans="1:14" ht="15.75" customHeight="1">
      <c r="A88" s="64">
        <v>15</v>
      </c>
      <c r="B88" s="58" t="s">
        <v>166</v>
      </c>
      <c r="C88" s="73" t="s">
        <v>167</v>
      </c>
      <c r="D88" s="17"/>
      <c r="E88" s="21"/>
      <c r="F88" s="16">
        <v>0.01</v>
      </c>
      <c r="G88" s="16">
        <v>7412.92</v>
      </c>
      <c r="H88" s="104">
        <f t="shared" si="20"/>
        <v>7.4129199999999992E-2</v>
      </c>
      <c r="I88" s="155">
        <f>G88*0.01</f>
        <v>74.129199999999997</v>
      </c>
      <c r="J88" s="26"/>
      <c r="L88" s="22"/>
      <c r="M88" s="23"/>
      <c r="N88" s="24"/>
    </row>
    <row r="89" spans="1:14" ht="31.5" customHeight="1">
      <c r="A89" s="64">
        <v>16</v>
      </c>
      <c r="B89" s="58" t="s">
        <v>244</v>
      </c>
      <c r="C89" s="73" t="s">
        <v>96</v>
      </c>
      <c r="D89" s="17"/>
      <c r="E89" s="21"/>
      <c r="F89" s="16">
        <v>1</v>
      </c>
      <c r="G89" s="16">
        <v>2297.02</v>
      </c>
      <c r="H89" s="104">
        <f t="shared" si="20"/>
        <v>2.2970199999999998</v>
      </c>
      <c r="I89" s="155">
        <f>G89</f>
        <v>2297.02</v>
      </c>
      <c r="J89" s="26"/>
      <c r="L89" s="22"/>
      <c r="M89" s="23"/>
      <c r="N89" s="24"/>
    </row>
    <row r="90" spans="1:14" ht="15.75" customHeight="1">
      <c r="A90" s="64">
        <v>17</v>
      </c>
      <c r="B90" s="58" t="s">
        <v>245</v>
      </c>
      <c r="C90" s="73" t="s">
        <v>246</v>
      </c>
      <c r="D90" s="17"/>
      <c r="E90" s="21"/>
      <c r="F90" s="16">
        <v>5</v>
      </c>
      <c r="G90" s="16">
        <v>88.14</v>
      </c>
      <c r="H90" s="104">
        <f t="shared" si="20"/>
        <v>0.44069999999999998</v>
      </c>
      <c r="I90" s="155">
        <f>G90*5</f>
        <v>440.7</v>
      </c>
      <c r="J90" s="26"/>
      <c r="L90" s="22"/>
      <c r="M90" s="23"/>
      <c r="N90" s="24"/>
    </row>
    <row r="91" spans="1:14" ht="15.75" customHeight="1">
      <c r="A91" s="30"/>
      <c r="B91" s="50" t="s">
        <v>50</v>
      </c>
      <c r="C91" s="46"/>
      <c r="D91" s="57"/>
      <c r="E91" s="46">
        <v>1</v>
      </c>
      <c r="F91" s="46"/>
      <c r="G91" s="34"/>
      <c r="H91" s="46"/>
      <c r="I91" s="34">
        <f>SUM(I86:I90)</f>
        <v>3169.3630999999996</v>
      </c>
      <c r="J91" s="26"/>
      <c r="L91" s="22"/>
      <c r="M91" s="23"/>
      <c r="N91" s="24"/>
    </row>
    <row r="92" spans="1:14" ht="15.75" customHeight="1">
      <c r="A92" s="30"/>
      <c r="B92" s="52" t="s">
        <v>76</v>
      </c>
      <c r="C92" s="18"/>
      <c r="D92" s="18"/>
      <c r="E92" s="47"/>
      <c r="F92" s="48"/>
      <c r="G92" s="20"/>
      <c r="H92" s="87"/>
      <c r="I92" s="21">
        <v>0</v>
      </c>
      <c r="J92" s="26"/>
      <c r="L92" s="22"/>
      <c r="M92" s="23"/>
      <c r="N92" s="24"/>
    </row>
    <row r="93" spans="1:14" ht="15.75" customHeight="1">
      <c r="A93" s="88"/>
      <c r="B93" s="51" t="s">
        <v>194</v>
      </c>
      <c r="C93" s="37"/>
      <c r="D93" s="37"/>
      <c r="E93" s="37"/>
      <c r="F93" s="37"/>
      <c r="G93" s="49"/>
      <c r="H93" s="38"/>
      <c r="I93" s="34">
        <f>I84+I91</f>
        <v>43727.977232111109</v>
      </c>
      <c r="J93" s="26"/>
      <c r="L93" s="22"/>
      <c r="M93" s="23"/>
      <c r="N93" s="24"/>
    </row>
    <row r="94" spans="1:14" ht="15.75" customHeight="1">
      <c r="A94" s="158" t="s">
        <v>247</v>
      </c>
      <c r="B94" s="158"/>
      <c r="C94" s="158"/>
      <c r="D94" s="158"/>
      <c r="E94" s="158"/>
      <c r="F94" s="158"/>
      <c r="G94" s="158"/>
      <c r="H94" s="158"/>
      <c r="I94" s="158"/>
      <c r="J94" s="26"/>
      <c r="L94" s="22"/>
      <c r="M94" s="23"/>
      <c r="N94" s="24"/>
    </row>
    <row r="95" spans="1:14" ht="15.75" customHeight="1">
      <c r="A95" s="12"/>
      <c r="B95" s="179" t="s">
        <v>248</v>
      </c>
      <c r="C95" s="179"/>
      <c r="D95" s="179"/>
      <c r="E95" s="179"/>
      <c r="F95" s="179"/>
      <c r="G95" s="179"/>
      <c r="H95" s="121"/>
      <c r="I95" s="4"/>
      <c r="J95" s="26"/>
      <c r="L95" s="22"/>
    </row>
    <row r="96" spans="1:14" ht="15.75" customHeight="1">
      <c r="A96" s="79"/>
      <c r="B96" s="160" t="s">
        <v>6</v>
      </c>
      <c r="C96" s="160"/>
      <c r="D96" s="160"/>
      <c r="E96" s="160"/>
      <c r="F96" s="160"/>
      <c r="G96" s="160"/>
      <c r="H96" s="27"/>
      <c r="I96" s="54"/>
    </row>
    <row r="97" spans="1:22" ht="15.75" customHeight="1">
      <c r="A97" s="55"/>
      <c r="B97" s="55"/>
      <c r="C97" s="55"/>
      <c r="D97" s="55"/>
      <c r="E97" s="55"/>
      <c r="F97" s="55"/>
      <c r="G97" s="55"/>
      <c r="H97" s="55"/>
      <c r="I97" s="55"/>
    </row>
    <row r="98" spans="1:22" ht="15.75" customHeight="1">
      <c r="A98" s="180" t="s">
        <v>7</v>
      </c>
      <c r="B98" s="180"/>
      <c r="C98" s="180"/>
      <c r="D98" s="180"/>
      <c r="E98" s="180"/>
      <c r="F98" s="180"/>
      <c r="G98" s="180"/>
      <c r="H98" s="180"/>
      <c r="I98" s="180"/>
    </row>
    <row r="99" spans="1:22" ht="15.75" customHeight="1">
      <c r="A99" s="180" t="s">
        <v>8</v>
      </c>
      <c r="B99" s="180"/>
      <c r="C99" s="180"/>
      <c r="D99" s="180"/>
      <c r="E99" s="180"/>
      <c r="F99" s="180"/>
      <c r="G99" s="180"/>
      <c r="H99" s="180"/>
      <c r="I99" s="18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58" t="s">
        <v>9</v>
      </c>
      <c r="B100" s="158"/>
      <c r="C100" s="158"/>
      <c r="D100" s="158"/>
      <c r="E100" s="158"/>
      <c r="F100" s="158"/>
      <c r="G100" s="158"/>
      <c r="H100" s="158"/>
      <c r="I100" s="158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157"/>
      <c r="S101" s="157"/>
      <c r="T101" s="157"/>
      <c r="U101" s="157"/>
    </row>
    <row r="102" spans="1:22" ht="15.75" customHeight="1">
      <c r="A102" s="181" t="s">
        <v>10</v>
      </c>
      <c r="B102" s="181"/>
      <c r="C102" s="181"/>
      <c r="D102" s="181"/>
      <c r="E102" s="181"/>
      <c r="F102" s="181"/>
      <c r="G102" s="181"/>
      <c r="H102" s="181"/>
      <c r="I102" s="18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58" t="s">
        <v>11</v>
      </c>
      <c r="B104" s="158"/>
      <c r="C104" s="189" t="s">
        <v>91</v>
      </c>
      <c r="D104" s="189"/>
      <c r="E104" s="189"/>
      <c r="F104" s="82"/>
      <c r="I104" s="124"/>
    </row>
    <row r="105" spans="1:22" ht="15.75" customHeight="1">
      <c r="A105" s="79"/>
      <c r="B105" s="53"/>
      <c r="C105" s="160" t="s">
        <v>12</v>
      </c>
      <c r="D105" s="160"/>
      <c r="E105" s="160"/>
      <c r="F105" s="27"/>
      <c r="I105" s="122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58" t="s">
        <v>14</v>
      </c>
      <c r="B107" s="158"/>
      <c r="C107" s="172"/>
      <c r="D107" s="172"/>
      <c r="E107" s="172"/>
      <c r="F107" s="83"/>
      <c r="I107" s="124"/>
    </row>
    <row r="108" spans="1:22" ht="15.75" customHeight="1">
      <c r="A108" s="125"/>
      <c r="C108" s="157" t="s">
        <v>12</v>
      </c>
      <c r="D108" s="157"/>
      <c r="E108" s="157"/>
      <c r="F108" s="125"/>
      <c r="I108" s="122" t="s">
        <v>13</v>
      </c>
    </row>
    <row r="109" spans="1:22" ht="15.75" customHeight="1">
      <c r="A109" s="5" t="s">
        <v>15</v>
      </c>
    </row>
    <row r="110" spans="1:22">
      <c r="A110" s="173" t="s">
        <v>16</v>
      </c>
      <c r="B110" s="173"/>
      <c r="C110" s="173"/>
      <c r="D110" s="173"/>
      <c r="E110" s="173"/>
      <c r="F110" s="173"/>
      <c r="G110" s="173"/>
      <c r="H110" s="173"/>
      <c r="I110" s="173"/>
    </row>
    <row r="111" spans="1:22" ht="45" customHeight="1">
      <c r="A111" s="171" t="s">
        <v>17</v>
      </c>
      <c r="B111" s="171"/>
      <c r="C111" s="171"/>
      <c r="D111" s="171"/>
      <c r="E111" s="171"/>
      <c r="F111" s="171"/>
      <c r="G111" s="171"/>
      <c r="H111" s="171"/>
      <c r="I111" s="171"/>
    </row>
    <row r="112" spans="1:22" ht="30" customHeight="1">
      <c r="A112" s="171" t="s">
        <v>18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30" customHeight="1">
      <c r="A113" s="171" t="s">
        <v>22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15" customHeight="1">
      <c r="A114" s="171" t="s">
        <v>21</v>
      </c>
      <c r="B114" s="171"/>
      <c r="C114" s="171"/>
      <c r="D114" s="171"/>
      <c r="E114" s="171"/>
      <c r="F114" s="171"/>
      <c r="G114" s="171"/>
      <c r="H114" s="171"/>
      <c r="I114" s="171"/>
    </row>
  </sheetData>
  <autoFilter ref="I15:I97"/>
  <mergeCells count="31">
    <mergeCell ref="A114:I114"/>
    <mergeCell ref="R101:U101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8:I28"/>
    <mergeCell ref="A44:I44"/>
    <mergeCell ref="A55:I55"/>
    <mergeCell ref="A81:I81"/>
    <mergeCell ref="A85:I85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86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59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61" t="s">
        <v>249</v>
      </c>
      <c r="B3" s="161"/>
      <c r="C3" s="161"/>
      <c r="D3" s="161"/>
      <c r="E3" s="161"/>
      <c r="F3" s="161"/>
      <c r="G3" s="161"/>
      <c r="H3" s="161"/>
      <c r="I3" s="161"/>
      <c r="J3" s="2"/>
      <c r="K3" s="2"/>
      <c r="L3" s="2"/>
      <c r="M3" s="2"/>
    </row>
    <row r="4" spans="1:15" ht="31.5" customHeight="1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3"/>
      <c r="K4" s="3"/>
      <c r="L4" s="3"/>
      <c r="M4" s="3"/>
    </row>
    <row r="5" spans="1:15" ht="15.75" customHeight="1">
      <c r="A5" s="161" t="s">
        <v>250</v>
      </c>
      <c r="B5" s="167"/>
      <c r="C5" s="167"/>
      <c r="D5" s="167"/>
      <c r="E5" s="167"/>
      <c r="F5" s="167"/>
      <c r="G5" s="167"/>
      <c r="H5" s="167"/>
      <c r="I5" s="167"/>
      <c r="J5" s="4"/>
      <c r="K5" s="4"/>
      <c r="L5" s="4"/>
    </row>
    <row r="6" spans="1:15" ht="15.75" customHeight="1">
      <c r="A6" s="3"/>
      <c r="B6" s="126"/>
      <c r="C6" s="126"/>
      <c r="D6" s="126"/>
      <c r="E6" s="126"/>
      <c r="F6" s="126"/>
      <c r="G6" s="126"/>
      <c r="H6" s="126"/>
      <c r="I6" s="33">
        <v>43008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202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8" t="s">
        <v>269</v>
      </c>
      <c r="B10" s="168"/>
      <c r="C10" s="168"/>
      <c r="D10" s="168"/>
      <c r="E10" s="168"/>
      <c r="F10" s="168"/>
      <c r="G10" s="168"/>
      <c r="H10" s="168"/>
      <c r="I10" s="168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69" t="s">
        <v>183</v>
      </c>
      <c r="B14" s="170"/>
      <c r="C14" s="170"/>
      <c r="D14" s="170"/>
      <c r="E14" s="170"/>
      <c r="F14" s="170"/>
      <c r="G14" s="170"/>
      <c r="H14" s="170"/>
      <c r="I14" s="170"/>
      <c r="J14" s="127"/>
      <c r="K14" s="127"/>
      <c r="L14" s="10"/>
      <c r="M14" s="10"/>
      <c r="N14" s="10"/>
      <c r="O14" s="10"/>
    </row>
    <row r="15" spans="1:15">
      <c r="A15" s="164" t="s">
        <v>4</v>
      </c>
      <c r="B15" s="165"/>
      <c r="C15" s="165"/>
      <c r="D15" s="165"/>
      <c r="E15" s="165"/>
      <c r="F15" s="165"/>
      <c r="G15" s="165"/>
      <c r="H15" s="165"/>
      <c r="I15" s="166"/>
    </row>
    <row r="16" spans="1:15" ht="15.75" customHeight="1">
      <c r="A16" s="30">
        <v>1</v>
      </c>
      <c r="B16" s="65" t="s">
        <v>87</v>
      </c>
      <c r="C16" s="89" t="s">
        <v>102</v>
      </c>
      <c r="D16" s="65" t="s">
        <v>129</v>
      </c>
      <c r="E16" s="90">
        <v>66.2</v>
      </c>
      <c r="F16" s="91">
        <f>SUM(E16*156/100)</f>
        <v>103.27200000000001</v>
      </c>
      <c r="G16" s="91">
        <v>230</v>
      </c>
      <c r="H16" s="92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5" t="s">
        <v>88</v>
      </c>
      <c r="C17" s="89" t="s">
        <v>102</v>
      </c>
      <c r="D17" s="65" t="s">
        <v>130</v>
      </c>
      <c r="E17" s="90">
        <v>198.7</v>
      </c>
      <c r="F17" s="91">
        <f>SUM(E17*104/100)</f>
        <v>206.648</v>
      </c>
      <c r="G17" s="91">
        <v>230</v>
      </c>
      <c r="H17" s="92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5" t="s">
        <v>89</v>
      </c>
      <c r="C18" s="89" t="s">
        <v>102</v>
      </c>
      <c r="D18" s="65" t="s">
        <v>131</v>
      </c>
      <c r="E18" s="90">
        <f>SUM(E16+E17)</f>
        <v>264.89999999999998</v>
      </c>
      <c r="F18" s="91">
        <f>SUM(E18*24/100)</f>
        <v>63.575999999999993</v>
      </c>
      <c r="G18" s="91">
        <v>661.67</v>
      </c>
      <c r="H18" s="92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5" t="s">
        <v>103</v>
      </c>
      <c r="C19" s="89" t="s">
        <v>98</v>
      </c>
      <c r="D19" s="65" t="s">
        <v>104</v>
      </c>
      <c r="E19" s="90">
        <v>40</v>
      </c>
      <c r="F19" s="91">
        <f>SUM(E19/10)</f>
        <v>4</v>
      </c>
      <c r="G19" s="91">
        <v>223.17</v>
      </c>
      <c r="H19" s="92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customHeight="1">
      <c r="A20" s="30">
        <v>5</v>
      </c>
      <c r="B20" s="65" t="s">
        <v>105</v>
      </c>
      <c r="C20" s="89" t="s">
        <v>102</v>
      </c>
      <c r="D20" s="65" t="s">
        <v>41</v>
      </c>
      <c r="E20" s="90">
        <v>10.5</v>
      </c>
      <c r="F20" s="91">
        <f>SUM(E20*2/100)</f>
        <v>0.21</v>
      </c>
      <c r="G20" s="91">
        <v>285.76</v>
      </c>
      <c r="H20" s="92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customHeight="1">
      <c r="A21" s="30">
        <v>6</v>
      </c>
      <c r="B21" s="65" t="s">
        <v>106</v>
      </c>
      <c r="C21" s="89" t="s">
        <v>102</v>
      </c>
      <c r="D21" s="65" t="s">
        <v>41</v>
      </c>
      <c r="E21" s="90">
        <v>2.7</v>
      </c>
      <c r="F21" s="91">
        <f>SUM(E21*2/100)</f>
        <v>5.4000000000000006E-2</v>
      </c>
      <c r="G21" s="91">
        <v>283.44</v>
      </c>
      <c r="H21" s="92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5" t="s">
        <v>107</v>
      </c>
      <c r="C22" s="89" t="s">
        <v>51</v>
      </c>
      <c r="D22" s="65" t="s">
        <v>104</v>
      </c>
      <c r="E22" s="90">
        <v>357</v>
      </c>
      <c r="F22" s="91">
        <f t="shared" ref="F22:F25" si="2">SUM(E22/100)</f>
        <v>3.57</v>
      </c>
      <c r="G22" s="91">
        <v>353.14</v>
      </c>
      <c r="H22" s="92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5" t="s">
        <v>108</v>
      </c>
      <c r="C23" s="89" t="s">
        <v>51</v>
      </c>
      <c r="D23" s="65" t="s">
        <v>104</v>
      </c>
      <c r="E23" s="93">
        <v>38.64</v>
      </c>
      <c r="F23" s="91">
        <f t="shared" si="2"/>
        <v>0.38640000000000002</v>
      </c>
      <c r="G23" s="91">
        <v>58.08</v>
      </c>
      <c r="H23" s="92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5" t="s">
        <v>109</v>
      </c>
      <c r="C24" s="89" t="s">
        <v>51</v>
      </c>
      <c r="D24" s="66" t="s">
        <v>104</v>
      </c>
      <c r="E24" s="21">
        <v>15</v>
      </c>
      <c r="F24" s="94">
        <f t="shared" si="2"/>
        <v>0.15</v>
      </c>
      <c r="G24" s="91">
        <v>511.12</v>
      </c>
      <c r="H24" s="92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5" t="s">
        <v>110</v>
      </c>
      <c r="C25" s="89" t="s">
        <v>51</v>
      </c>
      <c r="D25" s="65" t="s">
        <v>104</v>
      </c>
      <c r="E25" s="95">
        <v>6.38</v>
      </c>
      <c r="F25" s="91">
        <f t="shared" si="2"/>
        <v>6.3799999999999996E-2</v>
      </c>
      <c r="G25" s="91">
        <v>683.05</v>
      </c>
      <c r="H25" s="92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7</v>
      </c>
      <c r="B26" s="65" t="s">
        <v>61</v>
      </c>
      <c r="C26" s="89" t="s">
        <v>31</v>
      </c>
      <c r="D26" s="65" t="s">
        <v>84</v>
      </c>
      <c r="E26" s="90">
        <v>0.1</v>
      </c>
      <c r="F26" s="91">
        <f>SUM(E26*365)</f>
        <v>36.5</v>
      </c>
      <c r="G26" s="91">
        <v>192.84</v>
      </c>
      <c r="H26" s="92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8</v>
      </c>
      <c r="B27" s="97" t="s">
        <v>24</v>
      </c>
      <c r="C27" s="89" t="s">
        <v>25</v>
      </c>
      <c r="D27" s="65" t="s">
        <v>84</v>
      </c>
      <c r="E27" s="90">
        <v>2566.6</v>
      </c>
      <c r="F27" s="91">
        <f>SUM(E27*12)</f>
        <v>30799.199999999997</v>
      </c>
      <c r="G27" s="91">
        <v>2.4500000000000002</v>
      </c>
      <c r="H27" s="92">
        <f t="shared" si="4"/>
        <v>75.458039999999997</v>
      </c>
      <c r="I27" s="108">
        <f>F27/12*G27</f>
        <v>6288.17</v>
      </c>
      <c r="J27" s="25"/>
      <c r="K27" s="10"/>
      <c r="L27" s="10"/>
      <c r="M27" s="10"/>
    </row>
    <row r="28" spans="1:13" ht="15.75" customHeight="1">
      <c r="A28" s="164" t="s">
        <v>85</v>
      </c>
      <c r="B28" s="165"/>
      <c r="C28" s="165"/>
      <c r="D28" s="165"/>
      <c r="E28" s="165"/>
      <c r="F28" s="165"/>
      <c r="G28" s="165"/>
      <c r="H28" s="165"/>
      <c r="I28" s="166"/>
      <c r="J28" s="25"/>
      <c r="K28" s="10"/>
      <c r="L28" s="10"/>
      <c r="M28" s="10"/>
    </row>
    <row r="29" spans="1:13" ht="15.75" customHeight="1">
      <c r="A29" s="136"/>
      <c r="B29" s="80" t="s">
        <v>184</v>
      </c>
      <c r="C29" s="135"/>
      <c r="D29" s="135"/>
      <c r="E29" s="135"/>
      <c r="F29" s="135"/>
      <c r="G29" s="135"/>
      <c r="H29" s="135"/>
      <c r="I29" s="135"/>
      <c r="J29" s="25"/>
      <c r="K29" s="10"/>
      <c r="L29" s="10"/>
      <c r="M29" s="10"/>
    </row>
    <row r="30" spans="1:13" ht="15.75" customHeight="1">
      <c r="A30" s="153">
        <v>9</v>
      </c>
      <c r="B30" s="65" t="s">
        <v>185</v>
      </c>
      <c r="C30" s="89" t="s">
        <v>111</v>
      </c>
      <c r="D30" s="65" t="s">
        <v>188</v>
      </c>
      <c r="E30" s="91">
        <v>152.6</v>
      </c>
      <c r="F30" s="91">
        <f>SUM(E30*52/1000)</f>
        <v>7.9352</v>
      </c>
      <c r="G30" s="91">
        <v>204.44</v>
      </c>
      <c r="H30" s="92">
        <f t="shared" ref="H30:H33" si="5">SUM(F30*G30/1000)</f>
        <v>1.6222722879999998</v>
      </c>
      <c r="I30" s="108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10</v>
      </c>
      <c r="B31" s="65" t="s">
        <v>186</v>
      </c>
      <c r="C31" s="89" t="s">
        <v>111</v>
      </c>
      <c r="D31" s="65" t="s">
        <v>189</v>
      </c>
      <c r="E31" s="91">
        <v>58.1</v>
      </c>
      <c r="F31" s="91">
        <f>SUM(E31*78/1000)</f>
        <v>4.5318000000000005</v>
      </c>
      <c r="G31" s="91">
        <v>339.21</v>
      </c>
      <c r="H31" s="92">
        <f t="shared" si="5"/>
        <v>1.5372318780000001</v>
      </c>
      <c r="I31" s="108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86">
        <v>15</v>
      </c>
      <c r="B32" s="65" t="s">
        <v>27</v>
      </c>
      <c r="C32" s="89" t="s">
        <v>111</v>
      </c>
      <c r="D32" s="65" t="s">
        <v>52</v>
      </c>
      <c r="E32" s="91">
        <v>152.6</v>
      </c>
      <c r="F32" s="91">
        <f>SUM(E32/1000)</f>
        <v>0.15259999999999999</v>
      </c>
      <c r="G32" s="91">
        <v>3961.23</v>
      </c>
      <c r="H32" s="92">
        <f t="shared" si="5"/>
        <v>0.6044836979999999</v>
      </c>
      <c r="I32" s="108">
        <f>F32*G32</f>
        <v>604.48369799999989</v>
      </c>
      <c r="J32" s="25"/>
      <c r="K32" s="10"/>
      <c r="L32" s="10"/>
      <c r="M32" s="10"/>
    </row>
    <row r="33" spans="1:13" ht="15.75" customHeight="1">
      <c r="A33" s="86">
        <v>11</v>
      </c>
      <c r="B33" s="65" t="s">
        <v>187</v>
      </c>
      <c r="C33" s="89" t="s">
        <v>29</v>
      </c>
      <c r="D33" s="65" t="s">
        <v>60</v>
      </c>
      <c r="E33" s="96">
        <f>1/3</f>
        <v>0.33333333333333331</v>
      </c>
      <c r="F33" s="91">
        <f>155/3</f>
        <v>51.666666666666664</v>
      </c>
      <c r="G33" s="91">
        <v>74.349999999999994</v>
      </c>
      <c r="H33" s="92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86"/>
      <c r="B34" s="65" t="s">
        <v>62</v>
      </c>
      <c r="C34" s="89" t="s">
        <v>31</v>
      </c>
      <c r="D34" s="65" t="s">
        <v>63</v>
      </c>
      <c r="E34" s="90"/>
      <c r="F34" s="91">
        <v>1</v>
      </c>
      <c r="G34" s="91">
        <v>250.92</v>
      </c>
      <c r="H34" s="92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86"/>
      <c r="B35" s="65" t="s">
        <v>140</v>
      </c>
      <c r="C35" s="89" t="s">
        <v>30</v>
      </c>
      <c r="D35" s="65" t="s">
        <v>63</v>
      </c>
      <c r="E35" s="90"/>
      <c r="F35" s="91">
        <v>1</v>
      </c>
      <c r="G35" s="91">
        <v>1490.31</v>
      </c>
      <c r="H35" s="92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36"/>
      <c r="B36" s="80" t="s">
        <v>5</v>
      </c>
      <c r="C36" s="135"/>
      <c r="D36" s="135"/>
      <c r="E36" s="135"/>
      <c r="F36" s="135"/>
      <c r="G36" s="135"/>
      <c r="H36" s="135"/>
      <c r="I36" s="135"/>
      <c r="J36" s="25"/>
      <c r="K36" s="10"/>
      <c r="L36" s="10"/>
      <c r="M36" s="10"/>
    </row>
    <row r="37" spans="1:13" ht="15.75" hidden="1" customHeight="1">
      <c r="A37" s="129">
        <v>6</v>
      </c>
      <c r="B37" s="65" t="s">
        <v>26</v>
      </c>
      <c r="C37" s="89" t="s">
        <v>30</v>
      </c>
      <c r="D37" s="65"/>
      <c r="E37" s="90"/>
      <c r="F37" s="91">
        <v>3</v>
      </c>
      <c r="G37" s="91">
        <v>2003</v>
      </c>
      <c r="H37" s="92">
        <f t="shared" ref="H37:H43" si="7">SUM(F37*G37/1000)</f>
        <v>6.0090000000000003</v>
      </c>
      <c r="I37" s="134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5" t="s">
        <v>203</v>
      </c>
      <c r="C38" s="89" t="s">
        <v>28</v>
      </c>
      <c r="D38" s="65" t="s">
        <v>143</v>
      </c>
      <c r="E38" s="90">
        <v>58.1</v>
      </c>
      <c r="F38" s="91">
        <f>E38*30/1000</f>
        <v>1.7430000000000001</v>
      </c>
      <c r="G38" s="91">
        <v>2757.78</v>
      </c>
      <c r="H38" s="92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5" t="s">
        <v>144</v>
      </c>
      <c r="C39" s="89" t="s">
        <v>145</v>
      </c>
      <c r="D39" s="65" t="s">
        <v>63</v>
      </c>
      <c r="E39" s="90"/>
      <c r="F39" s="91">
        <v>26</v>
      </c>
      <c r="G39" s="91">
        <v>301.70999999999998</v>
      </c>
      <c r="H39" s="92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5" t="s">
        <v>64</v>
      </c>
      <c r="C40" s="89" t="s">
        <v>28</v>
      </c>
      <c r="D40" s="65" t="s">
        <v>146</v>
      </c>
      <c r="E40" s="91">
        <v>58.1</v>
      </c>
      <c r="F40" s="91">
        <f>SUM(E40*155/1000)</f>
        <v>9.0054999999999996</v>
      </c>
      <c r="G40" s="91">
        <v>460.02</v>
      </c>
      <c r="H40" s="92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5" t="s">
        <v>81</v>
      </c>
      <c r="C41" s="89" t="s">
        <v>111</v>
      </c>
      <c r="D41" s="65" t="s">
        <v>204</v>
      </c>
      <c r="E41" s="91">
        <v>58.1</v>
      </c>
      <c r="F41" s="91">
        <f>SUM(E41*35/1000)</f>
        <v>2.0335000000000001</v>
      </c>
      <c r="G41" s="91">
        <v>7611.16</v>
      </c>
      <c r="H41" s="92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5" t="s">
        <v>148</v>
      </c>
      <c r="C42" s="89" t="s">
        <v>111</v>
      </c>
      <c r="D42" s="65" t="s">
        <v>205</v>
      </c>
      <c r="E42" s="91">
        <v>58.1</v>
      </c>
      <c r="F42" s="91">
        <f>SUM(E42*20/1000)</f>
        <v>1.1619999999999999</v>
      </c>
      <c r="G42" s="91">
        <v>562.25</v>
      </c>
      <c r="H42" s="92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5" t="s">
        <v>66</v>
      </c>
      <c r="C43" s="89" t="s">
        <v>31</v>
      </c>
      <c r="D43" s="65"/>
      <c r="E43" s="90"/>
      <c r="F43" s="91">
        <v>0.4</v>
      </c>
      <c r="G43" s="91">
        <v>974.83</v>
      </c>
      <c r="H43" s="92">
        <f t="shared" si="7"/>
        <v>0.389932</v>
      </c>
      <c r="I43" s="16">
        <f t="shared" si="8"/>
        <v>64.988666666666674</v>
      </c>
      <c r="J43" s="25"/>
      <c r="K43" s="10"/>
    </row>
    <row r="44" spans="1:13" ht="15.75" customHeight="1">
      <c r="A44" s="174" t="s">
        <v>174</v>
      </c>
      <c r="B44" s="175"/>
      <c r="C44" s="175"/>
      <c r="D44" s="175"/>
      <c r="E44" s="175"/>
      <c r="F44" s="175"/>
      <c r="G44" s="175"/>
      <c r="H44" s="175"/>
      <c r="I44" s="176"/>
      <c r="J44" s="26"/>
    </row>
    <row r="45" spans="1:13" ht="15.75" customHeight="1">
      <c r="A45" s="30">
        <v>12</v>
      </c>
      <c r="B45" s="65" t="s">
        <v>149</v>
      </c>
      <c r="C45" s="89" t="s">
        <v>111</v>
      </c>
      <c r="D45" s="65" t="s">
        <v>41</v>
      </c>
      <c r="E45" s="90">
        <v>1114.75</v>
      </c>
      <c r="F45" s="91">
        <f>SUM(E45*2/1000)</f>
        <v>2.2294999999999998</v>
      </c>
      <c r="G45" s="16">
        <v>1352.76</v>
      </c>
      <c r="H45" s="92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customHeight="1">
      <c r="A46" s="30">
        <v>13</v>
      </c>
      <c r="B46" s="65" t="s">
        <v>35</v>
      </c>
      <c r="C46" s="89" t="s">
        <v>111</v>
      </c>
      <c r="D46" s="65" t="s">
        <v>41</v>
      </c>
      <c r="E46" s="90">
        <v>1250.6199999999999</v>
      </c>
      <c r="F46" s="91">
        <f>SUM(E46*2/1000)</f>
        <v>2.5012399999999997</v>
      </c>
      <c r="G46" s="16">
        <v>1803.69</v>
      </c>
      <c r="H46" s="92">
        <f t="shared" si="9"/>
        <v>4.5114615755999994</v>
      </c>
      <c r="I46" s="16">
        <f t="shared" si="10"/>
        <v>2255.7307877999997</v>
      </c>
      <c r="J46" s="26"/>
    </row>
    <row r="47" spans="1:13" ht="15.75" customHeight="1">
      <c r="A47" s="30">
        <v>14</v>
      </c>
      <c r="B47" s="65" t="s">
        <v>36</v>
      </c>
      <c r="C47" s="89" t="s">
        <v>111</v>
      </c>
      <c r="D47" s="65" t="s">
        <v>41</v>
      </c>
      <c r="E47" s="90">
        <v>1295.68</v>
      </c>
      <c r="F47" s="91">
        <f>SUM(E47*2/1000)</f>
        <v>2.5913600000000003</v>
      </c>
      <c r="G47" s="16">
        <v>1243.43</v>
      </c>
      <c r="H47" s="92">
        <f t="shared" si="9"/>
        <v>3.2221747648000005</v>
      </c>
      <c r="I47" s="16">
        <f t="shared" si="10"/>
        <v>1611.0873824000003</v>
      </c>
      <c r="J47" s="26"/>
    </row>
    <row r="48" spans="1:13" ht="15.75" customHeight="1">
      <c r="A48" s="30">
        <v>15</v>
      </c>
      <c r="B48" s="65" t="s">
        <v>32</v>
      </c>
      <c r="C48" s="89" t="s">
        <v>33</v>
      </c>
      <c r="D48" s="65" t="s">
        <v>41</v>
      </c>
      <c r="E48" s="90">
        <v>85.84</v>
      </c>
      <c r="F48" s="91">
        <f>E48*2/100</f>
        <v>1.7168000000000001</v>
      </c>
      <c r="G48" s="16">
        <v>95.49</v>
      </c>
      <c r="H48" s="92">
        <f t="shared" si="9"/>
        <v>0.16393723199999999</v>
      </c>
      <c r="I48" s="16">
        <f>F48/2*G48</f>
        <v>81.968615999999997</v>
      </c>
      <c r="J48" s="26"/>
    </row>
    <row r="49" spans="1:14" ht="15.75" customHeight="1">
      <c r="A49" s="30">
        <v>16</v>
      </c>
      <c r="B49" s="65" t="s">
        <v>55</v>
      </c>
      <c r="C49" s="89" t="s">
        <v>111</v>
      </c>
      <c r="D49" s="65" t="s">
        <v>190</v>
      </c>
      <c r="E49" s="90">
        <v>2566.6</v>
      </c>
      <c r="F49" s="91">
        <f>SUM(E49*5/1000)</f>
        <v>12.833</v>
      </c>
      <c r="G49" s="16">
        <v>1803.69</v>
      </c>
      <c r="H49" s="92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customHeight="1">
      <c r="A50" s="30">
        <v>17</v>
      </c>
      <c r="B50" s="65" t="s">
        <v>150</v>
      </c>
      <c r="C50" s="89" t="s">
        <v>111</v>
      </c>
      <c r="D50" s="65" t="s">
        <v>41</v>
      </c>
      <c r="E50" s="90">
        <f>E49</f>
        <v>2566.6</v>
      </c>
      <c r="F50" s="91">
        <f>SUM(E50*2/1000)</f>
        <v>5.1331999999999995</v>
      </c>
      <c r="G50" s="16">
        <v>1591.6</v>
      </c>
      <c r="H50" s="92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customHeight="1">
      <c r="A51" s="30">
        <v>18</v>
      </c>
      <c r="B51" s="65" t="s">
        <v>151</v>
      </c>
      <c r="C51" s="89" t="s">
        <v>37</v>
      </c>
      <c r="D51" s="65" t="s">
        <v>41</v>
      </c>
      <c r="E51" s="90">
        <v>16</v>
      </c>
      <c r="F51" s="91">
        <f>SUM(E51*2/100)</f>
        <v>0.32</v>
      </c>
      <c r="G51" s="16">
        <v>4058.32</v>
      </c>
      <c r="H51" s="92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customHeight="1">
      <c r="A52" s="30">
        <v>19</v>
      </c>
      <c r="B52" s="65" t="s">
        <v>38</v>
      </c>
      <c r="C52" s="89" t="s">
        <v>39</v>
      </c>
      <c r="D52" s="65" t="s">
        <v>41</v>
      </c>
      <c r="E52" s="90">
        <v>1</v>
      </c>
      <c r="F52" s="91">
        <v>0.02</v>
      </c>
      <c r="G52" s="16">
        <v>7412.92</v>
      </c>
      <c r="H52" s="92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customHeight="1">
      <c r="A53" s="30">
        <v>20</v>
      </c>
      <c r="B53" s="65" t="s">
        <v>152</v>
      </c>
      <c r="C53" s="89" t="s">
        <v>96</v>
      </c>
      <c r="D53" s="65" t="s">
        <v>67</v>
      </c>
      <c r="E53" s="90">
        <v>60</v>
      </c>
      <c r="F53" s="91">
        <f>E53*3</f>
        <v>180</v>
      </c>
      <c r="G53" s="16">
        <v>185.08</v>
      </c>
      <c r="H53" s="92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customHeight="1">
      <c r="A54" s="30">
        <v>21</v>
      </c>
      <c r="B54" s="65" t="s">
        <v>40</v>
      </c>
      <c r="C54" s="89" t="s">
        <v>96</v>
      </c>
      <c r="D54" s="65" t="s">
        <v>67</v>
      </c>
      <c r="E54" s="90">
        <v>120</v>
      </c>
      <c r="F54" s="91">
        <f>SUM(E54)*3</f>
        <v>360</v>
      </c>
      <c r="G54" s="16">
        <v>86.15</v>
      </c>
      <c r="H54" s="92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74" t="s">
        <v>175</v>
      </c>
      <c r="B55" s="177"/>
      <c r="C55" s="177"/>
      <c r="D55" s="177"/>
      <c r="E55" s="177"/>
      <c r="F55" s="177"/>
      <c r="G55" s="177"/>
      <c r="H55" s="177"/>
      <c r="I55" s="178"/>
      <c r="J55" s="26"/>
      <c r="L55" s="22"/>
      <c r="M55" s="23"/>
      <c r="N55" s="24"/>
    </row>
    <row r="56" spans="1:14" ht="15.75" hidden="1" customHeight="1">
      <c r="A56" s="64"/>
      <c r="B56" s="112" t="s">
        <v>42</v>
      </c>
      <c r="C56" s="89"/>
      <c r="D56" s="65"/>
      <c r="E56" s="90"/>
      <c r="F56" s="91"/>
      <c r="G56" s="91"/>
      <c r="H56" s="92"/>
      <c r="I56" s="16"/>
      <c r="J56" s="26"/>
      <c r="L56" s="22"/>
      <c r="M56" s="23"/>
      <c r="N56" s="24"/>
    </row>
    <row r="57" spans="1:14" ht="31.5" hidden="1" customHeight="1">
      <c r="A57" s="64">
        <v>12</v>
      </c>
      <c r="B57" s="65" t="s">
        <v>153</v>
      </c>
      <c r="C57" s="89" t="s">
        <v>102</v>
      </c>
      <c r="D57" s="65" t="s">
        <v>154</v>
      </c>
      <c r="E57" s="90">
        <v>16</v>
      </c>
      <c r="F57" s="91">
        <f>SUM(E57*6/100)</f>
        <v>0.96</v>
      </c>
      <c r="G57" s="16">
        <v>2431.1799999999998</v>
      </c>
      <c r="H57" s="92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64">
        <v>16</v>
      </c>
      <c r="B58" s="98" t="s">
        <v>126</v>
      </c>
      <c r="C58" s="99" t="s">
        <v>127</v>
      </c>
      <c r="D58" s="98" t="s">
        <v>63</v>
      </c>
      <c r="E58" s="100"/>
      <c r="F58" s="101">
        <v>2</v>
      </c>
      <c r="G58" s="16">
        <v>1582.05</v>
      </c>
      <c r="H58" s="92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64"/>
      <c r="B59" s="111" t="s">
        <v>43</v>
      </c>
      <c r="C59" s="99"/>
      <c r="D59" s="98"/>
      <c r="E59" s="100"/>
      <c r="F59" s="101"/>
      <c r="G59" s="16"/>
      <c r="H59" s="102"/>
      <c r="I59" s="16"/>
      <c r="J59" s="26"/>
      <c r="L59" s="22"/>
      <c r="M59" s="23"/>
      <c r="N59" s="24"/>
    </row>
    <row r="60" spans="1:14" ht="15.75" hidden="1" customHeight="1">
      <c r="A60" s="85"/>
      <c r="B60" s="68" t="s">
        <v>155</v>
      </c>
      <c r="C60" s="56" t="s">
        <v>51</v>
      </c>
      <c r="D60" s="68" t="s">
        <v>52</v>
      </c>
      <c r="E60" s="142">
        <v>191.8</v>
      </c>
      <c r="F60" s="35">
        <f>SUM(E60/100)</f>
        <v>1.9180000000000001</v>
      </c>
      <c r="G60" s="39">
        <v>1040.8399999999999</v>
      </c>
      <c r="H60" s="14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22</v>
      </c>
      <c r="B61" s="68" t="s">
        <v>206</v>
      </c>
      <c r="C61" s="56" t="s">
        <v>207</v>
      </c>
      <c r="D61" s="68" t="s">
        <v>208</v>
      </c>
      <c r="E61" s="142">
        <v>100</v>
      </c>
      <c r="F61" s="35">
        <f>SUM(E61)*12</f>
        <v>1200</v>
      </c>
      <c r="G61" s="39">
        <v>2.8</v>
      </c>
      <c r="H61" s="141">
        <f t="shared" si="13"/>
        <v>3.36</v>
      </c>
      <c r="I61" s="16">
        <f>F61/12*G61</f>
        <v>280</v>
      </c>
      <c r="J61" s="26"/>
      <c r="L61" s="22"/>
      <c r="M61" s="23"/>
      <c r="N61" s="24"/>
    </row>
    <row r="62" spans="1:14" ht="15.75" customHeight="1">
      <c r="A62" s="30"/>
      <c r="B62" s="111" t="s">
        <v>44</v>
      </c>
      <c r="C62" s="99"/>
      <c r="D62" s="98"/>
      <c r="E62" s="100"/>
      <c r="F62" s="103"/>
      <c r="G62" s="103"/>
      <c r="H62" s="101" t="s">
        <v>123</v>
      </c>
      <c r="I62" s="16"/>
      <c r="J62" s="26"/>
      <c r="L62" s="22"/>
      <c r="M62" s="23"/>
      <c r="N62" s="24"/>
    </row>
    <row r="63" spans="1:14" ht="15.75" customHeight="1">
      <c r="A63" s="64">
        <v>23</v>
      </c>
      <c r="B63" s="17" t="s">
        <v>45</v>
      </c>
      <c r="C63" s="19" t="s">
        <v>96</v>
      </c>
      <c r="D63" s="98" t="s">
        <v>63</v>
      </c>
      <c r="E63" s="21">
        <v>5</v>
      </c>
      <c r="F63" s="91">
        <f>E63</f>
        <v>5</v>
      </c>
      <c r="G63" s="16">
        <v>291.68</v>
      </c>
      <c r="H63" s="104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64"/>
      <c r="B64" s="17" t="s">
        <v>46</v>
      </c>
      <c r="C64" s="19" t="s">
        <v>96</v>
      </c>
      <c r="D64" s="98" t="s">
        <v>63</v>
      </c>
      <c r="E64" s="21">
        <v>5</v>
      </c>
      <c r="F64" s="91">
        <f>E64</f>
        <v>5</v>
      </c>
      <c r="G64" s="16">
        <v>100.01</v>
      </c>
      <c r="H64" s="104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64">
        <v>25</v>
      </c>
      <c r="B65" s="17" t="s">
        <v>47</v>
      </c>
      <c r="C65" s="19" t="s">
        <v>114</v>
      </c>
      <c r="D65" s="17" t="s">
        <v>52</v>
      </c>
      <c r="E65" s="90">
        <v>10059</v>
      </c>
      <c r="F65" s="16">
        <f>SUM(E65/100)</f>
        <v>100.59</v>
      </c>
      <c r="G65" s="16">
        <v>278.24</v>
      </c>
      <c r="H65" s="104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64">
        <v>26</v>
      </c>
      <c r="B66" s="17" t="s">
        <v>48</v>
      </c>
      <c r="C66" s="19" t="s">
        <v>115</v>
      </c>
      <c r="D66" s="17"/>
      <c r="E66" s="90">
        <v>10059</v>
      </c>
      <c r="F66" s="16">
        <f>SUM(E66/1000)</f>
        <v>10.058999999999999</v>
      </c>
      <c r="G66" s="16">
        <v>216.68</v>
      </c>
      <c r="H66" s="104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64">
        <v>27</v>
      </c>
      <c r="B67" s="17" t="s">
        <v>49</v>
      </c>
      <c r="C67" s="19" t="s">
        <v>74</v>
      </c>
      <c r="D67" s="17" t="s">
        <v>52</v>
      </c>
      <c r="E67" s="90">
        <v>2200</v>
      </c>
      <c r="F67" s="16">
        <f>SUM(E67/100)</f>
        <v>22</v>
      </c>
      <c r="G67" s="16">
        <v>2720.94</v>
      </c>
      <c r="H67" s="104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64">
        <v>28</v>
      </c>
      <c r="B68" s="105" t="s">
        <v>116</v>
      </c>
      <c r="C68" s="19" t="s">
        <v>31</v>
      </c>
      <c r="D68" s="17"/>
      <c r="E68" s="90">
        <v>9.6</v>
      </c>
      <c r="F68" s="91">
        <f>E68</f>
        <v>9.6</v>
      </c>
      <c r="G68" s="16">
        <v>42.61</v>
      </c>
      <c r="H68" s="104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64">
        <v>29</v>
      </c>
      <c r="B69" s="105" t="s">
        <v>117</v>
      </c>
      <c r="C69" s="19" t="s">
        <v>31</v>
      </c>
      <c r="D69" s="17"/>
      <c r="E69" s="90">
        <f>E68</f>
        <v>9.6</v>
      </c>
      <c r="F69" s="91">
        <f t="shared" ref="F69:F70" si="16">E69</f>
        <v>9.6</v>
      </c>
      <c r="G69" s="16">
        <v>46.04</v>
      </c>
      <c r="H69" s="104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customHeight="1">
      <c r="A70" s="64">
        <v>24</v>
      </c>
      <c r="B70" s="17" t="s">
        <v>56</v>
      </c>
      <c r="C70" s="19" t="s">
        <v>57</v>
      </c>
      <c r="D70" s="17" t="s">
        <v>52</v>
      </c>
      <c r="E70" s="21">
        <v>3</v>
      </c>
      <c r="F70" s="91">
        <f t="shared" si="16"/>
        <v>3</v>
      </c>
      <c r="G70" s="16">
        <v>65.42</v>
      </c>
      <c r="H70" s="104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64">
        <v>25</v>
      </c>
      <c r="B71" s="17" t="s">
        <v>209</v>
      </c>
      <c r="C71" s="30" t="s">
        <v>210</v>
      </c>
      <c r="D71" s="154" t="s">
        <v>63</v>
      </c>
      <c r="E71" s="21">
        <v>2566.6</v>
      </c>
      <c r="F71" s="91">
        <f>SUM(E71)*12</f>
        <v>30799.199999999997</v>
      </c>
      <c r="G71" s="16">
        <v>2.2799999999999998</v>
      </c>
      <c r="H71" s="104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64"/>
      <c r="B72" s="80" t="s">
        <v>68</v>
      </c>
      <c r="C72" s="19"/>
      <c r="D72" s="17"/>
      <c r="E72" s="21"/>
      <c r="F72" s="16"/>
      <c r="G72" s="16"/>
      <c r="H72" s="104" t="s">
        <v>123</v>
      </c>
      <c r="I72" s="16"/>
      <c r="J72" s="26"/>
      <c r="L72" s="22"/>
      <c r="M72" s="23"/>
      <c r="N72" s="24"/>
    </row>
    <row r="73" spans="1:14" ht="31.5" hidden="1" customHeight="1">
      <c r="A73" s="64"/>
      <c r="B73" s="41" t="s">
        <v>211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4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70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4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85"/>
      <c r="B75" s="41" t="s">
        <v>69</v>
      </c>
      <c r="C75" s="42" t="s">
        <v>71</v>
      </c>
      <c r="D75" s="41"/>
      <c r="E75" s="20">
        <v>3</v>
      </c>
      <c r="F75" s="35">
        <f>E75/10</f>
        <v>0.3</v>
      </c>
      <c r="G75" s="39">
        <v>657.87</v>
      </c>
      <c r="H75" s="14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64"/>
      <c r="B76" s="144" t="s">
        <v>212</v>
      </c>
      <c r="C76" s="70" t="s">
        <v>96</v>
      </c>
      <c r="D76" s="41"/>
      <c r="E76" s="20">
        <v>1</v>
      </c>
      <c r="F76" s="35">
        <f t="shared" si="17"/>
        <v>1</v>
      </c>
      <c r="G76" s="39">
        <v>130.96</v>
      </c>
      <c r="H76" s="14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64"/>
      <c r="B77" s="113" t="s">
        <v>72</v>
      </c>
      <c r="C77" s="19"/>
      <c r="D77" s="17"/>
      <c r="E77" s="21"/>
      <c r="F77" s="16"/>
      <c r="G77" s="16" t="s">
        <v>123</v>
      </c>
      <c r="H77" s="104" t="s">
        <v>123</v>
      </c>
      <c r="I77" s="16"/>
      <c r="J77" s="26"/>
      <c r="L77" s="22"/>
      <c r="M77" s="23"/>
      <c r="N77" s="24"/>
    </row>
    <row r="78" spans="1:14" ht="15.75" hidden="1" customHeight="1">
      <c r="A78" s="64"/>
      <c r="B78" s="43" t="s">
        <v>122</v>
      </c>
      <c r="C78" s="44" t="s">
        <v>74</v>
      </c>
      <c r="D78" s="69"/>
      <c r="E78" s="145"/>
      <c r="F78" s="40">
        <v>1</v>
      </c>
      <c r="G78" s="40">
        <v>3619.09</v>
      </c>
      <c r="H78" s="14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64"/>
      <c r="B79" s="80" t="s">
        <v>112</v>
      </c>
      <c r="C79" s="19"/>
      <c r="D79" s="17"/>
      <c r="E79" s="21"/>
      <c r="F79" s="16"/>
      <c r="G79" s="16"/>
      <c r="H79" s="104">
        <f>SUM(H57:H78)</f>
        <v>180.72024663999997</v>
      </c>
      <c r="I79" s="16"/>
      <c r="J79" s="26"/>
      <c r="L79" s="22"/>
      <c r="M79" s="23"/>
      <c r="N79" s="24"/>
    </row>
    <row r="80" spans="1:14" ht="15.75" hidden="1" customHeight="1">
      <c r="A80" s="64">
        <v>19</v>
      </c>
      <c r="B80" s="65" t="s">
        <v>113</v>
      </c>
      <c r="C80" s="19"/>
      <c r="D80" s="17"/>
      <c r="E80" s="106"/>
      <c r="F80" s="16">
        <v>1</v>
      </c>
      <c r="G80" s="16">
        <v>22892</v>
      </c>
      <c r="H80" s="104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74" t="s">
        <v>176</v>
      </c>
      <c r="B81" s="182"/>
      <c r="C81" s="182"/>
      <c r="D81" s="182"/>
      <c r="E81" s="182"/>
      <c r="F81" s="182"/>
      <c r="G81" s="182"/>
      <c r="H81" s="182"/>
      <c r="I81" s="183"/>
      <c r="J81" s="26"/>
      <c r="L81" s="22"/>
      <c r="M81" s="23"/>
      <c r="N81" s="24"/>
    </row>
    <row r="82" spans="1:14" ht="15.75" customHeight="1">
      <c r="A82" s="64">
        <v>26</v>
      </c>
      <c r="B82" s="36" t="s">
        <v>156</v>
      </c>
      <c r="C82" s="42" t="s">
        <v>53</v>
      </c>
      <c r="D82" s="67" t="s">
        <v>54</v>
      </c>
      <c r="E82" s="39">
        <v>2566.6</v>
      </c>
      <c r="F82" s="39">
        <f>SUM(E82*12)</f>
        <v>30799.199999999997</v>
      </c>
      <c r="G82" s="39">
        <v>3.1</v>
      </c>
      <c r="H82" s="14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64">
        <v>27</v>
      </c>
      <c r="B83" s="41" t="s">
        <v>75</v>
      </c>
      <c r="C83" s="42"/>
      <c r="D83" s="67" t="s">
        <v>54</v>
      </c>
      <c r="E83" s="140">
        <v>2566.6</v>
      </c>
      <c r="F83" s="39">
        <f>E83*12</f>
        <v>30799.199999999997</v>
      </c>
      <c r="G83" s="39">
        <v>3.5</v>
      </c>
      <c r="H83" s="14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64"/>
      <c r="B84" s="45" t="s">
        <v>78</v>
      </c>
      <c r="C84" s="19"/>
      <c r="D84" s="52"/>
      <c r="E84" s="16"/>
      <c r="F84" s="16"/>
      <c r="G84" s="16"/>
      <c r="H84" s="104">
        <f>H83</f>
        <v>107.79719999999999</v>
      </c>
      <c r="I84" s="114">
        <f>I16+I17+I18+I20+I21+I26+I27+I30+I31+I45+I46+I47+I48+I49+I50+I51+I52+I53+I54+I33+I61+I63+I70+I71+I82+I83</f>
        <v>77421.599522311109</v>
      </c>
      <c r="J84" s="26"/>
      <c r="L84" s="22"/>
      <c r="M84" s="23"/>
      <c r="N84" s="24"/>
    </row>
    <row r="85" spans="1:14" ht="15.75" customHeight="1">
      <c r="A85" s="184" t="s">
        <v>58</v>
      </c>
      <c r="B85" s="185"/>
      <c r="C85" s="185"/>
      <c r="D85" s="185"/>
      <c r="E85" s="185"/>
      <c r="F85" s="185"/>
      <c r="G85" s="185"/>
      <c r="H85" s="185"/>
      <c r="I85" s="186"/>
      <c r="J85" s="26"/>
      <c r="L85" s="22"/>
      <c r="M85" s="23"/>
      <c r="N85" s="24"/>
    </row>
    <row r="86" spans="1:14" ht="31.5" customHeight="1">
      <c r="A86" s="64">
        <v>28</v>
      </c>
      <c r="B86" s="58" t="s">
        <v>239</v>
      </c>
      <c r="C86" s="73" t="s">
        <v>157</v>
      </c>
      <c r="D86" s="41"/>
      <c r="E86" s="20"/>
      <c r="F86" s="39">
        <v>2</v>
      </c>
      <c r="G86" s="39">
        <v>589.84</v>
      </c>
      <c r="H86" s="143">
        <f t="shared" ref="H86" si="20">G86*F86/1000</f>
        <v>1.1796800000000001</v>
      </c>
      <c r="I86" s="155">
        <f>G86</f>
        <v>589.84</v>
      </c>
      <c r="J86" s="26"/>
      <c r="L86" s="22"/>
      <c r="M86" s="23"/>
      <c r="N86" s="24"/>
    </row>
    <row r="87" spans="1:14" ht="31.5" customHeight="1">
      <c r="A87" s="64">
        <v>29</v>
      </c>
      <c r="B87" s="58" t="s">
        <v>170</v>
      </c>
      <c r="C87" s="73" t="s">
        <v>100</v>
      </c>
      <c r="D87" s="17"/>
      <c r="E87" s="21"/>
      <c r="F87" s="16">
        <v>1</v>
      </c>
      <c r="G87" s="16">
        <v>54.17</v>
      </c>
      <c r="H87" s="104">
        <f>G87*F87/1000</f>
        <v>5.4170000000000003E-2</v>
      </c>
      <c r="I87" s="155">
        <f>G87</f>
        <v>54.17</v>
      </c>
      <c r="J87" s="26"/>
      <c r="L87" s="22"/>
      <c r="M87" s="23"/>
      <c r="N87" s="24"/>
    </row>
    <row r="88" spans="1:14" ht="31.5" customHeight="1">
      <c r="A88" s="64">
        <v>30</v>
      </c>
      <c r="B88" s="58" t="s">
        <v>251</v>
      </c>
      <c r="C88" s="73" t="s">
        <v>79</v>
      </c>
      <c r="D88" s="17"/>
      <c r="E88" s="21"/>
      <c r="F88" s="16">
        <v>0.5</v>
      </c>
      <c r="G88" s="16">
        <v>1272</v>
      </c>
      <c r="H88" s="104">
        <f>G88*F88/1000</f>
        <v>0.63600000000000001</v>
      </c>
      <c r="I88" s="155">
        <f>G88*0.5</f>
        <v>636</v>
      </c>
      <c r="J88" s="26"/>
      <c r="L88" s="22"/>
      <c r="M88" s="23"/>
      <c r="N88" s="24"/>
    </row>
    <row r="89" spans="1:14" ht="15.75" customHeight="1">
      <c r="A89" s="64">
        <v>31</v>
      </c>
      <c r="B89" s="144" t="s">
        <v>255</v>
      </c>
      <c r="C89" s="70" t="s">
        <v>246</v>
      </c>
      <c r="D89" s="41"/>
      <c r="E89" s="20"/>
      <c r="F89" s="39">
        <v>30</v>
      </c>
      <c r="G89" s="39">
        <v>114.47</v>
      </c>
      <c r="H89" s="143">
        <f>G89*F89/1000</f>
        <v>3.4340999999999999</v>
      </c>
      <c r="I89" s="155">
        <f>G89*30</f>
        <v>3434.1</v>
      </c>
      <c r="J89" s="26"/>
      <c r="L89" s="22"/>
      <c r="M89" s="23"/>
      <c r="N89" s="24"/>
    </row>
    <row r="90" spans="1:14" ht="15.75" customHeight="1">
      <c r="A90" s="64">
        <v>32</v>
      </c>
      <c r="B90" s="65" t="s">
        <v>40</v>
      </c>
      <c r="C90" s="89" t="s">
        <v>96</v>
      </c>
      <c r="D90" s="17"/>
      <c r="E90" s="21"/>
      <c r="F90" s="16">
        <v>1</v>
      </c>
      <c r="G90" s="16">
        <v>86.15</v>
      </c>
      <c r="H90" s="104">
        <f t="shared" ref="H90:H91" si="21">G90*F90/1000</f>
        <v>8.6150000000000004E-2</v>
      </c>
      <c r="I90" s="155">
        <f>G90</f>
        <v>86.15</v>
      </c>
      <c r="J90" s="26"/>
      <c r="L90" s="22"/>
      <c r="M90" s="23"/>
      <c r="N90" s="24"/>
    </row>
    <row r="91" spans="1:14" ht="15.75" customHeight="1">
      <c r="A91" s="64">
        <v>33</v>
      </c>
      <c r="B91" s="36" t="s">
        <v>256</v>
      </c>
      <c r="C91" s="156"/>
      <c r="D91" s="41"/>
      <c r="E91" s="20"/>
      <c r="F91" s="39">
        <v>1</v>
      </c>
      <c r="G91" s="39">
        <v>1347</v>
      </c>
      <c r="H91" s="143">
        <f t="shared" si="21"/>
        <v>1.347</v>
      </c>
      <c r="I91" s="155">
        <f>G91</f>
        <v>1347</v>
      </c>
      <c r="J91" s="26"/>
      <c r="L91" s="22"/>
      <c r="M91" s="23"/>
      <c r="N91" s="24"/>
    </row>
    <row r="92" spans="1:14" ht="15.75" customHeight="1">
      <c r="A92" s="30"/>
      <c r="B92" s="50" t="s">
        <v>50</v>
      </c>
      <c r="C92" s="46"/>
      <c r="D92" s="57"/>
      <c r="E92" s="46">
        <v>1</v>
      </c>
      <c r="F92" s="46"/>
      <c r="G92" s="34"/>
      <c r="H92" s="46"/>
      <c r="I92" s="34">
        <f>SUM(I86:I91)</f>
        <v>6147.2599999999993</v>
      </c>
      <c r="J92" s="26"/>
      <c r="L92" s="22"/>
      <c r="M92" s="23"/>
      <c r="N92" s="24"/>
    </row>
    <row r="93" spans="1:14" ht="15.75" customHeight="1">
      <c r="A93" s="30"/>
      <c r="B93" s="52" t="s">
        <v>76</v>
      </c>
      <c r="C93" s="18"/>
      <c r="D93" s="18"/>
      <c r="E93" s="47"/>
      <c r="F93" s="48"/>
      <c r="G93" s="20"/>
      <c r="H93" s="87"/>
      <c r="I93" s="21">
        <v>0</v>
      </c>
      <c r="J93" s="26"/>
      <c r="L93" s="22"/>
      <c r="M93" s="23"/>
      <c r="N93" s="24"/>
    </row>
    <row r="94" spans="1:14" ht="15.75" customHeight="1">
      <c r="A94" s="88"/>
      <c r="B94" s="51" t="s">
        <v>194</v>
      </c>
      <c r="C94" s="37"/>
      <c r="D94" s="37"/>
      <c r="E94" s="37"/>
      <c r="F94" s="37"/>
      <c r="G94" s="49"/>
      <c r="H94" s="38"/>
      <c r="I94" s="34">
        <f>I84+I92</f>
        <v>83568.859522311104</v>
      </c>
      <c r="J94" s="26"/>
      <c r="L94" s="22"/>
      <c r="M94" s="23"/>
      <c r="N94" s="24"/>
    </row>
    <row r="95" spans="1:14" ht="15.75" customHeight="1">
      <c r="A95" s="158" t="s">
        <v>257</v>
      </c>
      <c r="B95" s="158"/>
      <c r="C95" s="158"/>
      <c r="D95" s="158"/>
      <c r="E95" s="158"/>
      <c r="F95" s="158"/>
      <c r="G95" s="158"/>
      <c r="H95" s="158"/>
      <c r="I95" s="158"/>
      <c r="J95" s="26"/>
      <c r="L95" s="22"/>
      <c r="M95" s="23"/>
      <c r="N95" s="24"/>
    </row>
    <row r="96" spans="1:14" ht="15.75" customHeight="1">
      <c r="A96" s="12"/>
      <c r="B96" s="179" t="s">
        <v>258</v>
      </c>
      <c r="C96" s="179"/>
      <c r="D96" s="179"/>
      <c r="E96" s="179"/>
      <c r="F96" s="179"/>
      <c r="G96" s="179"/>
      <c r="H96" s="121"/>
      <c r="I96" s="4"/>
      <c r="J96" s="26"/>
      <c r="L96" s="22"/>
    </row>
    <row r="97" spans="1:22" ht="15.75" customHeight="1">
      <c r="A97" s="79"/>
      <c r="B97" s="160" t="s">
        <v>6</v>
      </c>
      <c r="C97" s="160"/>
      <c r="D97" s="160"/>
      <c r="E97" s="160"/>
      <c r="F97" s="160"/>
      <c r="G97" s="160"/>
      <c r="H97" s="27"/>
      <c r="I97" s="54"/>
    </row>
    <row r="98" spans="1:22" ht="15.75" customHeight="1">
      <c r="A98" s="55"/>
      <c r="B98" s="55"/>
      <c r="C98" s="55"/>
      <c r="D98" s="55"/>
      <c r="E98" s="55"/>
      <c r="F98" s="55"/>
      <c r="G98" s="55"/>
      <c r="H98" s="55"/>
      <c r="I98" s="55"/>
    </row>
    <row r="99" spans="1:22" ht="15.75" customHeight="1">
      <c r="A99" s="180" t="s">
        <v>7</v>
      </c>
      <c r="B99" s="180"/>
      <c r="C99" s="180"/>
      <c r="D99" s="180"/>
      <c r="E99" s="180"/>
      <c r="F99" s="180"/>
      <c r="G99" s="180"/>
      <c r="H99" s="180"/>
      <c r="I99" s="180"/>
    </row>
    <row r="100" spans="1:22" ht="15.75" customHeight="1">
      <c r="A100" s="180" t="s">
        <v>8</v>
      </c>
      <c r="B100" s="180"/>
      <c r="C100" s="180"/>
      <c r="D100" s="180"/>
      <c r="E100" s="180"/>
      <c r="F100" s="180"/>
      <c r="G100" s="180"/>
      <c r="H100" s="180"/>
      <c r="I100" s="18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1"/>
    </row>
    <row r="101" spans="1:22" ht="15.75" customHeight="1">
      <c r="A101" s="158" t="s">
        <v>9</v>
      </c>
      <c r="B101" s="158"/>
      <c r="C101" s="158"/>
      <c r="D101" s="158"/>
      <c r="E101" s="158"/>
      <c r="F101" s="158"/>
      <c r="G101" s="158"/>
      <c r="H101" s="158"/>
      <c r="I101" s="158"/>
      <c r="J101" s="28"/>
      <c r="K101" s="28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2" ht="15.75" customHeight="1">
      <c r="A102" s="14"/>
      <c r="B102" s="53"/>
      <c r="C102" s="53"/>
      <c r="D102" s="53"/>
      <c r="E102" s="53"/>
      <c r="F102" s="53"/>
      <c r="G102" s="53"/>
      <c r="H102" s="53"/>
      <c r="I102" s="53"/>
      <c r="J102" s="6"/>
      <c r="K102" s="6"/>
      <c r="L102" s="6"/>
      <c r="M102" s="6"/>
      <c r="N102" s="6"/>
      <c r="O102" s="6"/>
      <c r="P102" s="6"/>
      <c r="Q102" s="6"/>
      <c r="R102" s="157"/>
      <c r="S102" s="157"/>
      <c r="T102" s="157"/>
      <c r="U102" s="157"/>
    </row>
    <row r="103" spans="1:22" ht="15.75" customHeight="1">
      <c r="A103" s="181" t="s">
        <v>10</v>
      </c>
      <c r="B103" s="181"/>
      <c r="C103" s="181"/>
      <c r="D103" s="181"/>
      <c r="E103" s="181"/>
      <c r="F103" s="181"/>
      <c r="G103" s="181"/>
      <c r="H103" s="181"/>
      <c r="I103" s="181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2" ht="15.75" customHeight="1">
      <c r="A104" s="5"/>
      <c r="B104" s="53"/>
      <c r="C104" s="53"/>
      <c r="D104" s="53"/>
      <c r="E104" s="53"/>
      <c r="F104" s="53"/>
      <c r="G104" s="53"/>
      <c r="H104" s="53"/>
      <c r="I104" s="53"/>
    </row>
    <row r="105" spans="1:22" ht="15.75" customHeight="1">
      <c r="A105" s="158" t="s">
        <v>11</v>
      </c>
      <c r="B105" s="158"/>
      <c r="C105" s="189" t="s">
        <v>91</v>
      </c>
      <c r="D105" s="189"/>
      <c r="E105" s="189"/>
      <c r="F105" s="82"/>
      <c r="I105" s="124"/>
    </row>
    <row r="106" spans="1:22" ht="15.75" customHeight="1">
      <c r="A106" s="79"/>
      <c r="B106" s="53"/>
      <c r="C106" s="160" t="s">
        <v>12</v>
      </c>
      <c r="D106" s="160"/>
      <c r="E106" s="160"/>
      <c r="F106" s="27"/>
      <c r="I106" s="122" t="s">
        <v>13</v>
      </c>
    </row>
    <row r="107" spans="1:22" ht="15.75" customHeight="1">
      <c r="A107" s="28"/>
      <c r="B107" s="53"/>
      <c r="C107" s="15"/>
      <c r="D107" s="15"/>
      <c r="G107" s="15"/>
      <c r="H107" s="15"/>
    </row>
    <row r="108" spans="1:22" ht="15.75" customHeight="1">
      <c r="A108" s="158" t="s">
        <v>14</v>
      </c>
      <c r="B108" s="158"/>
      <c r="C108" s="172"/>
      <c r="D108" s="172"/>
      <c r="E108" s="172"/>
      <c r="F108" s="83"/>
      <c r="I108" s="124"/>
    </row>
    <row r="109" spans="1:22" ht="15.75" customHeight="1">
      <c r="A109" s="125"/>
      <c r="C109" s="157" t="s">
        <v>12</v>
      </c>
      <c r="D109" s="157"/>
      <c r="E109" s="157"/>
      <c r="F109" s="125"/>
      <c r="I109" s="122" t="s">
        <v>13</v>
      </c>
    </row>
    <row r="110" spans="1:22" ht="15.75" customHeight="1">
      <c r="A110" s="5" t="s">
        <v>15</v>
      </c>
    </row>
    <row r="111" spans="1:22">
      <c r="A111" s="173" t="s">
        <v>16</v>
      </c>
      <c r="B111" s="173"/>
      <c r="C111" s="173"/>
      <c r="D111" s="173"/>
      <c r="E111" s="173"/>
      <c r="F111" s="173"/>
      <c r="G111" s="173"/>
      <c r="H111" s="173"/>
      <c r="I111" s="173"/>
    </row>
    <row r="112" spans="1:22" ht="45" customHeight="1">
      <c r="A112" s="171" t="s">
        <v>17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30" customHeight="1">
      <c r="A113" s="171" t="s">
        <v>18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30" customHeight="1">
      <c r="A114" s="171" t="s">
        <v>22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15" customHeight="1">
      <c r="A115" s="171" t="s">
        <v>21</v>
      </c>
      <c r="B115" s="171"/>
      <c r="C115" s="171"/>
      <c r="D115" s="171"/>
      <c r="E115" s="171"/>
      <c r="F115" s="171"/>
      <c r="G115" s="171"/>
      <c r="H115" s="171"/>
      <c r="I115" s="171"/>
    </row>
  </sheetData>
  <autoFilter ref="I15:I98"/>
  <mergeCells count="31">
    <mergeCell ref="A115:I115"/>
    <mergeCell ref="R102:U102"/>
    <mergeCell ref="A103:I103"/>
    <mergeCell ref="A105:B105"/>
    <mergeCell ref="C105:E105"/>
    <mergeCell ref="C106:E106"/>
    <mergeCell ref="A108:B108"/>
    <mergeCell ref="C108:E108"/>
    <mergeCell ref="C109:E109"/>
    <mergeCell ref="A111:I111"/>
    <mergeCell ref="A112:I112"/>
    <mergeCell ref="A113:I113"/>
    <mergeCell ref="A114:I114"/>
    <mergeCell ref="A101:I101"/>
    <mergeCell ref="A15:I15"/>
    <mergeCell ref="A28:I28"/>
    <mergeCell ref="A44:I44"/>
    <mergeCell ref="A55:I55"/>
    <mergeCell ref="A81:I81"/>
    <mergeCell ref="A85:I85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2017-11-28T12:56:41Z</cp:lastPrinted>
  <dcterms:created xsi:type="dcterms:W3CDTF">2016-03-25T08:33:47Z</dcterms:created>
  <dcterms:modified xsi:type="dcterms:W3CDTF">2018-03-28T13:40:31Z</dcterms:modified>
</cp:coreProperties>
</file>