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17" r:id="rId1"/>
    <sheet name="02.21" sheetId="18" r:id="rId2"/>
    <sheet name="03.21" sheetId="19" r:id="rId3"/>
    <sheet name="04.21" sheetId="20" r:id="rId4"/>
    <sheet name="05.21" sheetId="21" r:id="rId5"/>
    <sheet name="06.21" sheetId="22" r:id="rId6"/>
    <sheet name="07.21" sheetId="23" r:id="rId7"/>
    <sheet name="08.21" sheetId="24" r:id="rId8"/>
    <sheet name="09.21" sheetId="25" r:id="rId9"/>
    <sheet name="10.21" sheetId="26" r:id="rId10"/>
    <sheet name="11.21" sheetId="28" r:id="rId11"/>
    <sheet name="12.21" sheetId="29" r:id="rId12"/>
  </sheets>
  <definedNames>
    <definedName name="_xlnm._FilterDatabase" localSheetId="0" hidden="1">'01.21'!$I$12:$I$63</definedName>
    <definedName name="_xlnm._FilterDatabase" localSheetId="1" hidden="1">'02.21'!$I$12:$I$62</definedName>
    <definedName name="_xlnm._FilterDatabase" localSheetId="2" hidden="1">'03.21'!$I$12:$I$64</definedName>
    <definedName name="_xlnm._FilterDatabase" localSheetId="3" hidden="1">'04.21'!$I$12:$I$62</definedName>
    <definedName name="_xlnm._FilterDatabase" localSheetId="4" hidden="1">'05.21'!$I$12:$I$60</definedName>
    <definedName name="_xlnm._FilterDatabase" localSheetId="5" hidden="1">'06.21'!$I$12:$I$62</definedName>
    <definedName name="_xlnm._FilterDatabase" localSheetId="6" hidden="1">'07.21'!$I$12:$I$60</definedName>
    <definedName name="_xlnm._FilterDatabase" localSheetId="7" hidden="1">'08.21'!$I$12:$I$60</definedName>
    <definedName name="_xlnm._FilterDatabase" localSheetId="8" hidden="1">'09.21'!$I$12:$I$61</definedName>
    <definedName name="_xlnm._FilterDatabase" localSheetId="9" hidden="1">'10.21'!$I$12:$I$61</definedName>
    <definedName name="_xlnm._FilterDatabase" localSheetId="10" hidden="1">'11.21'!$I$12:$I$64</definedName>
    <definedName name="_xlnm._FilterDatabase" localSheetId="11" hidden="1">'12.21'!$I$12:$I$63</definedName>
    <definedName name="_xlnm.Print_Area" localSheetId="0">'01.21'!$A$1:$I$118</definedName>
    <definedName name="_xlnm.Print_Area" localSheetId="1">'02.21'!$A$1:$I$115</definedName>
    <definedName name="_xlnm.Print_Area" localSheetId="2">'03.21'!$A$1:$I$119</definedName>
    <definedName name="_xlnm.Print_Area" localSheetId="3">'04.21'!$A$1:$I$120</definedName>
    <definedName name="_xlnm.Print_Area" localSheetId="4">'05.21'!$A$1:$I$121</definedName>
    <definedName name="_xlnm.Print_Area" localSheetId="5">'06.21'!$A$1:$I$124</definedName>
    <definedName name="_xlnm.Print_Area" localSheetId="6">'07.21'!$A$1:$I$119</definedName>
    <definedName name="_xlnm.Print_Area" localSheetId="7">'08.21'!$A$1:$I$116</definedName>
    <definedName name="_xlnm.Print_Area" localSheetId="8">'09.21'!$A$1:$I$120</definedName>
    <definedName name="_xlnm.Print_Area" localSheetId="9">'10.21'!$A$1:$I$116</definedName>
    <definedName name="_xlnm.Print_Area" localSheetId="10">'11.21'!$A$1:$I$115</definedName>
    <definedName name="_xlnm.Print_Area" localSheetId="11">'12.21'!$A$1:$I$115</definedName>
  </definedNames>
  <calcPr calcId="125725"/>
</workbook>
</file>

<file path=xl/calcChain.xml><?xml version="1.0" encoding="utf-8"?>
<calcChain xmlns="http://schemas.openxmlformats.org/spreadsheetml/2006/main">
  <c r="I92" i="29"/>
  <c r="I91"/>
  <c r="I88"/>
  <c r="I38"/>
  <c r="I89" i="28" l="1"/>
  <c r="I92"/>
  <c r="I91"/>
  <c r="I59"/>
  <c r="I38"/>
  <c r="I86" i="26"/>
  <c r="I93"/>
  <c r="I92"/>
  <c r="I89"/>
  <c r="I86" i="25"/>
  <c r="I97"/>
  <c r="I94"/>
  <c r="I93"/>
  <c r="F93"/>
  <c r="I92"/>
  <c r="I91"/>
  <c r="F91"/>
  <c r="I90"/>
  <c r="I89"/>
  <c r="I65"/>
  <c r="I57"/>
  <c r="I85" i="24"/>
  <c r="F53"/>
  <c r="I93"/>
  <c r="I92"/>
  <c r="I91"/>
  <c r="I90"/>
  <c r="I89"/>
  <c r="I88"/>
  <c r="I87"/>
  <c r="I63"/>
  <c r="I96" i="23"/>
  <c r="I95"/>
  <c r="I26" l="1"/>
  <c r="I85" s="1"/>
  <c r="I25"/>
  <c r="I24"/>
  <c r="I23"/>
  <c r="I22"/>
  <c r="F26"/>
  <c r="F25"/>
  <c r="F24"/>
  <c r="F23"/>
  <c r="F22"/>
  <c r="I94"/>
  <c r="I93"/>
  <c r="I92"/>
  <c r="I91"/>
  <c r="I90"/>
  <c r="I89"/>
  <c r="I88"/>
  <c r="I63"/>
  <c r="I58" i="22" l="1"/>
  <c r="I95"/>
  <c r="I94"/>
  <c r="I100"/>
  <c r="F71" l="1"/>
  <c r="F70"/>
  <c r="I98"/>
  <c r="I97"/>
  <c r="I96"/>
  <c r="I93"/>
  <c r="I92"/>
  <c r="I91"/>
  <c r="I101" s="1"/>
  <c r="I96" i="20"/>
  <c r="I98" i="21" l="1"/>
  <c r="I95"/>
  <c r="I94"/>
  <c r="I93"/>
  <c r="I92"/>
  <c r="I91"/>
  <c r="I90"/>
  <c r="I89"/>
  <c r="I88"/>
  <c r="I87"/>
  <c r="I95" i="20"/>
  <c r="I92" l="1"/>
  <c r="I91"/>
  <c r="I90"/>
  <c r="I89"/>
  <c r="I75"/>
  <c r="I97" l="1"/>
  <c r="I37" i="19"/>
  <c r="I67" l="1"/>
  <c r="I96"/>
  <c r="I93"/>
  <c r="I92"/>
  <c r="I91"/>
  <c r="I60"/>
  <c r="I59"/>
  <c r="F62"/>
  <c r="I62" s="1"/>
  <c r="I92" i="18" l="1"/>
  <c r="I91"/>
  <c r="I90"/>
  <c r="I89"/>
  <c r="I59"/>
  <c r="I58"/>
  <c r="I94" i="17"/>
  <c r="I59"/>
  <c r="I93"/>
  <c r="I90"/>
  <c r="I43"/>
  <c r="I37"/>
  <c r="F21" i="28"/>
  <c r="H21" s="1"/>
  <c r="F21" i="26"/>
  <c r="H21" s="1"/>
  <c r="I76" i="29"/>
  <c r="F76"/>
  <c r="I95" i="17" l="1"/>
  <c r="I21" i="28"/>
  <c r="I21" i="26"/>
  <c r="I44" i="28" l="1"/>
  <c r="E85" i="25" l="1"/>
  <c r="F85" s="1"/>
  <c r="F84"/>
  <c r="H84" s="1"/>
  <c r="I78"/>
  <c r="F78"/>
  <c r="F73"/>
  <c r="I73" s="1"/>
  <c r="I64"/>
  <c r="F71"/>
  <c r="F70"/>
  <c r="F69"/>
  <c r="F68"/>
  <c r="F67"/>
  <c r="F66"/>
  <c r="F65"/>
  <c r="I60"/>
  <c r="H60"/>
  <c r="F53"/>
  <c r="F51"/>
  <c r="F50"/>
  <c r="F49"/>
  <c r="F48"/>
  <c r="F47"/>
  <c r="F46"/>
  <c r="F45"/>
  <c r="F44"/>
  <c r="I32"/>
  <c r="F31"/>
  <c r="I31" s="1"/>
  <c r="F30"/>
  <c r="H30" s="1"/>
  <c r="F29"/>
  <c r="I29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59" i="24"/>
  <c r="H59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32"/>
  <c r="F31"/>
  <c r="I31" s="1"/>
  <c r="F30"/>
  <c r="I30" s="1"/>
  <c r="F29"/>
  <c r="I29" s="1"/>
  <c r="F72"/>
  <c r="I72" s="1"/>
  <c r="E84"/>
  <c r="F84" s="1"/>
  <c r="F83"/>
  <c r="H83" s="1"/>
  <c r="I77"/>
  <c r="F77"/>
  <c r="I74"/>
  <c r="H30" l="1"/>
  <c r="H16"/>
  <c r="H20"/>
  <c r="H20" i="25"/>
  <c r="H29"/>
  <c r="H16"/>
  <c r="H85"/>
  <c r="I85"/>
  <c r="I84"/>
  <c r="I30"/>
  <c r="H31"/>
  <c r="I17"/>
  <c r="I18"/>
  <c r="I21"/>
  <c r="I26"/>
  <c r="I17" i="24"/>
  <c r="I18"/>
  <c r="I21"/>
  <c r="I26"/>
  <c r="H29"/>
  <c r="H31"/>
  <c r="H84"/>
  <c r="I84"/>
  <c r="I83"/>
  <c r="I83" i="22" l="1"/>
  <c r="I59" i="23" l="1"/>
  <c r="H59"/>
  <c r="E84"/>
  <c r="F84" s="1"/>
  <c r="F83"/>
  <c r="H83" s="1"/>
  <c r="I77"/>
  <c r="F77"/>
  <c r="F69"/>
  <c r="F68"/>
  <c r="F67"/>
  <c r="F66"/>
  <c r="F65"/>
  <c r="F72"/>
  <c r="I72" s="1"/>
  <c r="I32"/>
  <c r="F31"/>
  <c r="I31" s="1"/>
  <c r="F30"/>
  <c r="I30" s="1"/>
  <c r="F29"/>
  <c r="I29" s="1"/>
  <c r="H26"/>
  <c r="H25"/>
  <c r="H24"/>
  <c r="H23"/>
  <c r="H22"/>
  <c r="F21"/>
  <c r="I21" s="1"/>
  <c r="F20"/>
  <c r="I20" s="1"/>
  <c r="F19"/>
  <c r="H19" s="1"/>
  <c r="E18"/>
  <c r="F18" s="1"/>
  <c r="F17"/>
  <c r="I17" s="1"/>
  <c r="F16"/>
  <c r="I16" s="1"/>
  <c r="H21" l="1"/>
  <c r="H30"/>
  <c r="H17"/>
  <c r="H84"/>
  <c r="I84"/>
  <c r="I83"/>
  <c r="H29"/>
  <c r="H31"/>
  <c r="H18"/>
  <c r="I18"/>
  <c r="H16"/>
  <c r="H20"/>
  <c r="I61" i="22" l="1"/>
  <c r="H61"/>
  <c r="F27"/>
  <c r="H27" s="1"/>
  <c r="I76"/>
  <c r="E86"/>
  <c r="F86" s="1"/>
  <c r="F85"/>
  <c r="H85" s="1"/>
  <c r="I79"/>
  <c r="F79"/>
  <c r="F74"/>
  <c r="I74" s="1"/>
  <c r="I33"/>
  <c r="F32"/>
  <c r="I32" s="1"/>
  <c r="F31"/>
  <c r="H31" s="1"/>
  <c r="F30"/>
  <c r="I30" s="1"/>
  <c r="F26"/>
  <c r="I26" s="1"/>
  <c r="F25"/>
  <c r="I25" s="1"/>
  <c r="F24"/>
  <c r="I24" s="1"/>
  <c r="F23"/>
  <c r="I23" s="1"/>
  <c r="F22"/>
  <c r="I22" s="1"/>
  <c r="F21"/>
  <c r="I21" s="1"/>
  <c r="F20"/>
  <c r="F19"/>
  <c r="I19" s="1"/>
  <c r="E18"/>
  <c r="F18" s="1"/>
  <c r="I18" s="1"/>
  <c r="F17"/>
  <c r="F16"/>
  <c r="I27" l="1"/>
  <c r="H30"/>
  <c r="H86"/>
  <c r="I86"/>
  <c r="I85"/>
  <c r="I31"/>
  <c r="H32"/>
  <c r="I60" i="21"/>
  <c r="H60"/>
  <c r="E83"/>
  <c r="F83" s="1"/>
  <c r="F82"/>
  <c r="H82" s="1"/>
  <c r="I76"/>
  <c r="F76"/>
  <c r="F71"/>
  <c r="I71" s="1"/>
  <c r="F33"/>
  <c r="F31"/>
  <c r="F30"/>
  <c r="F29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H83" l="1"/>
  <c r="I83"/>
  <c r="I82"/>
  <c r="H18"/>
  <c r="I18"/>
  <c r="H16"/>
  <c r="H20"/>
  <c r="I17"/>
  <c r="I21"/>
  <c r="I26"/>
  <c r="I62" i="20" l="1"/>
  <c r="H62"/>
  <c r="E85"/>
  <c r="F85" s="1"/>
  <c r="F84"/>
  <c r="H84" s="1"/>
  <c r="I78"/>
  <c r="F78"/>
  <c r="F73"/>
  <c r="I73" s="1"/>
  <c r="I59"/>
  <c r="I58"/>
  <c r="F58"/>
  <c r="F44"/>
  <c r="I44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3"/>
  <c r="H43"/>
  <c r="F42"/>
  <c r="I42" s="1"/>
  <c r="F41"/>
  <c r="H41" s="1"/>
  <c r="F40"/>
  <c r="I40" s="1"/>
  <c r="H39"/>
  <c r="F38"/>
  <c r="I38" s="1"/>
  <c r="I37"/>
  <c r="H37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H85" l="1"/>
  <c r="I85"/>
  <c r="I86" s="1"/>
  <c r="I84"/>
  <c r="H16"/>
  <c r="H20"/>
  <c r="H38"/>
  <c r="H40"/>
  <c r="I41"/>
  <c r="H42"/>
  <c r="I51"/>
  <c r="I17"/>
  <c r="I18"/>
  <c r="I21"/>
  <c r="I26"/>
  <c r="E88" i="19"/>
  <c r="F88" s="1"/>
  <c r="F87"/>
  <c r="H87" s="1"/>
  <c r="I81"/>
  <c r="F81"/>
  <c r="F76"/>
  <c r="I76" s="1"/>
  <c r="F44"/>
  <c r="I44" s="1"/>
  <c r="F41"/>
  <c r="H41" s="1"/>
  <c r="F40"/>
  <c r="I40" s="1"/>
  <c r="H39"/>
  <c r="F38"/>
  <c r="I38" s="1"/>
  <c r="H37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H20" l="1"/>
  <c r="H16"/>
  <c r="H88"/>
  <c r="I88"/>
  <c r="I87"/>
  <c r="H38"/>
  <c r="H40"/>
  <c r="I41"/>
  <c r="I17"/>
  <c r="I18"/>
  <c r="I21"/>
  <c r="I26"/>
  <c r="I62" i="18" l="1"/>
  <c r="H62"/>
  <c r="E85"/>
  <c r="F85" s="1"/>
  <c r="H85" s="1"/>
  <c r="F84"/>
  <c r="H84" s="1"/>
  <c r="I78"/>
  <c r="F78"/>
  <c r="I75"/>
  <c r="F73"/>
  <c r="I73" s="1"/>
  <c r="F51"/>
  <c r="H51" s="1"/>
  <c r="I37"/>
  <c r="F44"/>
  <c r="I44" s="1"/>
  <c r="I43"/>
  <c r="H43"/>
  <c r="F42"/>
  <c r="I42" s="1"/>
  <c r="F41"/>
  <c r="I41" s="1"/>
  <c r="F40"/>
  <c r="I40" s="1"/>
  <c r="H39"/>
  <c r="F38"/>
  <c r="I38" s="1"/>
  <c r="H37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H16"/>
  <c r="F16"/>
  <c r="I16" s="1"/>
  <c r="I17" l="1"/>
  <c r="H40"/>
  <c r="I84"/>
  <c r="I85"/>
  <c r="H38"/>
  <c r="I51"/>
  <c r="H42"/>
  <c r="H41"/>
  <c r="H20"/>
  <c r="I18"/>
  <c r="I21"/>
  <c r="I26"/>
  <c r="I86" l="1"/>
  <c r="E87" i="17"/>
  <c r="F87" s="1"/>
  <c r="F86"/>
  <c r="H86" s="1"/>
  <c r="I80"/>
  <c r="F80"/>
  <c r="F75"/>
  <c r="I75" s="1"/>
  <c r="F51"/>
  <c r="H51" s="1"/>
  <c r="F44"/>
  <c r="I44" s="1"/>
  <c r="H43"/>
  <c r="F42"/>
  <c r="F41"/>
  <c r="I41" s="1"/>
  <c r="F40"/>
  <c r="H40" s="1"/>
  <c r="H39"/>
  <c r="F38"/>
  <c r="H38" s="1"/>
  <c r="H37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E87" i="29"/>
  <c r="F87" s="1"/>
  <c r="F86"/>
  <c r="H86" s="1"/>
  <c r="I82"/>
  <c r="F74"/>
  <c r="I74" s="1"/>
  <c r="I80"/>
  <c r="F80"/>
  <c r="I60"/>
  <c r="I59"/>
  <c r="F45"/>
  <c r="I45" s="1"/>
  <c r="I44"/>
  <c r="H44"/>
  <c r="F43"/>
  <c r="I43" s="1"/>
  <c r="F42"/>
  <c r="I42" s="1"/>
  <c r="F41"/>
  <c r="I41" s="1"/>
  <c r="H40"/>
  <c r="F39"/>
  <c r="I39" s="1"/>
  <c r="H38"/>
  <c r="F21"/>
  <c r="I21" s="1"/>
  <c r="F26"/>
  <c r="H26" s="1"/>
  <c r="F25"/>
  <c r="H25" s="1"/>
  <c r="H24"/>
  <c r="F23"/>
  <c r="H23" s="1"/>
  <c r="F22"/>
  <c r="H22" s="1"/>
  <c r="F20"/>
  <c r="I20" s="1"/>
  <c r="F19"/>
  <c r="H19" s="1"/>
  <c r="E18"/>
  <c r="F18" s="1"/>
  <c r="F17"/>
  <c r="H17" s="1"/>
  <c r="F16"/>
  <c r="I16" s="1"/>
  <c r="H16" i="17" l="1"/>
  <c r="H42"/>
  <c r="I42"/>
  <c r="H20"/>
  <c r="H87"/>
  <c r="I87"/>
  <c r="I86"/>
  <c r="I51"/>
  <c r="I38"/>
  <c r="I40"/>
  <c r="H41"/>
  <c r="I17"/>
  <c r="I18"/>
  <c r="I21"/>
  <c r="I26"/>
  <c r="H20" i="29"/>
  <c r="H41"/>
  <c r="H87"/>
  <c r="I87"/>
  <c r="I86"/>
  <c r="H39"/>
  <c r="H43"/>
  <c r="H42"/>
  <c r="H21"/>
  <c r="H18"/>
  <c r="I18"/>
  <c r="H16"/>
  <c r="I17"/>
  <c r="I26"/>
  <c r="I78" i="28" l="1"/>
  <c r="I58" i="26"/>
  <c r="F63" i="28"/>
  <c r="I60"/>
  <c r="I67"/>
  <c r="E88"/>
  <c r="F88" s="1"/>
  <c r="F87"/>
  <c r="H87" s="1"/>
  <c r="I81"/>
  <c r="F81"/>
  <c r="F76"/>
  <c r="I76" s="1"/>
  <c r="F45"/>
  <c r="I45" s="1"/>
  <c r="F43"/>
  <c r="I43" s="1"/>
  <c r="F42"/>
  <c r="F41"/>
  <c r="F39"/>
  <c r="F26"/>
  <c r="H26" s="1"/>
  <c r="F25"/>
  <c r="H25" s="1"/>
  <c r="H24"/>
  <c r="F23"/>
  <c r="H23" s="1"/>
  <c r="F22"/>
  <c r="H22" s="1"/>
  <c r="F20"/>
  <c r="I20" s="1"/>
  <c r="F19"/>
  <c r="H19" s="1"/>
  <c r="E18"/>
  <c r="F18" s="1"/>
  <c r="F17"/>
  <c r="H17" s="1"/>
  <c r="F16"/>
  <c r="I16" s="1"/>
  <c r="H16" l="1"/>
  <c r="H18"/>
  <c r="I18"/>
  <c r="H20"/>
  <c r="H88"/>
  <c r="I88"/>
  <c r="I87"/>
  <c r="I17"/>
  <c r="I26"/>
  <c r="I43" i="26" l="1"/>
  <c r="F43"/>
  <c r="F81"/>
  <c r="I81" s="1"/>
  <c r="I75"/>
  <c r="F85"/>
  <c r="I85" s="1"/>
  <c r="E84"/>
  <c r="F84" s="1"/>
  <c r="F83"/>
  <c r="F75"/>
  <c r="F61"/>
  <c r="F30"/>
  <c r="F29"/>
  <c r="F26"/>
  <c r="H26" s="1"/>
  <c r="F20"/>
  <c r="E18"/>
  <c r="F18" s="1"/>
  <c r="I18" s="1"/>
  <c r="F17"/>
  <c r="F16"/>
  <c r="I52" i="25"/>
  <c r="I26" i="26" l="1"/>
  <c r="I74" i="23" l="1"/>
  <c r="H26" i="22"/>
  <c r="H25"/>
  <c r="H24"/>
  <c r="H23"/>
  <c r="H22"/>
  <c r="H21"/>
  <c r="I20"/>
  <c r="H19"/>
  <c r="H17"/>
  <c r="I16"/>
  <c r="H20" l="1"/>
  <c r="H18"/>
  <c r="H16"/>
  <c r="I17"/>
  <c r="F58" i="18" l="1"/>
  <c r="I77" i="17" l="1"/>
  <c r="I66"/>
  <c r="I58"/>
  <c r="I77" i="29"/>
  <c r="I38" i="21" l="1"/>
  <c r="I57"/>
  <c r="I43" i="19" l="1"/>
  <c r="H62" i="17" l="1"/>
  <c r="H84" i="29" l="1"/>
  <c r="H82"/>
  <c r="H79"/>
  <c r="F78"/>
  <c r="H78" s="1"/>
  <c r="F72"/>
  <c r="I72" s="1"/>
  <c r="F71"/>
  <c r="H71" s="1"/>
  <c r="F70"/>
  <c r="I70" s="1"/>
  <c r="F69"/>
  <c r="H69" s="1"/>
  <c r="F68"/>
  <c r="I68" s="1"/>
  <c r="F67"/>
  <c r="H67" s="1"/>
  <c r="H66"/>
  <c r="I65"/>
  <c r="H65"/>
  <c r="I63"/>
  <c r="H63"/>
  <c r="F62"/>
  <c r="H62" s="1"/>
  <c r="F59"/>
  <c r="H59" s="1"/>
  <c r="I56"/>
  <c r="F56"/>
  <c r="H56" s="1"/>
  <c r="I55"/>
  <c r="H55"/>
  <c r="F54"/>
  <c r="H54" s="1"/>
  <c r="F53"/>
  <c r="I53" s="1"/>
  <c r="F52"/>
  <c r="H52" s="1"/>
  <c r="F51"/>
  <c r="H51" s="1"/>
  <c r="F50"/>
  <c r="H50" s="1"/>
  <c r="F49"/>
  <c r="H49" s="1"/>
  <c r="F48"/>
  <c r="H48" s="1"/>
  <c r="F47"/>
  <c r="H47" s="1"/>
  <c r="H36"/>
  <c r="H35"/>
  <c r="H34"/>
  <c r="F34"/>
  <c r="I34" s="1"/>
  <c r="I33"/>
  <c r="F32"/>
  <c r="H32" s="1"/>
  <c r="F31"/>
  <c r="I31" s="1"/>
  <c r="F30"/>
  <c r="H30" s="1"/>
  <c r="F27"/>
  <c r="I27" s="1"/>
  <c r="H85" i="28"/>
  <c r="H83"/>
  <c r="H80"/>
  <c r="F79"/>
  <c r="H79" s="1"/>
  <c r="F74"/>
  <c r="I74" s="1"/>
  <c r="F73"/>
  <c r="H73" s="1"/>
  <c r="F72"/>
  <c r="I72" s="1"/>
  <c r="F71"/>
  <c r="H71" s="1"/>
  <c r="F70"/>
  <c r="I70" s="1"/>
  <c r="F69"/>
  <c r="H69" s="1"/>
  <c r="H68"/>
  <c r="H67"/>
  <c r="I63"/>
  <c r="H63"/>
  <c r="F62"/>
  <c r="H62" s="1"/>
  <c r="F59"/>
  <c r="H59" s="1"/>
  <c r="I56"/>
  <c r="F56"/>
  <c r="H56" s="1"/>
  <c r="I55"/>
  <c r="H55"/>
  <c r="F54"/>
  <c r="H54" s="1"/>
  <c r="F53"/>
  <c r="I53" s="1"/>
  <c r="F52"/>
  <c r="H52" s="1"/>
  <c r="F51"/>
  <c r="H51" s="1"/>
  <c r="F50"/>
  <c r="H50" s="1"/>
  <c r="F49"/>
  <c r="H49" s="1"/>
  <c r="F48"/>
  <c r="H48" s="1"/>
  <c r="F47"/>
  <c r="H47" s="1"/>
  <c r="H44"/>
  <c r="H42"/>
  <c r="I41"/>
  <c r="H40"/>
  <c r="I39"/>
  <c r="H38"/>
  <c r="H36"/>
  <c r="H35"/>
  <c r="H34"/>
  <c r="F34"/>
  <c r="I34" s="1"/>
  <c r="I33"/>
  <c r="F32"/>
  <c r="H32" s="1"/>
  <c r="F31"/>
  <c r="I31" s="1"/>
  <c r="F30"/>
  <c r="H30" s="1"/>
  <c r="F27"/>
  <c r="I27" s="1"/>
  <c r="I72" i="26"/>
  <c r="I63"/>
  <c r="H27" i="29" l="1"/>
  <c r="I30"/>
  <c r="H31"/>
  <c r="I32"/>
  <c r="I52"/>
  <c r="H53"/>
  <c r="I54"/>
  <c r="I67"/>
  <c r="H68"/>
  <c r="I69"/>
  <c r="H70"/>
  <c r="I71"/>
  <c r="H72"/>
  <c r="H27" i="28"/>
  <c r="I30"/>
  <c r="H31"/>
  <c r="I32"/>
  <c r="H39"/>
  <c r="H41"/>
  <c r="I42"/>
  <c r="H43"/>
  <c r="I52"/>
  <c r="H53"/>
  <c r="I54"/>
  <c r="I69"/>
  <c r="H70"/>
  <c r="I71"/>
  <c r="H72"/>
  <c r="I73"/>
  <c r="H74"/>
  <c r="H83" i="29" l="1"/>
  <c r="I94"/>
  <c r="H84" i="28"/>
  <c r="I94"/>
  <c r="I65" i="22" l="1"/>
  <c r="I53" i="26" l="1"/>
  <c r="H83"/>
  <c r="H79"/>
  <c r="H77"/>
  <c r="H74"/>
  <c r="F73"/>
  <c r="H73" s="1"/>
  <c r="F70"/>
  <c r="I70" s="1"/>
  <c r="F69"/>
  <c r="H69" s="1"/>
  <c r="F68"/>
  <c r="I68" s="1"/>
  <c r="F67"/>
  <c r="H67" s="1"/>
  <c r="F66"/>
  <c r="I66" s="1"/>
  <c r="F65"/>
  <c r="H65" s="1"/>
  <c r="H64"/>
  <c r="H63"/>
  <c r="I61"/>
  <c r="H61"/>
  <c r="F60"/>
  <c r="H60" s="1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2"/>
  <c r="H42"/>
  <c r="F41"/>
  <c r="I41" s="1"/>
  <c r="F40"/>
  <c r="H40" s="1"/>
  <c r="F39"/>
  <c r="I39" s="1"/>
  <c r="H38"/>
  <c r="F37"/>
  <c r="I37" s="1"/>
  <c r="I36"/>
  <c r="H36"/>
  <c r="H34"/>
  <c r="H33"/>
  <c r="I32"/>
  <c r="F31"/>
  <c r="H31" s="1"/>
  <c r="I30"/>
  <c r="H29"/>
  <c r="F25"/>
  <c r="H25" s="1"/>
  <c r="H24"/>
  <c r="F23"/>
  <c r="H23" s="1"/>
  <c r="F22"/>
  <c r="H22" s="1"/>
  <c r="I20"/>
  <c r="F19"/>
  <c r="H19" s="1"/>
  <c r="I17"/>
  <c r="I16"/>
  <c r="H82" i="25"/>
  <c r="H80"/>
  <c r="H77"/>
  <c r="F76"/>
  <c r="H76" s="1"/>
  <c r="I71"/>
  <c r="H70"/>
  <c r="I69"/>
  <c r="H68"/>
  <c r="I67"/>
  <c r="H66"/>
  <c r="H65"/>
  <c r="H64"/>
  <c r="F59"/>
  <c r="H59" s="1"/>
  <c r="F56"/>
  <c r="I56" s="1"/>
  <c r="I53"/>
  <c r="H53"/>
  <c r="H52"/>
  <c r="H49"/>
  <c r="H48"/>
  <c r="H47"/>
  <c r="H46"/>
  <c r="H45"/>
  <c r="H44"/>
  <c r="I42"/>
  <c r="H42"/>
  <c r="F41"/>
  <c r="I41" s="1"/>
  <c r="F40"/>
  <c r="H40" s="1"/>
  <c r="F39"/>
  <c r="I39" s="1"/>
  <c r="H38"/>
  <c r="F37"/>
  <c r="I37" s="1"/>
  <c r="I36"/>
  <c r="H36"/>
  <c r="H34"/>
  <c r="H33"/>
  <c r="H51" l="1"/>
  <c r="I51"/>
  <c r="H50"/>
  <c r="I50"/>
  <c r="H68" i="26"/>
  <c r="H17"/>
  <c r="H66"/>
  <c r="H70"/>
  <c r="I51"/>
  <c r="I52"/>
  <c r="H18"/>
  <c r="H84"/>
  <c r="I84"/>
  <c r="H16"/>
  <c r="H20"/>
  <c r="I29"/>
  <c r="H30"/>
  <c r="I31"/>
  <c r="H37"/>
  <c r="H39"/>
  <c r="I40"/>
  <c r="H41"/>
  <c r="I50"/>
  <c r="H57"/>
  <c r="I65"/>
  <c r="I67"/>
  <c r="I69"/>
  <c r="I83"/>
  <c r="I47" i="25"/>
  <c r="I45"/>
  <c r="I48"/>
  <c r="I46"/>
  <c r="I44"/>
  <c r="H69"/>
  <c r="H67"/>
  <c r="H71"/>
  <c r="H37"/>
  <c r="H39"/>
  <c r="I40"/>
  <c r="H41"/>
  <c r="I49"/>
  <c r="H56"/>
  <c r="I66"/>
  <c r="I68"/>
  <c r="I70"/>
  <c r="H81" i="24"/>
  <c r="H79"/>
  <c r="H76"/>
  <c r="F75"/>
  <c r="H75" s="1"/>
  <c r="F70"/>
  <c r="I70" s="1"/>
  <c r="F69"/>
  <c r="H69" s="1"/>
  <c r="F68"/>
  <c r="I68" s="1"/>
  <c r="F67"/>
  <c r="H67" s="1"/>
  <c r="F66"/>
  <c r="I66" s="1"/>
  <c r="F65"/>
  <c r="H65" s="1"/>
  <c r="H64"/>
  <c r="H63"/>
  <c r="F58"/>
  <c r="H58" s="1"/>
  <c r="F56"/>
  <c r="I56" s="1"/>
  <c r="I53"/>
  <c r="H53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I81" i="23"/>
  <c r="H81"/>
  <c r="H79"/>
  <c r="H76"/>
  <c r="F75"/>
  <c r="H75" s="1"/>
  <c r="F70"/>
  <c r="I70" s="1"/>
  <c r="H69"/>
  <c r="I68"/>
  <c r="H67"/>
  <c r="I66"/>
  <c r="H65"/>
  <c r="H64"/>
  <c r="H63"/>
  <c r="F58"/>
  <c r="H58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H83" i="22"/>
  <c r="H81"/>
  <c r="H78"/>
  <c r="F77"/>
  <c r="H77" s="1"/>
  <c r="F72"/>
  <c r="I72" s="1"/>
  <c r="H71"/>
  <c r="I70"/>
  <c r="F69"/>
  <c r="H69" s="1"/>
  <c r="F68"/>
  <c r="I68" s="1"/>
  <c r="F67"/>
  <c r="H67" s="1"/>
  <c r="H66"/>
  <c r="H65"/>
  <c r="F60"/>
  <c r="H60" s="1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H35"/>
  <c r="H34"/>
  <c r="I95" i="26" l="1"/>
  <c r="H81" i="25"/>
  <c r="H78" i="26"/>
  <c r="I99" i="25"/>
  <c r="H68" i="24"/>
  <c r="H37"/>
  <c r="H66"/>
  <c r="H70"/>
  <c r="H56"/>
  <c r="H39"/>
  <c r="H41"/>
  <c r="I40"/>
  <c r="I49"/>
  <c r="I65"/>
  <c r="I67"/>
  <c r="I69"/>
  <c r="H70" i="23"/>
  <c r="H37"/>
  <c r="H39"/>
  <c r="I40"/>
  <c r="H41"/>
  <c r="I49"/>
  <c r="H56"/>
  <c r="I65"/>
  <c r="H66"/>
  <c r="I67"/>
  <c r="H68"/>
  <c r="I69"/>
  <c r="H72" i="22"/>
  <c r="H70"/>
  <c r="H38"/>
  <c r="H40"/>
  <c r="I41"/>
  <c r="H42"/>
  <c r="I50"/>
  <c r="H57"/>
  <c r="I67"/>
  <c r="H68"/>
  <c r="I69"/>
  <c r="I71"/>
  <c r="I87" s="1"/>
  <c r="I98" i="23" l="1"/>
  <c r="I103" i="22"/>
  <c r="I95" i="24"/>
  <c r="H80"/>
  <c r="H80" i="23"/>
  <c r="H82" i="22"/>
  <c r="I52" i="21" l="1"/>
  <c r="H80"/>
  <c r="H78"/>
  <c r="H75"/>
  <c r="F74"/>
  <c r="H74" s="1"/>
  <c r="F69"/>
  <c r="I69" s="1"/>
  <c r="F68"/>
  <c r="H68" s="1"/>
  <c r="F67"/>
  <c r="I67" s="1"/>
  <c r="F66"/>
  <c r="H66" s="1"/>
  <c r="F65"/>
  <c r="I65" s="1"/>
  <c r="F64"/>
  <c r="H64" s="1"/>
  <c r="H63"/>
  <c r="H62"/>
  <c r="F59"/>
  <c r="H59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I32"/>
  <c r="H31"/>
  <c r="I30"/>
  <c r="H29"/>
  <c r="H82" i="20"/>
  <c r="H80"/>
  <c r="H77"/>
  <c r="F76"/>
  <c r="H76" s="1"/>
  <c r="F71"/>
  <c r="I71" s="1"/>
  <c r="F70"/>
  <c r="H70" s="1"/>
  <c r="F69"/>
  <c r="I69" s="1"/>
  <c r="F68"/>
  <c r="H68" s="1"/>
  <c r="F67"/>
  <c r="I67" s="1"/>
  <c r="F66"/>
  <c r="H66" s="1"/>
  <c r="H65"/>
  <c r="H64"/>
  <c r="F61"/>
  <c r="H61" s="1"/>
  <c r="H35"/>
  <c r="H34"/>
  <c r="H33"/>
  <c r="F33"/>
  <c r="I33" s="1"/>
  <c r="I32"/>
  <c r="F31"/>
  <c r="H31" s="1"/>
  <c r="F30"/>
  <c r="I30" s="1"/>
  <c r="F29"/>
  <c r="H29" s="1"/>
  <c r="H85" i="19"/>
  <c r="H83"/>
  <c r="H80"/>
  <c r="F79"/>
  <c r="H79" s="1"/>
  <c r="F74"/>
  <c r="I74" s="1"/>
  <c r="F73"/>
  <c r="H73" s="1"/>
  <c r="F72"/>
  <c r="I72" s="1"/>
  <c r="F71"/>
  <c r="H71" s="1"/>
  <c r="F70"/>
  <c r="I70" s="1"/>
  <c r="F69"/>
  <c r="H69" s="1"/>
  <c r="H68"/>
  <c r="H67"/>
  <c r="I63"/>
  <c r="I89" s="1"/>
  <c r="H63"/>
  <c r="H62"/>
  <c r="F59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43"/>
  <c r="F42"/>
  <c r="I42" s="1"/>
  <c r="H35"/>
  <c r="H34"/>
  <c r="H33"/>
  <c r="F33"/>
  <c r="I33" s="1"/>
  <c r="I32"/>
  <c r="F31"/>
  <c r="H31" s="1"/>
  <c r="F30"/>
  <c r="I30" s="1"/>
  <c r="F29"/>
  <c r="H29" s="1"/>
  <c r="H82" i="18"/>
  <c r="H80"/>
  <c r="H77"/>
  <c r="F76"/>
  <c r="H76" s="1"/>
  <c r="F71"/>
  <c r="I71" s="1"/>
  <c r="F70"/>
  <c r="H70" s="1"/>
  <c r="F69"/>
  <c r="I69" s="1"/>
  <c r="F68"/>
  <c r="H68" s="1"/>
  <c r="F67"/>
  <c r="I67" s="1"/>
  <c r="F66"/>
  <c r="H66" s="1"/>
  <c r="H65"/>
  <c r="H64"/>
  <c r="F61"/>
  <c r="H61" s="1"/>
  <c r="I55"/>
  <c r="F55"/>
  <c r="H55" s="1"/>
  <c r="H54"/>
  <c r="F53"/>
  <c r="H53" s="1"/>
  <c r="F52"/>
  <c r="H52" s="1"/>
  <c r="F50"/>
  <c r="H50" s="1"/>
  <c r="F49"/>
  <c r="H49" s="1"/>
  <c r="F48"/>
  <c r="H48" s="1"/>
  <c r="F47"/>
  <c r="H47" s="1"/>
  <c r="F46"/>
  <c r="H46" s="1"/>
  <c r="H35"/>
  <c r="H34"/>
  <c r="H33"/>
  <c r="F33"/>
  <c r="I33" s="1"/>
  <c r="I32"/>
  <c r="F31"/>
  <c r="H31" s="1"/>
  <c r="F30"/>
  <c r="I30" s="1"/>
  <c r="F29"/>
  <c r="H29" s="1"/>
  <c r="I84" i="21" l="1"/>
  <c r="I47"/>
  <c r="I45"/>
  <c r="I48"/>
  <c r="I46"/>
  <c r="I44"/>
  <c r="I50"/>
  <c r="I51"/>
  <c r="I29"/>
  <c r="H30"/>
  <c r="I31"/>
  <c r="H37"/>
  <c r="H39"/>
  <c r="I40"/>
  <c r="H41"/>
  <c r="I49"/>
  <c r="H56"/>
  <c r="I64"/>
  <c r="H65"/>
  <c r="I66"/>
  <c r="H67"/>
  <c r="I68"/>
  <c r="H69"/>
  <c r="H69" i="20"/>
  <c r="H67"/>
  <c r="H71"/>
  <c r="I29"/>
  <c r="H30"/>
  <c r="I31"/>
  <c r="H58"/>
  <c r="I66"/>
  <c r="I68"/>
  <c r="I70"/>
  <c r="I29" i="19"/>
  <c r="H30"/>
  <c r="I31"/>
  <c r="H42"/>
  <c r="I51"/>
  <c r="H59"/>
  <c r="I69"/>
  <c r="H70"/>
  <c r="I71"/>
  <c r="H72"/>
  <c r="I73"/>
  <c r="H74"/>
  <c r="H69" i="18"/>
  <c r="H67"/>
  <c r="H71"/>
  <c r="I29"/>
  <c r="H30"/>
  <c r="I31"/>
  <c r="H58"/>
  <c r="I66"/>
  <c r="I68"/>
  <c r="I70"/>
  <c r="H81" l="1"/>
  <c r="I100" i="21"/>
  <c r="I99" i="20"/>
  <c r="I98" i="19"/>
  <c r="I94" i="18"/>
  <c r="H81" i="20"/>
  <c r="H79" i="21"/>
  <c r="H84" i="19"/>
  <c r="I32" i="17" l="1"/>
  <c r="H84"/>
  <c r="H82"/>
  <c r="H79"/>
  <c r="F78"/>
  <c r="H78" s="1"/>
  <c r="F73"/>
  <c r="H73" s="1"/>
  <c r="F72"/>
  <c r="H72" s="1"/>
  <c r="F71"/>
  <c r="H71" s="1"/>
  <c r="F70"/>
  <c r="H70" s="1"/>
  <c r="F69"/>
  <c r="H69" s="1"/>
  <c r="F68"/>
  <c r="H68" s="1"/>
  <c r="H67"/>
  <c r="H66"/>
  <c r="I62"/>
  <c r="I88" s="1"/>
  <c r="F61"/>
  <c r="H61" s="1"/>
  <c r="F58"/>
  <c r="I55"/>
  <c r="F55"/>
  <c r="H55" s="1"/>
  <c r="H54"/>
  <c r="F53"/>
  <c r="H53" s="1"/>
  <c r="F52"/>
  <c r="H52" s="1"/>
  <c r="F50"/>
  <c r="H50" s="1"/>
  <c r="F49"/>
  <c r="H49" s="1"/>
  <c r="F48"/>
  <c r="H48" s="1"/>
  <c r="F47"/>
  <c r="H47" s="1"/>
  <c r="F46"/>
  <c r="H46" s="1"/>
  <c r="H35"/>
  <c r="H34"/>
  <c r="H33"/>
  <c r="F33"/>
  <c r="I33" s="1"/>
  <c r="F31"/>
  <c r="H31" s="1"/>
  <c r="F30"/>
  <c r="H30" s="1"/>
  <c r="F29"/>
  <c r="H29" s="1"/>
  <c r="I73" l="1"/>
  <c r="I71"/>
  <c r="I69"/>
  <c r="I68"/>
  <c r="I72"/>
  <c r="I70"/>
  <c r="I29"/>
  <c r="I31"/>
  <c r="I30"/>
  <c r="H58"/>
  <c r="H83" s="1"/>
  <c r="I97" l="1"/>
</calcChain>
</file>

<file path=xl/sharedStrings.xml><?xml version="1.0" encoding="utf-8"?>
<sst xmlns="http://schemas.openxmlformats.org/spreadsheetml/2006/main" count="2795" uniqueCount="348">
  <si>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</si>
  <si>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</si>
  <si>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</si>
  <si>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</si>
  <si>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</si>
  <si>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</si>
  <si>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</si>
  <si>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</si>
  <si>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</si>
  <si>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</si>
  <si>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</si>
  <si>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</si>
  <si>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</si>
  <si>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</si>
  <si>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</si>
  <si>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</si>
  <si>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</si>
  <si>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</si>
  <si>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</si>
  <si>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</si>
  <si>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</si>
  <si>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</si>
  <si>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</si>
  <si>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</si>
  <si>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</si>
  <si>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</si>
  <si>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</si>
  <si>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</si>
  <si>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</si>
  <si>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</si>
  <si>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</si>
  <si>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</si>
  <si>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</si>
  <si>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</si>
  <si>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</si>
  <si>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</si>
  <si>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</si>
  <si>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</si>
  <si>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</si>
  <si>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</si>
  <si>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</si>
  <si>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</si>
  <si>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</si>
  <si>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</si>
  <si>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</si>
  <si>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</si>
  <si>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</si>
  <si>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</si>
  <si>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</si>
  <si>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</si>
  <si>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</si>
  <si>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</si>
  <si>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</si>
  <si>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</si>
  <si>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</si>
  <si>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</si>
  <si>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</si>
  <si>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</si>
  <si>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</si>
  <si>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</si>
  <si>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</si>
  <si>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</si>
  <si>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</si>
  <si>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</si>
  <si>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</si>
  <si>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</si>
  <si>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</si>
  <si>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</si>
  <si>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</si>
  <si>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</si>
  <si>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</si>
  <si>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</si>
  <si>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</si>
  <si>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</si>
  <si>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</si>
  <si>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</si>
  <si>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</si>
  <si>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</si>
  <si>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</si>
  <si>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</si>
  <si>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</si>
  <si>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</si>
  <si>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</si>
  <si>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</si>
  <si>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</si>
  <si>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</si>
  <si>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Работа автовышки</t>
  </si>
  <si>
    <t>Замена ламп ДРЛ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</si>
  <si>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</si>
  <si>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</si>
  <si>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</si>
  <si>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</si>
  <si>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</si>
  <si>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Влажная протирка перил</t>
  </si>
  <si>
    <t>Влажная протирка почтовых ящиков</t>
  </si>
  <si>
    <t>маш/час</t>
  </si>
  <si>
    <t>Влажная протирка подоконников</t>
  </si>
  <si>
    <t>Влажная протирка отопительных приборов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</si>
  <si>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</si>
  <si>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</si>
  <si>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</si>
  <si>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</si>
  <si>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</si>
  <si>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</si>
  <si>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</si>
  <si>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</si>
  <si>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</si>
  <si>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</si>
  <si>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</si>
  <si>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</si>
  <si>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1м3</t>
  </si>
  <si>
    <t>155 раз за сезон</t>
  </si>
  <si>
    <t>35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</si>
  <si>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</si>
  <si>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</si>
  <si>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</si>
  <si>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</si>
  <si>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</si>
  <si>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</si>
  <si>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</si>
  <si>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</si>
  <si>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</si>
  <si>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</si>
  <si>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</si>
  <si>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</si>
  <si>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</si>
  <si>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</si>
  <si>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№13 по ул.Нефтяников пгт.Ярега
</t>
  </si>
  <si>
    <t>Осмотр шиферной кровли</t>
  </si>
  <si>
    <t>Лестничная клетка</t>
  </si>
  <si>
    <t>Установка пружин на входных дверях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</si>
  <si>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</si>
  <si>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</si>
  <si>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</si>
  <si>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</si>
  <si>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</si>
  <si>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>Сдвигание снега в дни снегопада (тротуар, крыльца)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</si>
  <si>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</si>
  <si>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</si>
  <si>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</si>
  <si>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</si>
  <si>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</si>
  <si>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</si>
  <si>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</si>
  <si>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</si>
  <si>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</si>
  <si>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</si>
  <si>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</si>
  <si>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</si>
  <si>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</si>
  <si>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Итого месячные затраты</t>
  </si>
  <si>
    <t>АКТ №11</t>
  </si>
  <si>
    <t>АКТ №12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</si>
  <si>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д.13</t>
    </r>
  </si>
  <si>
    <t>Итого затраты за месяц</t>
  </si>
  <si>
    <t>Очистка канализационной сети внутренней</t>
  </si>
  <si>
    <t>маш-час</t>
  </si>
  <si>
    <t>мач/час</t>
  </si>
  <si>
    <t>2 ч</t>
  </si>
  <si>
    <t>м</t>
  </si>
  <si>
    <t>ООО «Движение»</t>
  </si>
  <si>
    <t>34,6м2</t>
  </si>
  <si>
    <t>по мере необходимости</t>
  </si>
  <si>
    <t>Смена арматуры - вентилей и клапанов обратных муфтовых диаметром до 20 мм</t>
  </si>
  <si>
    <t xml:space="preserve">1 раз </t>
  </si>
  <si>
    <t>руб</t>
  </si>
  <si>
    <t>Организация и содержание мест накопления ТКО</t>
  </si>
  <si>
    <t>13 раз</t>
  </si>
  <si>
    <t>8 раз</t>
  </si>
  <si>
    <t>2 раза</t>
  </si>
  <si>
    <t>1 раз</t>
  </si>
  <si>
    <t>21 раз</t>
  </si>
  <si>
    <t>5 раз</t>
  </si>
  <si>
    <t>25 раз</t>
  </si>
  <si>
    <t>6 раз</t>
  </si>
  <si>
    <t>7 раз</t>
  </si>
  <si>
    <t>2 шт.</t>
  </si>
  <si>
    <t xml:space="preserve">1 раз     </t>
  </si>
  <si>
    <t>4 раза</t>
  </si>
  <si>
    <t>Снятие покааний с общедомовых приборов учета холодной воды и электрической энергии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</si>
  <si>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</si>
  <si>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</si>
  <si>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Водоснабжение и канализация</t>
  </si>
  <si>
    <t>Техническое обслуживание  внутренних сетей водопровода и канализации</t>
  </si>
  <si>
    <t>рум/м2 в мес.</t>
  </si>
  <si>
    <t>Очистка вручную от снега и наледи люков канализационных и водопроводных колодцев</t>
  </si>
  <si>
    <t xml:space="preserve">Сдвигание снега в дни снегопада </t>
  </si>
  <si>
    <t xml:space="preserve">2 раза </t>
  </si>
  <si>
    <t>1 маш/час</t>
  </si>
  <si>
    <t>10,18,20,26</t>
  </si>
  <si>
    <t>10 раз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</si>
  <si>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</si>
  <si>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</si>
  <si>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258 раз</t>
  </si>
  <si>
    <t>Влажная протирка шкафов для щитов и слаботочных устройств</t>
  </si>
  <si>
    <t xml:space="preserve">1 раз   </t>
  </si>
  <si>
    <t>12 шт</t>
  </si>
  <si>
    <t xml:space="preserve"> 6 шт. подвал</t>
  </si>
  <si>
    <t>Муфта 50</t>
  </si>
  <si>
    <t>Манжета 50</t>
  </si>
  <si>
    <t>Герметик</t>
  </si>
  <si>
    <t>1 аз</t>
  </si>
  <si>
    <t>10 м2</t>
  </si>
  <si>
    <t>10 м</t>
  </si>
  <si>
    <t>Шифер</t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</si>
  <si>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27.09.2019г.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</si>
  <si>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генеральный директор Кочанова И.Л.</t>
  </si>
  <si>
    <t>3 раза</t>
  </si>
  <si>
    <t>Установка хомута диаметром до 50 мм</t>
  </si>
  <si>
    <t>Смена светодиодного светильника ( со стоимостью светильника)</t>
  </si>
  <si>
    <t>1 шт.под.1, 2 эт.</t>
  </si>
  <si>
    <t>1 шт. ГВС подвал</t>
  </si>
  <si>
    <t>16 м</t>
  </si>
  <si>
    <t>за период с 01.01.20201г. по 31.01.2021 г.</t>
  </si>
  <si>
    <t>1,8 ч (21,25,26,28 янв)</t>
  </si>
  <si>
    <t>Демонтаж арматуры на кровле</t>
  </si>
  <si>
    <t>Осмотр электросетей, армазуры и электрооборудования на лестничных клетках</t>
  </si>
  <si>
    <t>Смена автомата на ток до 25А</t>
  </si>
  <si>
    <t>0,5 час</t>
  </si>
  <si>
    <t>за период с 01.02.2021 г. по 28.02.2021 г.</t>
  </si>
  <si>
    <t>1,5 ч ( 1,3,5 февр)</t>
  </si>
  <si>
    <t>7,5 м/часа</t>
  </si>
  <si>
    <t>Установка информационных стендов</t>
  </si>
  <si>
    <t>Ремонт и регулировка доводчика (без стоимости доводчика)</t>
  </si>
  <si>
    <t>1шт.</t>
  </si>
  <si>
    <t>под.№5</t>
  </si>
  <si>
    <t>8 шт.</t>
  </si>
  <si>
    <t>4 м</t>
  </si>
  <si>
    <t>1 шт. ХВС кв.56; 1 шт. ГВС кв.71</t>
  </si>
  <si>
    <t>2. Всего за период с 01.02.2021 по 28.02.2021 выполнено работ (оказано услуг) на общую сумму: 107950,63 руб.</t>
  </si>
  <si>
    <t>(сто семь тысяч девятьсот пятьдесят рублей 63 копейки )</t>
  </si>
  <si>
    <t>за период с 01.03.2021 г. по 31.03.2021 г.</t>
  </si>
  <si>
    <t>22  марта</t>
  </si>
  <si>
    <t>7 ч</t>
  </si>
  <si>
    <t>Смена дверных приборов /замки навесные)</t>
  </si>
  <si>
    <t>Восстановление шахты после работ ВДИС</t>
  </si>
  <si>
    <t>Очистка чердака от снега</t>
  </si>
  <si>
    <t>15 м</t>
  </si>
  <si>
    <t>под.№1</t>
  </si>
  <si>
    <t>2 шт. черд. под №8</t>
  </si>
  <si>
    <t>1 ч (2,19,31 марта)</t>
  </si>
  <si>
    <t>2. Всего за период с 01.03.2021 по 31.03.2021 выполнено работ (оказано услуг) на общую сумму: 1223756,37 руб.</t>
  </si>
  <si>
    <t>(сто двадцать три тысячи семьсот пятьдесят шесть рублей 37 копеек)</t>
  </si>
  <si>
    <t>за период с 01.04.2021 г. по 30.04.2021 г.</t>
  </si>
  <si>
    <t>5 шт.</t>
  </si>
  <si>
    <t>Смена пакетных выключателей</t>
  </si>
  <si>
    <t>Смена отдельных участков наружной проводки</t>
  </si>
  <si>
    <t>Смена оконных приборов - ручки</t>
  </si>
  <si>
    <t>ХВС кв.3</t>
  </si>
  <si>
    <t>2 шт под.№2</t>
  </si>
  <si>
    <t>23 м</t>
  </si>
  <si>
    <t>Демонтаж ограждения на кровле</t>
  </si>
  <si>
    <t>100 м</t>
  </si>
  <si>
    <t>за период с 01.05.2021 г. по 31.05.2021 г.</t>
  </si>
  <si>
    <t xml:space="preserve">Осмотр водопроводов, канализации, отопления </t>
  </si>
  <si>
    <t>Смена полипропиленовых канализационных труб ПП Ду 50*2000</t>
  </si>
  <si>
    <t>Отвод 50-45</t>
  </si>
  <si>
    <t>Отвод 50-90</t>
  </si>
  <si>
    <t>Патрубок компенсационный 50</t>
  </si>
  <si>
    <t>Переход чугун- пластик 50</t>
  </si>
  <si>
    <t>Ремонт штукатурки внутренних стен по камню и бетону цементно-известковым раствором площадью до 1 м2 толщиной слоя до 20 мм</t>
  </si>
  <si>
    <t>Пена монтажная</t>
  </si>
  <si>
    <t>1 шт.</t>
  </si>
  <si>
    <t>подвал</t>
  </si>
  <si>
    <t>12 м кух. стояк  под под.№ 2 и3</t>
  </si>
  <si>
    <t>6 м</t>
  </si>
  <si>
    <t>2. Всего за период с 01.05.2021 по 31.05.2021 выполнено работ (оказано услуг) на общую сумму: 100504,38 руб.</t>
  </si>
  <si>
    <t>(сто тысяч пятьсот четыре рубля 38 копеек)</t>
  </si>
  <si>
    <t>Подборка мусора, налетевшего с контейнерной площадки</t>
  </si>
  <si>
    <t>2. Всего за период с 01.04.2021 по 30.04.2021 выполнено работ (оказано услуг) на общую сумму: 77563,05 руб.</t>
  </si>
  <si>
    <t>(семьдесят семь тысяч пятьсот шестьдесят три рубля 05 копеек)</t>
  </si>
  <si>
    <t>за период с 01.06.2021 г. по 30.06.2021 г.</t>
  </si>
  <si>
    <t>Смена внутренних трубопроводов на полипропиленовые трубы PN 25 Dу25</t>
  </si>
  <si>
    <t>Смена внутренних трубопроводов на полипропиленовые трубы PN 25 Dу20</t>
  </si>
  <si>
    <t>Ремонт отдельных мест покрытия из асбоцементных листов обыкновенного профиля</t>
  </si>
  <si>
    <t>Герметизация стыков трубопровода</t>
  </si>
  <si>
    <t>1 место</t>
  </si>
  <si>
    <t>3 м с/о кв кк</t>
  </si>
  <si>
    <t>1 м с/о кв.44</t>
  </si>
  <si>
    <t>чердак под. №8</t>
  </si>
  <si>
    <t>кан-ция кв.4</t>
  </si>
  <si>
    <t xml:space="preserve"> ГВС 1 шт. кв.45; 1 шт. ГВС кв.51</t>
  </si>
  <si>
    <t>14 м</t>
  </si>
  <si>
    <t>Ремонт оголовка (кв.60)</t>
  </si>
  <si>
    <t>6 шт</t>
  </si>
  <si>
    <t>11,85м2 м2</t>
  </si>
  <si>
    <t>5 часов</t>
  </si>
  <si>
    <t>2. Всего за период с 01.06.2021 по 30.06.2021 выполнено работ (оказано услуг) на общую сумму: 293888,82 руб.</t>
  </si>
  <si>
    <t>( двести девяносто три тысячи восемьсот восемьдесят восемь рублей 82 копейки)</t>
  </si>
  <si>
    <t>за период с 01.07.2021 г. по 31.07.2021 г.</t>
  </si>
  <si>
    <t>Ремонт и регулировка доводчика (со стоимостью доводчика)</t>
  </si>
  <si>
    <t>Сварочные работы</t>
  </si>
  <si>
    <t>час</t>
  </si>
  <si>
    <t>Замена общедомового счетчика ХВС ВСКМ 90-40</t>
  </si>
  <si>
    <t>Замена прокладок</t>
  </si>
  <si>
    <t>Замена тройника</t>
  </si>
  <si>
    <t xml:space="preserve">1 раз  </t>
  </si>
  <si>
    <t>под.№3 вх.дверь</t>
  </si>
  <si>
    <t>под.№3</t>
  </si>
  <si>
    <t>2 шт. с/о кв.39</t>
  </si>
  <si>
    <t>кв.73</t>
  </si>
  <si>
    <t>8м</t>
  </si>
  <si>
    <t>2. Всего за период с 01.01.2021 по 31.01.2021 выполнено работ (оказано услуг) на общую сумму: 85863,42 руб.</t>
  </si>
  <si>
    <t>(восемьдесят  пять тысяч восемьсот шестьдесят три рубля 42 копейки)</t>
  </si>
  <si>
    <t>Подключение и отключение электрооборудования</t>
  </si>
  <si>
    <t>2. Всего за период с 01.07.2021 по 31.07.2021 выполнено работ (оказано услуг) на общую сумму: 93256,76 руб.</t>
  </si>
  <si>
    <t>(девяносто три тысячи двести пятьдесят шесть рублей 76 копеек)</t>
  </si>
  <si>
    <t>за период с 01.08.2021 г. по 31.08.2021 г.</t>
  </si>
  <si>
    <t>Нумерация подъездов и квартир</t>
  </si>
  <si>
    <t>Очистка цоколя и отмостки от растительности</t>
  </si>
  <si>
    <t>Устройство стяжек цементных толщиной 20 мм</t>
  </si>
  <si>
    <t>кв.57-1 шт.</t>
  </si>
  <si>
    <t>1 шт. ГВС кв.57</t>
  </si>
  <si>
    <t>1 шт под.№1, 1 шт. под.№3</t>
  </si>
  <si>
    <t>2 м2 под.№3</t>
  </si>
  <si>
    <t>2. Всего за период с 01.08.2021 по 31.08.2021 выполнено работ (оказано услуг) на общую сумму: 91067,99 руб.</t>
  </si>
  <si>
    <t>(девяносто одна тысяча шестьдесят семь рублей 99 копеек)</t>
  </si>
  <si>
    <t>за период с 01.09.2021 г. по 30.09.2021 г.</t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</si>
  <si>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27.09.2019г.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Уставаение,  с другой стороны,  совместно именуемые "Стороны", составили настоящий Акт о нижеследующем:</t>
    </r>
  </si>
  <si>
    <t>2 м/час</t>
  </si>
  <si>
    <t>Работа ротенбергера</t>
  </si>
  <si>
    <t>Очистка цоколя и отмостки от растительности, входные площадки</t>
  </si>
  <si>
    <t>Укрепления железа на кровле</t>
  </si>
  <si>
    <t>10 шт</t>
  </si>
  <si>
    <t>1 шт. кв.68</t>
  </si>
  <si>
    <t>1,9 м2</t>
  </si>
  <si>
    <t>1 шт. ХВС кв.66</t>
  </si>
  <si>
    <t>12 м</t>
  </si>
  <si>
    <t>2. Всего за период с 01.09.2021 по 30.09.2021 выполнено работ (оказано услуг) на общую сумму: 98586,97 руб.</t>
  </si>
  <si>
    <t>(девяносто восемь тысяч пятьсот  восемьдесят шесть рублей 97 копеек)</t>
  </si>
  <si>
    <t>за период с 01.10.2021 г. по 31.10.2021 г.</t>
  </si>
  <si>
    <t>Очистка парапета от снега</t>
  </si>
  <si>
    <t>100шт</t>
  </si>
  <si>
    <t>кв.54 ХВС</t>
  </si>
  <si>
    <t>2. Всего за период с 01.10.2021 по 31.10.2021 выполнено работ (оказано услуг) на общую сумму: 73093,17 руб.</t>
  </si>
  <si>
    <t>(семьдесят три тысячи девяносто три рубля 17 копеек)</t>
  </si>
  <si>
    <t>за период с 01.11.2021 г. по 30.11.2021 г.</t>
  </si>
  <si>
    <t>22 ноября</t>
  </si>
  <si>
    <t>Смена внутренних трубопроводов на полипропиленовые трубы PN 20 Dу20</t>
  </si>
  <si>
    <t>3 м ХВС кв.47</t>
  </si>
  <si>
    <t>2. Всего за период с 01.11.2021 по 30.11.2021 выполнено работ (оказано услуг) на общую сумму: 81409,73 руб.</t>
  </si>
  <si>
    <t>(восемьдесят одна тысяча четыреста девять рублей 73 копейки)</t>
  </si>
  <si>
    <t>за период с 01.12.2021 г. по 31.12.2021 г.</t>
  </si>
  <si>
    <t>2,16,30 декабря</t>
  </si>
  <si>
    <t>2 м</t>
  </si>
  <si>
    <t>5,3 подъезд</t>
  </si>
  <si>
    <t>2. Всего за период с 01.12.2021 по 31.12.2021 выполнено работ (оказано услуг) на общую сумму: 82715,71 руб.</t>
  </si>
  <si>
    <t>(восемьдесят две тысячи семьсот пятнадцать рублей 71 копейка)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</si>
</sst>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4" fontId="11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left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4" fontId="11" fillId="4" borderId="18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/>
    </xf>
    <xf numFmtId="4" fontId="11" fillId="2" borderId="19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/>
    </xf>
    <xf numFmtId="14" fontId="11" fillId="2" borderId="10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/>
    </xf>
    <xf numFmtId="4" fontId="21" fillId="2" borderId="7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4" fontId="11" fillId="2" borderId="20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8"/>
  <sheetViews>
    <sheetView topLeftCell="A76" workbookViewId="0">
      <selection activeCell="I105" sqref="I10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134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213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44227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81" t="s">
        <v>84</v>
      </c>
      <c r="B27" s="181"/>
      <c r="C27" s="181"/>
      <c r="D27" s="181"/>
      <c r="E27" s="181"/>
      <c r="F27" s="181"/>
      <c r="G27" s="181"/>
      <c r="H27" s="181"/>
      <c r="I27" s="181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62" t="s">
        <v>104</v>
      </c>
      <c r="C29" s="63" t="s">
        <v>105</v>
      </c>
      <c r="D29" s="62" t="s">
        <v>106</v>
      </c>
      <c r="E29" s="64">
        <v>844.95</v>
      </c>
      <c r="F29" s="64">
        <f>SUM(E29*52/1000)</f>
        <v>43.937400000000004</v>
      </c>
      <c r="G29" s="64">
        <v>166.65</v>
      </c>
      <c r="H29" s="65">
        <f>SUM(F29*G29/1000)</f>
        <v>7.3221677100000004</v>
      </c>
      <c r="I29" s="13">
        <f>F29/6*G29</f>
        <v>1220.3612850000002</v>
      </c>
      <c r="J29" s="22"/>
      <c r="K29" s="8"/>
      <c r="L29" s="8"/>
      <c r="M29" s="8"/>
    </row>
    <row r="30" spans="1:13" ht="31.5" hidden="1" customHeight="1">
      <c r="A30" s="29">
        <v>8</v>
      </c>
      <c r="B30" s="62" t="s">
        <v>137</v>
      </c>
      <c r="C30" s="63" t="s">
        <v>105</v>
      </c>
      <c r="D30" s="62" t="s">
        <v>107</v>
      </c>
      <c r="E30" s="64">
        <v>260.13</v>
      </c>
      <c r="F30" s="64">
        <f>SUM(E30*78/1000)</f>
        <v>20.290140000000001</v>
      </c>
      <c r="G30" s="64">
        <v>276.48</v>
      </c>
      <c r="H30" s="65">
        <f t="shared" ref="H30:H35" si="1">SUM(F30*G30/1000)</f>
        <v>5.6098179072000001</v>
      </c>
      <c r="I30" s="13">
        <f t="shared" ref="I30:I33" si="2">F30/6*G30</f>
        <v>934.96965120000016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105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hidden="1" customHeight="1">
      <c r="A32" s="29">
        <v>9</v>
      </c>
      <c r="B32" s="62" t="s">
        <v>135</v>
      </c>
      <c r="C32" s="63" t="s">
        <v>41</v>
      </c>
      <c r="D32" s="62" t="s">
        <v>65</v>
      </c>
      <c r="E32" s="64">
        <v>8</v>
      </c>
      <c r="F32" s="64">
        <v>12.4</v>
      </c>
      <c r="G32" s="64">
        <v>1391.86</v>
      </c>
      <c r="H32" s="65">
        <v>17.259</v>
      </c>
      <c r="I32" s="13">
        <f t="shared" si="2"/>
        <v>2876.5106666666666</v>
      </c>
      <c r="J32" s="22"/>
      <c r="K32" s="8"/>
      <c r="L32" s="8"/>
      <c r="M32" s="8"/>
    </row>
    <row r="33" spans="1:14" ht="15.75" hidden="1" customHeight="1">
      <c r="A33" s="29">
        <v>10</v>
      </c>
      <c r="B33" s="62" t="s">
        <v>108</v>
      </c>
      <c r="C33" s="63" t="s">
        <v>30</v>
      </c>
      <c r="D33" s="62" t="s">
        <v>65</v>
      </c>
      <c r="E33" s="69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3">
        <f t="shared" si="2"/>
        <v>521.83333333333337</v>
      </c>
      <c r="J33" s="22"/>
      <c r="K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si="1"/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1"/>
        <v>2.4294600000000002</v>
      </c>
      <c r="I35" s="13">
        <v>0</v>
      </c>
      <c r="J35" s="23"/>
    </row>
    <row r="36" spans="1:14" ht="15.75" customHeight="1">
      <c r="A36" s="29"/>
      <c r="B36" s="83" t="s">
        <v>5</v>
      </c>
      <c r="C36" s="63"/>
      <c r="D36" s="62"/>
      <c r="E36" s="48"/>
      <c r="F36" s="64"/>
      <c r="G36" s="64"/>
      <c r="H36" s="65" t="s">
        <v>124</v>
      </c>
      <c r="I36" s="13"/>
      <c r="J36" s="23"/>
    </row>
    <row r="37" spans="1:14" ht="30.75" customHeight="1">
      <c r="A37" s="29">
        <v>7</v>
      </c>
      <c r="B37" s="138" t="s">
        <v>26</v>
      </c>
      <c r="C37" s="116" t="s">
        <v>32</v>
      </c>
      <c r="D37" s="115" t="s">
        <v>214</v>
      </c>
      <c r="E37" s="120"/>
      <c r="F37" s="121">
        <v>6</v>
      </c>
      <c r="G37" s="121">
        <v>1855</v>
      </c>
      <c r="H37" s="65">
        <f t="shared" ref="H37:H43" si="3">SUM(F37*G37/1000)</f>
        <v>11.13</v>
      </c>
      <c r="I37" s="13">
        <f>G37*1.8</f>
        <v>3339</v>
      </c>
      <c r="J37" s="23"/>
    </row>
    <row r="38" spans="1:14" ht="15.75" customHeight="1">
      <c r="A38" s="29">
        <v>8</v>
      </c>
      <c r="B38" s="138" t="s">
        <v>186</v>
      </c>
      <c r="C38" s="139" t="s">
        <v>29</v>
      </c>
      <c r="D38" s="138" t="s">
        <v>172</v>
      </c>
      <c r="E38" s="141">
        <v>254.8</v>
      </c>
      <c r="F38" s="141">
        <f>SUM(E38*30/1000)</f>
        <v>7.6440000000000001</v>
      </c>
      <c r="G38" s="141">
        <v>3014.36</v>
      </c>
      <c r="H38" s="65">
        <f t="shared" si="3"/>
        <v>23.041767840000002</v>
      </c>
      <c r="I38" s="13">
        <f>F38/6*G38</f>
        <v>3840.2946400000001</v>
      </c>
      <c r="J38" s="23"/>
      <c r="L38" s="19"/>
      <c r="M38" s="20"/>
      <c r="N38" s="21"/>
    </row>
    <row r="39" spans="1:14" ht="15.75" hidden="1" customHeight="1">
      <c r="A39" s="29"/>
      <c r="B39" s="115" t="s">
        <v>91</v>
      </c>
      <c r="C39" s="116" t="s">
        <v>110</v>
      </c>
      <c r="D39" s="115" t="s">
        <v>162</v>
      </c>
      <c r="E39" s="120"/>
      <c r="F39" s="141">
        <v>26</v>
      </c>
      <c r="G39" s="121">
        <v>330</v>
      </c>
      <c r="H39" s="65">
        <f t="shared" si="3"/>
        <v>8.58</v>
      </c>
      <c r="I39" s="13">
        <v>0</v>
      </c>
      <c r="J39" s="23"/>
      <c r="L39" s="19"/>
      <c r="M39" s="20"/>
      <c r="N39" s="21"/>
    </row>
    <row r="40" spans="1:14" ht="15.75" customHeight="1">
      <c r="A40" s="29">
        <v>9</v>
      </c>
      <c r="B40" s="115" t="s">
        <v>69</v>
      </c>
      <c r="C40" s="116" t="s">
        <v>29</v>
      </c>
      <c r="D40" s="115" t="s">
        <v>173</v>
      </c>
      <c r="E40" s="121">
        <v>260.13</v>
      </c>
      <c r="F40" s="141">
        <f>SUM(E40*155/1000)</f>
        <v>40.320149999999998</v>
      </c>
      <c r="G40" s="121">
        <v>502.82</v>
      </c>
      <c r="H40" s="65">
        <f t="shared" si="3"/>
        <v>20.273777823</v>
      </c>
      <c r="I40" s="13">
        <f>F40/6*G40</f>
        <v>3378.9629704999998</v>
      </c>
      <c r="J40" s="23"/>
      <c r="L40" s="19"/>
      <c r="M40" s="20"/>
      <c r="N40" s="21"/>
    </row>
    <row r="41" spans="1:14" ht="47.25" customHeight="1">
      <c r="A41" s="29">
        <v>10</v>
      </c>
      <c r="B41" s="115" t="s">
        <v>82</v>
      </c>
      <c r="C41" s="116" t="s">
        <v>105</v>
      </c>
      <c r="D41" s="115" t="s">
        <v>178</v>
      </c>
      <c r="E41" s="121">
        <v>132.72999999999999</v>
      </c>
      <c r="F41" s="141">
        <f>SUM(E41*24/1000)</f>
        <v>3.1855199999999995</v>
      </c>
      <c r="G41" s="121">
        <v>8319.2999999999993</v>
      </c>
      <c r="H41" s="65">
        <f t="shared" si="3"/>
        <v>26.501296535999995</v>
      </c>
      <c r="I41" s="13">
        <f>F41/6*G41</f>
        <v>4416.8827559999991</v>
      </c>
      <c r="J41" s="23"/>
      <c r="L41" s="19"/>
      <c r="M41" s="20"/>
      <c r="N41" s="21"/>
    </row>
    <row r="42" spans="1:14" ht="15.75" customHeight="1">
      <c r="A42" s="29">
        <v>11</v>
      </c>
      <c r="B42" s="115" t="s">
        <v>113</v>
      </c>
      <c r="C42" s="116" t="s">
        <v>105</v>
      </c>
      <c r="D42" s="115" t="s">
        <v>170</v>
      </c>
      <c r="E42" s="121">
        <v>254.8</v>
      </c>
      <c r="F42" s="141">
        <f>SUM(E42*15/1000)</f>
        <v>3.8220000000000001</v>
      </c>
      <c r="G42" s="121">
        <v>614.55999999999995</v>
      </c>
      <c r="H42" s="65">
        <f t="shared" si="3"/>
        <v>2.3488483200000001</v>
      </c>
      <c r="I42" s="13">
        <f>G42*F42/15*1</f>
        <v>156.589888</v>
      </c>
      <c r="J42" s="23"/>
      <c r="L42" s="19"/>
      <c r="M42" s="20"/>
      <c r="N42" s="21"/>
    </row>
    <row r="43" spans="1:14" ht="15.75" customHeight="1">
      <c r="A43" s="108">
        <v>12</v>
      </c>
      <c r="B43" s="138" t="s">
        <v>71</v>
      </c>
      <c r="C43" s="139" t="s">
        <v>33</v>
      </c>
      <c r="D43" s="138"/>
      <c r="E43" s="140"/>
      <c r="F43" s="141">
        <v>0.9</v>
      </c>
      <c r="G43" s="141">
        <v>800</v>
      </c>
      <c r="H43" s="65">
        <f t="shared" si="3"/>
        <v>0.72</v>
      </c>
      <c r="I43" s="13">
        <f>G43*F43/15*1</f>
        <v>48</v>
      </c>
      <c r="J43" s="23"/>
      <c r="L43" s="19"/>
      <c r="M43" s="20"/>
      <c r="N43" s="21"/>
    </row>
    <row r="44" spans="1:14" ht="36" customHeight="1">
      <c r="A44" s="29">
        <v>13</v>
      </c>
      <c r="B44" s="138" t="s">
        <v>185</v>
      </c>
      <c r="C44" s="139" t="s">
        <v>105</v>
      </c>
      <c r="D44" s="138" t="s">
        <v>187</v>
      </c>
      <c r="E44" s="140">
        <v>3.6</v>
      </c>
      <c r="F44" s="141">
        <f>E44*12/1000</f>
        <v>4.3200000000000002E-2</v>
      </c>
      <c r="G44" s="141">
        <v>19757.060000000001</v>
      </c>
      <c r="H44" s="56"/>
      <c r="I44" s="137">
        <f>G44*F44/6</f>
        <v>142.25083200000003</v>
      </c>
      <c r="J44" s="23"/>
      <c r="L44" s="19"/>
      <c r="M44" s="20"/>
      <c r="N44" s="21"/>
    </row>
    <row r="45" spans="1:14" ht="15.75" customHeight="1">
      <c r="A45" s="182" t="s">
        <v>131</v>
      </c>
      <c r="B45" s="183"/>
      <c r="C45" s="183"/>
      <c r="D45" s="183"/>
      <c r="E45" s="183"/>
      <c r="F45" s="183"/>
      <c r="G45" s="183"/>
      <c r="H45" s="183"/>
      <c r="I45" s="184"/>
      <c r="J45" s="23"/>
      <c r="L45" s="19"/>
      <c r="M45" s="20"/>
      <c r="N45" s="21"/>
    </row>
    <row r="46" spans="1:14" ht="15.75" hidden="1" customHeight="1">
      <c r="A46" s="29"/>
      <c r="B46" s="62" t="s">
        <v>128</v>
      </c>
      <c r="C46" s="63" t="s">
        <v>105</v>
      </c>
      <c r="D46" s="62" t="s">
        <v>43</v>
      </c>
      <c r="E46" s="48">
        <v>1795.9</v>
      </c>
      <c r="F46" s="64">
        <f>SUM(E46*2/1000)</f>
        <v>3.5918000000000001</v>
      </c>
      <c r="G46" s="13">
        <v>865.61</v>
      </c>
      <c r="H46" s="65">
        <f t="shared" ref="H46:H55" si="4">SUM(F46*G46/1000)</f>
        <v>3.1090979980000002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36</v>
      </c>
      <c r="C47" s="63" t="s">
        <v>105</v>
      </c>
      <c r="D47" s="62" t="s">
        <v>43</v>
      </c>
      <c r="E47" s="48">
        <v>104</v>
      </c>
      <c r="F47" s="64">
        <f>SUM(E47*2/1000)</f>
        <v>0.20799999999999999</v>
      </c>
      <c r="G47" s="13">
        <v>619.46</v>
      </c>
      <c r="H47" s="65">
        <f t="shared" si="4"/>
        <v>0.12884767999999999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37</v>
      </c>
      <c r="C48" s="63" t="s">
        <v>105</v>
      </c>
      <c r="D48" s="62" t="s">
        <v>43</v>
      </c>
      <c r="E48" s="48">
        <v>1996.87</v>
      </c>
      <c r="F48" s="64">
        <f>SUM(E48*2/1000)</f>
        <v>3.9937399999999998</v>
      </c>
      <c r="G48" s="13">
        <v>619.46</v>
      </c>
      <c r="H48" s="65">
        <f t="shared" si="4"/>
        <v>2.4739621804</v>
      </c>
      <c r="I48" s="13">
        <v>0</v>
      </c>
      <c r="J48" s="23"/>
      <c r="L48" s="19"/>
      <c r="M48" s="20"/>
      <c r="N48" s="21"/>
    </row>
    <row r="49" spans="1:14" ht="15.75" hidden="1" customHeight="1">
      <c r="A49" s="29"/>
      <c r="B49" s="62" t="s">
        <v>38</v>
      </c>
      <c r="C49" s="63" t="s">
        <v>105</v>
      </c>
      <c r="D49" s="62" t="s">
        <v>43</v>
      </c>
      <c r="E49" s="48">
        <v>2630.35</v>
      </c>
      <c r="F49" s="64">
        <f>SUM(E49*2/1000)</f>
        <v>5.2606999999999999</v>
      </c>
      <c r="G49" s="13">
        <v>648.64</v>
      </c>
      <c r="H49" s="65">
        <f t="shared" si="4"/>
        <v>3.4123004479999999</v>
      </c>
      <c r="I49" s="13">
        <v>0</v>
      </c>
      <c r="J49" s="23"/>
      <c r="L49" s="19"/>
      <c r="M49" s="20"/>
      <c r="N49" s="21"/>
    </row>
    <row r="50" spans="1:14" ht="15.75" hidden="1" customHeight="1">
      <c r="A50" s="29"/>
      <c r="B50" s="62" t="s">
        <v>34</v>
      </c>
      <c r="C50" s="63" t="s">
        <v>35</v>
      </c>
      <c r="D50" s="62" t="s">
        <v>43</v>
      </c>
      <c r="E50" s="48">
        <v>131.47</v>
      </c>
      <c r="F50" s="64">
        <f>SUM(E50*2/100)</f>
        <v>2.6294</v>
      </c>
      <c r="G50" s="13">
        <v>77.84</v>
      </c>
      <c r="H50" s="65">
        <f t="shared" si="4"/>
        <v>0.20467249599999998</v>
      </c>
      <c r="I50" s="13">
        <v>0</v>
      </c>
      <c r="J50" s="23"/>
      <c r="L50" s="19"/>
      <c r="M50" s="20"/>
      <c r="N50" s="21"/>
    </row>
    <row r="51" spans="1:14" ht="15.75" customHeight="1">
      <c r="A51" s="29">
        <v>14</v>
      </c>
      <c r="B51" s="62" t="s">
        <v>58</v>
      </c>
      <c r="C51" s="63" t="s">
        <v>105</v>
      </c>
      <c r="D51" s="62" t="s">
        <v>170</v>
      </c>
      <c r="E51" s="48">
        <v>2872.4</v>
      </c>
      <c r="F51" s="64">
        <f>SUM(E51*5/1000)</f>
        <v>14.362</v>
      </c>
      <c r="G51" s="112">
        <v>1739.68</v>
      </c>
      <c r="H51" s="65">
        <f t="shared" si="4"/>
        <v>24.985284160000003</v>
      </c>
      <c r="I51" s="13">
        <f>F51/5*G51</f>
        <v>4997.0568320000002</v>
      </c>
      <c r="J51" s="23"/>
      <c r="L51" s="19"/>
      <c r="M51" s="20"/>
      <c r="N51" s="21"/>
    </row>
    <row r="52" spans="1:14" ht="31.5" hidden="1" customHeight="1">
      <c r="A52" s="29"/>
      <c r="B52" s="62" t="s">
        <v>114</v>
      </c>
      <c r="C52" s="63" t="s">
        <v>105</v>
      </c>
      <c r="D52" s="62" t="s">
        <v>43</v>
      </c>
      <c r="E52" s="48">
        <v>2872.4</v>
      </c>
      <c r="F52" s="64">
        <f>SUM(E52*2/1000)</f>
        <v>5.7448000000000006</v>
      </c>
      <c r="G52" s="13">
        <v>1297.28</v>
      </c>
      <c r="H52" s="65">
        <f t="shared" si="4"/>
        <v>7.4526141440000009</v>
      </c>
      <c r="I52" s="13">
        <v>0</v>
      </c>
      <c r="J52" s="23"/>
      <c r="L52" s="19"/>
      <c r="M52" s="20"/>
      <c r="N52" s="21"/>
    </row>
    <row r="53" spans="1:14" ht="31.5" hidden="1" customHeight="1">
      <c r="A53" s="29"/>
      <c r="B53" s="62" t="s">
        <v>115</v>
      </c>
      <c r="C53" s="63" t="s">
        <v>39</v>
      </c>
      <c r="D53" s="62" t="s">
        <v>43</v>
      </c>
      <c r="E53" s="48">
        <v>40</v>
      </c>
      <c r="F53" s="64">
        <f>SUM(E53*2/100)</f>
        <v>0.8</v>
      </c>
      <c r="G53" s="13">
        <v>2918.89</v>
      </c>
      <c r="H53" s="65">
        <f t="shared" si="4"/>
        <v>2.3351120000000001</v>
      </c>
      <c r="I53" s="13">
        <v>0</v>
      </c>
      <c r="J53" s="23"/>
      <c r="L53" s="19"/>
      <c r="M53" s="20"/>
      <c r="N53" s="21"/>
    </row>
    <row r="54" spans="1:14" ht="15.75" hidden="1" customHeight="1">
      <c r="A54" s="29"/>
      <c r="B54" s="62" t="s">
        <v>40</v>
      </c>
      <c r="C54" s="63" t="s">
        <v>41</v>
      </c>
      <c r="D54" s="62" t="s">
        <v>43</v>
      </c>
      <c r="E54" s="48">
        <v>1</v>
      </c>
      <c r="F54" s="64">
        <v>0.02</v>
      </c>
      <c r="G54" s="13">
        <v>6042.12</v>
      </c>
      <c r="H54" s="65">
        <f t="shared" si="4"/>
        <v>0.1208424</v>
      </c>
      <c r="I54" s="13">
        <v>0</v>
      </c>
      <c r="J54" s="23"/>
      <c r="L54" s="19"/>
      <c r="M54" s="20"/>
      <c r="N54" s="21"/>
    </row>
    <row r="55" spans="1:14" ht="15.75" hidden="1" customHeight="1">
      <c r="A55" s="29">
        <v>15</v>
      </c>
      <c r="B55" s="62" t="s">
        <v>42</v>
      </c>
      <c r="C55" s="63" t="s">
        <v>30</v>
      </c>
      <c r="D55" s="62" t="s">
        <v>72</v>
      </c>
      <c r="E55" s="48">
        <v>160</v>
      </c>
      <c r="F55" s="64">
        <f>SUM(E55)*3</f>
        <v>480</v>
      </c>
      <c r="G55" s="13">
        <v>70.209999999999994</v>
      </c>
      <c r="H55" s="65">
        <f t="shared" si="4"/>
        <v>33.700799999999994</v>
      </c>
      <c r="I55" s="13">
        <f>E55*G55</f>
        <v>11233.599999999999</v>
      </c>
      <c r="J55" s="23"/>
      <c r="L55" s="19"/>
      <c r="M55" s="20"/>
      <c r="N55" s="21"/>
    </row>
    <row r="56" spans="1:14" ht="15.75" customHeight="1">
      <c r="A56" s="182" t="s">
        <v>132</v>
      </c>
      <c r="B56" s="183"/>
      <c r="C56" s="183"/>
      <c r="D56" s="183"/>
      <c r="E56" s="183"/>
      <c r="F56" s="183"/>
      <c r="G56" s="183"/>
      <c r="H56" s="183"/>
      <c r="I56" s="184"/>
      <c r="J56" s="23"/>
      <c r="L56" s="19"/>
      <c r="M56" s="20"/>
      <c r="N56" s="21"/>
    </row>
    <row r="57" spans="1:14" ht="15.75" customHeight="1">
      <c r="A57" s="29"/>
      <c r="B57" s="83" t="s">
        <v>44</v>
      </c>
      <c r="C57" s="63"/>
      <c r="D57" s="62"/>
      <c r="E57" s="48"/>
      <c r="F57" s="64"/>
      <c r="G57" s="64"/>
      <c r="H57" s="65"/>
      <c r="I57" s="13"/>
      <c r="J57" s="23"/>
      <c r="L57" s="19"/>
      <c r="M57" s="20"/>
      <c r="N57" s="21"/>
    </row>
    <row r="58" spans="1:14" ht="31.5" hidden="1" customHeight="1">
      <c r="A58" s="29">
        <v>16</v>
      </c>
      <c r="B58" s="62" t="s">
        <v>117</v>
      </c>
      <c r="C58" s="63" t="s">
        <v>98</v>
      </c>
      <c r="D58" s="62" t="s">
        <v>161</v>
      </c>
      <c r="E58" s="48">
        <v>239.59</v>
      </c>
      <c r="F58" s="64">
        <f>E58*6/100</f>
        <v>14.375399999999999</v>
      </c>
      <c r="G58" s="71">
        <v>1654.04</v>
      </c>
      <c r="H58" s="65">
        <f>F58*G58/1000</f>
        <v>23.777486615999997</v>
      </c>
      <c r="I58" s="13">
        <f>G58*1.063</f>
        <v>1758.24452</v>
      </c>
      <c r="J58" s="23"/>
      <c r="L58" s="19"/>
      <c r="M58" s="20"/>
      <c r="N58" s="21"/>
    </row>
    <row r="59" spans="1:14" ht="16.5" customHeight="1">
      <c r="A59" s="29">
        <v>15</v>
      </c>
      <c r="B59" s="99" t="s">
        <v>86</v>
      </c>
      <c r="C59" s="100" t="s">
        <v>156</v>
      </c>
      <c r="D59" s="99" t="s">
        <v>218</v>
      </c>
      <c r="E59" s="101">
        <v>2</v>
      </c>
      <c r="F59" s="102">
        <v>2</v>
      </c>
      <c r="G59" s="106">
        <v>1730</v>
      </c>
      <c r="H59" s="78"/>
      <c r="I59" s="13">
        <f>G59*0.5</f>
        <v>865</v>
      </c>
      <c r="J59" s="23"/>
      <c r="L59" s="19"/>
      <c r="M59" s="20"/>
      <c r="N59" s="21"/>
    </row>
    <row r="60" spans="1:14" ht="15.75" customHeight="1">
      <c r="A60" s="29"/>
      <c r="B60" s="84" t="s">
        <v>45</v>
      </c>
      <c r="C60" s="72"/>
      <c r="D60" s="73"/>
      <c r="E60" s="74"/>
      <c r="F60" s="76"/>
      <c r="G60" s="13"/>
      <c r="H60" s="78"/>
      <c r="I60" s="13"/>
      <c r="J60" s="23"/>
      <c r="L60" s="19"/>
      <c r="M60" s="20"/>
      <c r="N60" s="21"/>
    </row>
    <row r="61" spans="1:14" ht="15.75" hidden="1" customHeight="1">
      <c r="A61" s="29"/>
      <c r="B61" s="73" t="s">
        <v>46</v>
      </c>
      <c r="C61" s="72" t="s">
        <v>55</v>
      </c>
      <c r="D61" s="73" t="s">
        <v>56</v>
      </c>
      <c r="E61" s="74">
        <v>2686</v>
      </c>
      <c r="F61" s="76">
        <f>E61/100</f>
        <v>26.86</v>
      </c>
      <c r="G61" s="13">
        <v>848.37</v>
      </c>
      <c r="H61" s="78">
        <f>G61*F61/1000</f>
        <v>22.787218199999998</v>
      </c>
      <c r="I61" s="13">
        <v>0</v>
      </c>
      <c r="J61" s="23"/>
      <c r="L61" s="19"/>
    </row>
    <row r="62" spans="1:14" ht="15.75" customHeight="1">
      <c r="A62" s="29">
        <v>16</v>
      </c>
      <c r="B62" s="99" t="s">
        <v>92</v>
      </c>
      <c r="C62" s="100" t="s">
        <v>25</v>
      </c>
      <c r="D62" s="99" t="s">
        <v>164</v>
      </c>
      <c r="E62" s="101">
        <v>200</v>
      </c>
      <c r="F62" s="102">
        <v>2400</v>
      </c>
      <c r="G62" s="103">
        <v>1.4</v>
      </c>
      <c r="H62" s="104">
        <f>F62*G62</f>
        <v>3360</v>
      </c>
      <c r="I62" s="13">
        <f>F62/12*G62</f>
        <v>280</v>
      </c>
    </row>
    <row r="63" spans="1:14" ht="15.75" hidden="1" customHeight="1">
      <c r="A63" s="29"/>
      <c r="B63" s="84" t="s">
        <v>129</v>
      </c>
      <c r="C63" s="72"/>
      <c r="D63" s="73"/>
      <c r="E63" s="74"/>
      <c r="F63" s="76"/>
      <c r="G63" s="13"/>
      <c r="H63" s="78"/>
      <c r="I63" s="13"/>
    </row>
    <row r="64" spans="1:14" ht="15.75" hidden="1" customHeight="1">
      <c r="A64" s="29"/>
      <c r="B64" s="73" t="s">
        <v>130</v>
      </c>
      <c r="C64" s="72" t="s">
        <v>30</v>
      </c>
      <c r="D64" s="73" t="s">
        <v>68</v>
      </c>
      <c r="E64" s="74">
        <v>3</v>
      </c>
      <c r="F64" s="75">
        <v>3</v>
      </c>
      <c r="G64" s="77">
        <v>254.16</v>
      </c>
      <c r="H64" s="76">
        <v>0.76200000000000001</v>
      </c>
      <c r="I64" s="13">
        <v>0</v>
      </c>
    </row>
    <row r="65" spans="1:22" ht="15.75" hidden="1" customHeight="1">
      <c r="A65" s="29"/>
      <c r="B65" s="84" t="s">
        <v>47</v>
      </c>
      <c r="C65" s="72"/>
      <c r="D65" s="73"/>
      <c r="E65" s="74"/>
      <c r="F65" s="75"/>
      <c r="G65" s="75"/>
      <c r="H65" s="76" t="s">
        <v>124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18</v>
      </c>
      <c r="B66" s="14" t="s">
        <v>48</v>
      </c>
      <c r="C66" s="16" t="s">
        <v>116</v>
      </c>
      <c r="D66" s="73" t="s">
        <v>169</v>
      </c>
      <c r="E66" s="18">
        <v>15</v>
      </c>
      <c r="F66" s="64">
        <v>15</v>
      </c>
      <c r="G66" s="13">
        <v>237.74</v>
      </c>
      <c r="H66" s="79">
        <f t="shared" ref="H66:H82" si="5">SUM(F66*G66/1000)</f>
        <v>3.5661000000000005</v>
      </c>
      <c r="I66" s="13">
        <f>G66*2</f>
        <v>475.48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/>
      <c r="B67" s="14" t="s">
        <v>49</v>
      </c>
      <c r="C67" s="16" t="s">
        <v>116</v>
      </c>
      <c r="D67" s="73" t="s">
        <v>68</v>
      </c>
      <c r="E67" s="18">
        <v>5</v>
      </c>
      <c r="F67" s="64">
        <v>5</v>
      </c>
      <c r="G67" s="13">
        <v>81.510000000000005</v>
      </c>
      <c r="H67" s="79">
        <f t="shared" si="5"/>
        <v>0.40755000000000002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/>
      <c r="B68" s="14" t="s">
        <v>50</v>
      </c>
      <c r="C68" s="16" t="s">
        <v>118</v>
      </c>
      <c r="D68" s="14" t="s">
        <v>56</v>
      </c>
      <c r="E68" s="48">
        <v>24123</v>
      </c>
      <c r="F68" s="13">
        <f>SUM(E68/100)</f>
        <v>241.23</v>
      </c>
      <c r="G68" s="13">
        <v>226.79</v>
      </c>
      <c r="H68" s="79">
        <f t="shared" si="5"/>
        <v>54.708551699999994</v>
      </c>
      <c r="I68" s="13">
        <f>F68*G68</f>
        <v>54708.551699999996</v>
      </c>
      <c r="J68" s="5"/>
      <c r="K68" s="5"/>
      <c r="L68" s="5"/>
      <c r="M68" s="5"/>
      <c r="N68" s="5"/>
      <c r="O68" s="5"/>
      <c r="P68" s="5"/>
      <c r="Q68" s="5"/>
      <c r="R68" s="178"/>
      <c r="S68" s="178"/>
      <c r="T68" s="178"/>
      <c r="U68" s="178"/>
    </row>
    <row r="69" spans="1:22" ht="15.75" hidden="1" customHeight="1">
      <c r="A69" s="29"/>
      <c r="B69" s="14" t="s">
        <v>51</v>
      </c>
      <c r="C69" s="16" t="s">
        <v>119</v>
      </c>
      <c r="D69" s="14"/>
      <c r="E69" s="48">
        <v>24123</v>
      </c>
      <c r="F69" s="13">
        <f>SUM(E69/1000)</f>
        <v>24.123000000000001</v>
      </c>
      <c r="G69" s="13">
        <v>176.61</v>
      </c>
      <c r="H69" s="79">
        <f t="shared" si="5"/>
        <v>4.2603630300000006</v>
      </c>
      <c r="I69" s="13">
        <f t="shared" ref="I69:I73" si="6">F69*G69</f>
        <v>4260.3630300000004</v>
      </c>
    </row>
    <row r="70" spans="1:22" ht="15.75" hidden="1" customHeight="1">
      <c r="A70" s="29"/>
      <c r="B70" s="14" t="s">
        <v>52</v>
      </c>
      <c r="C70" s="16" t="s">
        <v>78</v>
      </c>
      <c r="D70" s="14" t="s">
        <v>56</v>
      </c>
      <c r="E70" s="48">
        <v>2730</v>
      </c>
      <c r="F70" s="13">
        <f>SUM(E70/100)</f>
        <v>27.3</v>
      </c>
      <c r="G70" s="13">
        <v>2217.7800000000002</v>
      </c>
      <c r="H70" s="79">
        <f t="shared" si="5"/>
        <v>60.545394000000009</v>
      </c>
      <c r="I70" s="13">
        <f t="shared" si="6"/>
        <v>60545.394000000008</v>
      </c>
    </row>
    <row r="71" spans="1:22" ht="15.75" hidden="1" customHeight="1">
      <c r="A71" s="29"/>
      <c r="B71" s="80" t="s">
        <v>120</v>
      </c>
      <c r="C71" s="16" t="s">
        <v>33</v>
      </c>
      <c r="D71" s="14"/>
      <c r="E71" s="48">
        <v>23</v>
      </c>
      <c r="F71" s="13">
        <f>SUM(E71)</f>
        <v>23</v>
      </c>
      <c r="G71" s="13">
        <v>42.67</v>
      </c>
      <c r="H71" s="79">
        <f t="shared" si="5"/>
        <v>0.98141000000000012</v>
      </c>
      <c r="I71" s="13">
        <f t="shared" si="6"/>
        <v>981.41000000000008</v>
      </c>
    </row>
    <row r="72" spans="1:22" ht="15.75" hidden="1" customHeight="1">
      <c r="A72" s="29"/>
      <c r="B72" s="80" t="s">
        <v>121</v>
      </c>
      <c r="C72" s="16" t="s">
        <v>33</v>
      </c>
      <c r="D72" s="14"/>
      <c r="E72" s="48">
        <v>23</v>
      </c>
      <c r="F72" s="13">
        <f>SUM(E72)</f>
        <v>23</v>
      </c>
      <c r="G72" s="13">
        <v>39.81</v>
      </c>
      <c r="H72" s="79">
        <f t="shared" si="5"/>
        <v>0.91563000000000005</v>
      </c>
      <c r="I72" s="13">
        <f t="shared" si="6"/>
        <v>915.63000000000011</v>
      </c>
    </row>
    <row r="73" spans="1:22" ht="15.75" hidden="1" customHeight="1">
      <c r="A73" s="29"/>
      <c r="B73" s="14" t="s">
        <v>59</v>
      </c>
      <c r="C73" s="16" t="s">
        <v>60</v>
      </c>
      <c r="D73" s="14" t="s">
        <v>56</v>
      </c>
      <c r="E73" s="18">
        <v>10</v>
      </c>
      <c r="F73" s="64">
        <f>SUM(E73)</f>
        <v>10</v>
      </c>
      <c r="G73" s="13">
        <v>53.32</v>
      </c>
      <c r="H73" s="79">
        <f t="shared" si="5"/>
        <v>0.53320000000000001</v>
      </c>
      <c r="I73" s="13">
        <f t="shared" si="6"/>
        <v>533.20000000000005</v>
      </c>
    </row>
    <row r="74" spans="1:22" ht="15.75" customHeight="1">
      <c r="A74" s="29"/>
      <c r="B74" s="147" t="s">
        <v>182</v>
      </c>
      <c r="C74" s="16"/>
      <c r="D74" s="14"/>
      <c r="E74" s="18"/>
      <c r="F74" s="13"/>
      <c r="G74" s="13"/>
      <c r="H74" s="13"/>
      <c r="I74" s="13"/>
    </row>
    <row r="75" spans="1:22" ht="33" customHeight="1">
      <c r="A75" s="29">
        <v>17</v>
      </c>
      <c r="B75" s="97" t="s">
        <v>183</v>
      </c>
      <c r="C75" s="126" t="s">
        <v>184</v>
      </c>
      <c r="D75" s="127"/>
      <c r="E75" s="128">
        <v>4591.2</v>
      </c>
      <c r="F75" s="129">
        <f>E75*12</f>
        <v>55094.399999999994</v>
      </c>
      <c r="G75" s="129">
        <v>2.4900000000000002</v>
      </c>
      <c r="H75" s="13"/>
      <c r="I75" s="13">
        <f>G75*F75/12</f>
        <v>11432.088000000002</v>
      </c>
    </row>
    <row r="76" spans="1:22" ht="14.25" customHeight="1">
      <c r="A76" s="29"/>
      <c r="B76" s="54" t="s">
        <v>74</v>
      </c>
      <c r="C76" s="16"/>
      <c r="D76" s="14"/>
      <c r="E76" s="18"/>
      <c r="F76" s="13"/>
      <c r="G76" s="13"/>
      <c r="H76" s="79" t="s">
        <v>124</v>
      </c>
      <c r="I76" s="13"/>
    </row>
    <row r="77" spans="1:22" ht="25.5" hidden="1" customHeight="1">
      <c r="A77" s="29"/>
      <c r="B77" s="14" t="s">
        <v>75</v>
      </c>
      <c r="C77" s="16" t="s">
        <v>31</v>
      </c>
      <c r="D77" s="14" t="s">
        <v>176</v>
      </c>
      <c r="E77" s="18">
        <v>2</v>
      </c>
      <c r="F77" s="56">
        <v>0.2</v>
      </c>
      <c r="G77" s="13">
        <v>536.23</v>
      </c>
      <c r="H77" s="79">
        <v>0.251</v>
      </c>
      <c r="I77" s="13">
        <f>G77*0.2</f>
        <v>107.24600000000001</v>
      </c>
    </row>
    <row r="78" spans="1:22" ht="22.5" hidden="1" customHeight="1">
      <c r="A78" s="29"/>
      <c r="B78" s="14" t="s">
        <v>87</v>
      </c>
      <c r="C78" s="16" t="s">
        <v>30</v>
      </c>
      <c r="D78" s="14"/>
      <c r="E78" s="18">
        <v>1</v>
      </c>
      <c r="F78" s="64">
        <f>SUM(E78)</f>
        <v>1</v>
      </c>
      <c r="G78" s="13">
        <v>383.25</v>
      </c>
      <c r="H78" s="79">
        <f t="shared" si="5"/>
        <v>0.38324999999999998</v>
      </c>
      <c r="I78" s="13">
        <v>0</v>
      </c>
    </row>
    <row r="79" spans="1:22" ht="24" hidden="1" customHeight="1">
      <c r="A79" s="29"/>
      <c r="B79" s="14" t="s">
        <v>76</v>
      </c>
      <c r="C79" s="16" t="s">
        <v>30</v>
      </c>
      <c r="D79" s="14"/>
      <c r="E79" s="18">
        <v>2</v>
      </c>
      <c r="F79" s="13">
        <v>2</v>
      </c>
      <c r="G79" s="13">
        <v>911.85</v>
      </c>
      <c r="H79" s="79">
        <f>F79*G79/1000</f>
        <v>1.8237000000000001</v>
      </c>
      <c r="I79" s="13">
        <v>0</v>
      </c>
    </row>
    <row r="80" spans="1:22" ht="29.25" customHeight="1">
      <c r="A80" s="29">
        <v>18</v>
      </c>
      <c r="B80" s="97" t="s">
        <v>179</v>
      </c>
      <c r="C80" s="114" t="s">
        <v>30</v>
      </c>
      <c r="D80" s="97" t="s">
        <v>164</v>
      </c>
      <c r="E80" s="17">
        <v>2</v>
      </c>
      <c r="F80" s="34">
        <f>E80*12</f>
        <v>24</v>
      </c>
      <c r="G80" s="34">
        <v>404</v>
      </c>
      <c r="H80" s="79"/>
      <c r="I80" s="13">
        <f>G80*2</f>
        <v>808</v>
      </c>
    </row>
    <row r="81" spans="1:9" ht="24" hidden="1" customHeight="1">
      <c r="A81" s="29"/>
      <c r="B81" s="81" t="s">
        <v>77</v>
      </c>
      <c r="C81" s="16"/>
      <c r="D81" s="14"/>
      <c r="E81" s="18"/>
      <c r="F81" s="13"/>
      <c r="G81" s="13" t="s">
        <v>124</v>
      </c>
      <c r="H81" s="79" t="s">
        <v>124</v>
      </c>
      <c r="I81" s="13"/>
    </row>
    <row r="82" spans="1:9" ht="23.25" hidden="1" customHeight="1">
      <c r="A82" s="29"/>
      <c r="B82" s="44" t="s">
        <v>125</v>
      </c>
      <c r="C82" s="16" t="s">
        <v>78</v>
      </c>
      <c r="D82" s="14"/>
      <c r="E82" s="18"/>
      <c r="F82" s="13">
        <v>1.35</v>
      </c>
      <c r="G82" s="13">
        <v>2949.85</v>
      </c>
      <c r="H82" s="79">
        <f t="shared" si="5"/>
        <v>3.9822975</v>
      </c>
      <c r="I82" s="13">
        <v>0</v>
      </c>
    </row>
    <row r="83" spans="1:9" ht="18.75" hidden="1" customHeight="1">
      <c r="A83" s="29"/>
      <c r="B83" s="67" t="s">
        <v>122</v>
      </c>
      <c r="C83" s="81"/>
      <c r="D83" s="31"/>
      <c r="E83" s="32"/>
      <c r="F83" s="68"/>
      <c r="G83" s="68"/>
      <c r="H83" s="82">
        <f>SUM(H58:H82)</f>
        <v>3539.6851510460001</v>
      </c>
      <c r="I83" s="68"/>
    </row>
    <row r="84" spans="1:9" ht="18" hidden="1" customHeight="1">
      <c r="A84" s="29"/>
      <c r="B84" s="62" t="s">
        <v>123</v>
      </c>
      <c r="C84" s="16"/>
      <c r="D84" s="14"/>
      <c r="E84" s="57"/>
      <c r="F84" s="13">
        <v>1</v>
      </c>
      <c r="G84" s="13">
        <v>19342.2</v>
      </c>
      <c r="H84" s="79">
        <f>G84*F84/1000</f>
        <v>19.342200000000002</v>
      </c>
      <c r="I84" s="13">
        <v>0</v>
      </c>
    </row>
    <row r="85" spans="1:9" ht="15.75" customHeight="1">
      <c r="A85" s="191" t="s">
        <v>133</v>
      </c>
      <c r="B85" s="192"/>
      <c r="C85" s="192"/>
      <c r="D85" s="192"/>
      <c r="E85" s="192"/>
      <c r="F85" s="192"/>
      <c r="G85" s="192"/>
      <c r="H85" s="192"/>
      <c r="I85" s="193"/>
    </row>
    <row r="86" spans="1:9" ht="15.75" customHeight="1">
      <c r="A86" s="29">
        <v>19</v>
      </c>
      <c r="B86" s="97" t="s">
        <v>126</v>
      </c>
      <c r="C86" s="114" t="s">
        <v>57</v>
      </c>
      <c r="D86" s="130"/>
      <c r="E86" s="34">
        <v>4591.2</v>
      </c>
      <c r="F86" s="34">
        <f>SUM(E86*12)</f>
        <v>55094.399999999994</v>
      </c>
      <c r="G86" s="34">
        <v>3.38</v>
      </c>
      <c r="H86" s="79">
        <f>SUM(F86*G86/1000)</f>
        <v>186.21907199999998</v>
      </c>
      <c r="I86" s="13">
        <f>F86/12*G86</f>
        <v>15518.255999999999</v>
      </c>
    </row>
    <row r="87" spans="1:9" ht="31.5" customHeight="1">
      <c r="A87" s="29">
        <v>20</v>
      </c>
      <c r="B87" s="131" t="s">
        <v>180</v>
      </c>
      <c r="C87" s="132" t="s">
        <v>25</v>
      </c>
      <c r="D87" s="133"/>
      <c r="E87" s="134">
        <f>E86</f>
        <v>4591.2</v>
      </c>
      <c r="F87" s="119">
        <f>E87*12</f>
        <v>55094.399999999994</v>
      </c>
      <c r="G87" s="119">
        <v>3.05</v>
      </c>
      <c r="H87" s="79">
        <f>F87*G87/1000</f>
        <v>168.03791999999999</v>
      </c>
      <c r="I87" s="13">
        <f>F87/12*G87</f>
        <v>14003.159999999998</v>
      </c>
    </row>
    <row r="88" spans="1:9" ht="15.75" customHeight="1">
      <c r="A88" s="45"/>
      <c r="B88" s="36" t="s">
        <v>80</v>
      </c>
      <c r="C88" s="37"/>
      <c r="D88" s="15"/>
      <c r="E88" s="15"/>
      <c r="F88" s="15"/>
      <c r="G88" s="18"/>
      <c r="H88" s="18"/>
      <c r="I88" s="32">
        <f>I87+I86+I80+I75+I62+I51+I44+I43+I42+I41+I40+I38+I37+I26+I21+I20+I18+I17+I16+I59</f>
        <v>84790.157659833334</v>
      </c>
    </row>
    <row r="89" spans="1:9" ht="15.75" customHeight="1">
      <c r="A89" s="188" t="s">
        <v>62</v>
      </c>
      <c r="B89" s="189"/>
      <c r="C89" s="189"/>
      <c r="D89" s="189"/>
      <c r="E89" s="189"/>
      <c r="F89" s="189"/>
      <c r="G89" s="189"/>
      <c r="H89" s="189"/>
      <c r="I89" s="190"/>
    </row>
    <row r="90" spans="1:9" ht="18" customHeight="1">
      <c r="A90" s="29">
        <v>21</v>
      </c>
      <c r="B90" s="92" t="s">
        <v>215</v>
      </c>
      <c r="C90" s="93" t="s">
        <v>203</v>
      </c>
      <c r="D90" s="95"/>
      <c r="E90" s="34"/>
      <c r="F90" s="34">
        <v>0.1</v>
      </c>
      <c r="G90" s="34">
        <v>1236.6600000000001</v>
      </c>
      <c r="H90" s="79"/>
      <c r="I90" s="13">
        <f>G90*0.1</f>
        <v>123.66600000000001</v>
      </c>
    </row>
    <row r="91" spans="1:9" ht="15.75" customHeight="1">
      <c r="A91" s="29">
        <v>22</v>
      </c>
      <c r="B91" s="95" t="s">
        <v>155</v>
      </c>
      <c r="C91" s="114" t="s">
        <v>159</v>
      </c>
      <c r="D91" s="95" t="s">
        <v>212</v>
      </c>
      <c r="E91" s="34"/>
      <c r="F91" s="34">
        <v>16</v>
      </c>
      <c r="G91" s="34">
        <v>295.36</v>
      </c>
      <c r="H91" s="79"/>
      <c r="I91" s="13">
        <v>0</v>
      </c>
    </row>
    <row r="92" spans="1:9" ht="28.5" customHeight="1">
      <c r="A92" s="29">
        <v>23</v>
      </c>
      <c r="B92" s="92" t="s">
        <v>216</v>
      </c>
      <c r="C92" s="93" t="s">
        <v>39</v>
      </c>
      <c r="D92" s="95" t="s">
        <v>170</v>
      </c>
      <c r="E92" s="34"/>
      <c r="F92" s="34">
        <v>0.01</v>
      </c>
      <c r="G92" s="34">
        <v>4233.72</v>
      </c>
      <c r="H92" s="79"/>
      <c r="I92" s="13">
        <v>0</v>
      </c>
    </row>
    <row r="93" spans="1:9" ht="15.75" customHeight="1">
      <c r="A93" s="29">
        <v>24</v>
      </c>
      <c r="B93" s="92" t="s">
        <v>217</v>
      </c>
      <c r="C93" s="93" t="s">
        <v>116</v>
      </c>
      <c r="D93" s="95"/>
      <c r="E93" s="34"/>
      <c r="F93" s="34">
        <v>1</v>
      </c>
      <c r="G93" s="34">
        <v>725.12</v>
      </c>
      <c r="H93" s="79"/>
      <c r="I93" s="13">
        <f>G93*1</f>
        <v>725.12</v>
      </c>
    </row>
    <row r="94" spans="1:9" ht="15.75" customHeight="1">
      <c r="A94" s="29">
        <v>25</v>
      </c>
      <c r="B94" s="92" t="s">
        <v>81</v>
      </c>
      <c r="C94" s="93" t="s">
        <v>116</v>
      </c>
      <c r="D94" s="95"/>
      <c r="E94" s="34"/>
      <c r="F94" s="34">
        <v>1</v>
      </c>
      <c r="G94" s="34">
        <v>224.48</v>
      </c>
      <c r="H94" s="79"/>
      <c r="I94" s="13">
        <f>G94*1</f>
        <v>224.48</v>
      </c>
    </row>
    <row r="95" spans="1:9" ht="15.75" customHeight="1">
      <c r="A95" s="29"/>
      <c r="B95" s="42" t="s">
        <v>53</v>
      </c>
      <c r="C95" s="38"/>
      <c r="D95" s="46"/>
      <c r="E95" s="38">
        <v>1</v>
      </c>
      <c r="F95" s="38"/>
      <c r="G95" s="38"/>
      <c r="H95" s="38"/>
      <c r="I95" s="32">
        <f>SUM(I90:I94)</f>
        <v>1073.2660000000001</v>
      </c>
    </row>
    <row r="96" spans="1:9" ht="15.75" customHeight="1">
      <c r="A96" s="29"/>
      <c r="B96" s="44" t="s">
        <v>79</v>
      </c>
      <c r="C96" s="15"/>
      <c r="D96" s="15"/>
      <c r="E96" s="39"/>
      <c r="F96" s="39"/>
      <c r="G96" s="40"/>
      <c r="H96" s="40"/>
      <c r="I96" s="17">
        <v>0</v>
      </c>
    </row>
    <row r="97" spans="1:9" ht="15.75" customHeight="1">
      <c r="A97" s="47"/>
      <c r="B97" s="43" t="s">
        <v>154</v>
      </c>
      <c r="C97" s="33"/>
      <c r="D97" s="33"/>
      <c r="E97" s="33"/>
      <c r="F97" s="33"/>
      <c r="G97" s="33"/>
      <c r="H97" s="33"/>
      <c r="I97" s="41">
        <f>I88+I95</f>
        <v>85863.423659833337</v>
      </c>
    </row>
    <row r="98" spans="1:9" ht="15.75" customHeight="1">
      <c r="A98" s="185" t="s">
        <v>302</v>
      </c>
      <c r="B98" s="185"/>
      <c r="C98" s="185"/>
      <c r="D98" s="185"/>
      <c r="E98" s="185"/>
      <c r="F98" s="185"/>
      <c r="G98" s="185"/>
      <c r="H98" s="185"/>
      <c r="I98" s="185"/>
    </row>
    <row r="99" spans="1:9" ht="15.75" customHeight="1">
      <c r="A99" s="55"/>
      <c r="B99" s="186" t="s">
        <v>303</v>
      </c>
      <c r="C99" s="186"/>
      <c r="D99" s="186"/>
      <c r="E99" s="186"/>
      <c r="F99" s="186"/>
      <c r="G99" s="186"/>
      <c r="H99" s="61"/>
      <c r="I99" s="3"/>
    </row>
    <row r="100" spans="1:9" ht="15.75" customHeight="1">
      <c r="A100" s="49"/>
      <c r="B100" s="176" t="s">
        <v>6</v>
      </c>
      <c r="C100" s="176"/>
      <c r="D100" s="176"/>
      <c r="E100" s="176"/>
      <c r="F100" s="176"/>
      <c r="G100" s="176"/>
      <c r="H100" s="24"/>
      <c r="I100" s="5"/>
    </row>
    <row r="101" spans="1:9" ht="7.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87" t="s">
        <v>7</v>
      </c>
      <c r="B102" s="187"/>
      <c r="C102" s="187"/>
      <c r="D102" s="187"/>
      <c r="E102" s="187"/>
      <c r="F102" s="187"/>
      <c r="G102" s="187"/>
      <c r="H102" s="187"/>
      <c r="I102" s="187"/>
    </row>
    <row r="103" spans="1:9" ht="15.75" customHeight="1">
      <c r="A103" s="187" t="s">
        <v>8</v>
      </c>
      <c r="B103" s="187"/>
      <c r="C103" s="187"/>
      <c r="D103" s="187"/>
      <c r="E103" s="187"/>
      <c r="F103" s="187"/>
      <c r="G103" s="187"/>
      <c r="H103" s="187"/>
      <c r="I103" s="187"/>
    </row>
    <row r="104" spans="1:9" ht="15.75" customHeight="1">
      <c r="A104" s="180" t="s">
        <v>63</v>
      </c>
      <c r="B104" s="180"/>
      <c r="C104" s="180"/>
      <c r="D104" s="180"/>
      <c r="E104" s="180"/>
      <c r="F104" s="180"/>
      <c r="G104" s="180"/>
      <c r="H104" s="180"/>
      <c r="I104" s="180"/>
    </row>
    <row r="105" spans="1:9" ht="7.5" customHeight="1">
      <c r="A105" s="11"/>
    </row>
    <row r="106" spans="1:9" ht="15.75" customHeight="1">
      <c r="A106" s="174" t="s">
        <v>9</v>
      </c>
      <c r="B106" s="174"/>
      <c r="C106" s="174"/>
      <c r="D106" s="174"/>
      <c r="E106" s="174"/>
      <c r="F106" s="174"/>
      <c r="G106" s="174"/>
      <c r="H106" s="174"/>
      <c r="I106" s="174"/>
    </row>
    <row r="107" spans="1:9" ht="15.75" customHeight="1">
      <c r="A107" s="4"/>
    </row>
    <row r="108" spans="1:9" ht="15.75" customHeight="1">
      <c r="B108" s="52" t="s">
        <v>10</v>
      </c>
      <c r="C108" s="175" t="s">
        <v>206</v>
      </c>
      <c r="D108" s="175"/>
      <c r="E108" s="175"/>
      <c r="F108" s="59"/>
      <c r="I108" s="51"/>
    </row>
    <row r="109" spans="1:9" ht="15.75" customHeight="1">
      <c r="A109" s="49"/>
      <c r="C109" s="176" t="s">
        <v>11</v>
      </c>
      <c r="D109" s="176"/>
      <c r="E109" s="176"/>
      <c r="F109" s="24"/>
      <c r="I109" s="50" t="s">
        <v>12</v>
      </c>
    </row>
    <row r="110" spans="1:9" ht="15.75" customHeight="1">
      <c r="A110" s="25"/>
      <c r="C110" s="12"/>
      <c r="D110" s="12"/>
      <c r="G110" s="12"/>
      <c r="H110" s="12"/>
    </row>
    <row r="111" spans="1:9" ht="15.75" customHeight="1">
      <c r="B111" s="52" t="s">
        <v>13</v>
      </c>
      <c r="C111" s="177"/>
      <c r="D111" s="177"/>
      <c r="E111" s="177"/>
      <c r="F111" s="60"/>
      <c r="I111" s="51"/>
    </row>
    <row r="112" spans="1:9" ht="15.75" customHeight="1">
      <c r="A112" s="49"/>
      <c r="C112" s="178" t="s">
        <v>11</v>
      </c>
      <c r="D112" s="178"/>
      <c r="E112" s="178"/>
      <c r="F112" s="49"/>
      <c r="I112" s="50" t="s">
        <v>12</v>
      </c>
    </row>
    <row r="113" spans="1:9" ht="15.75" customHeight="1">
      <c r="A113" s="4" t="s">
        <v>14</v>
      </c>
    </row>
    <row r="114" spans="1:9" ht="15.75" customHeight="1">
      <c r="A114" s="179" t="s">
        <v>15</v>
      </c>
      <c r="B114" s="179"/>
      <c r="C114" s="179"/>
      <c r="D114" s="179"/>
      <c r="E114" s="179"/>
      <c r="F114" s="179"/>
      <c r="G114" s="179"/>
      <c r="H114" s="179"/>
      <c r="I114" s="179"/>
    </row>
    <row r="115" spans="1:9" ht="45" customHeight="1">
      <c r="A115" s="173" t="s">
        <v>16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30" customHeight="1">
      <c r="A116" s="173" t="s">
        <v>17</v>
      </c>
      <c r="B116" s="173"/>
      <c r="C116" s="173"/>
      <c r="D116" s="173"/>
      <c r="E116" s="173"/>
      <c r="F116" s="173"/>
      <c r="G116" s="173"/>
      <c r="H116" s="173"/>
      <c r="I116" s="173"/>
    </row>
    <row r="117" spans="1:9" ht="30" customHeight="1">
      <c r="A117" s="173" t="s">
        <v>21</v>
      </c>
      <c r="B117" s="173"/>
      <c r="C117" s="173"/>
      <c r="D117" s="173"/>
      <c r="E117" s="173"/>
      <c r="F117" s="173"/>
      <c r="G117" s="173"/>
      <c r="H117" s="173"/>
      <c r="I117" s="173"/>
    </row>
    <row r="118" spans="1:9" ht="15" customHeight="1">
      <c r="A118" s="173" t="s">
        <v>20</v>
      </c>
      <c r="B118" s="173"/>
      <c r="C118" s="173"/>
      <c r="D118" s="173"/>
      <c r="E118" s="173"/>
      <c r="F118" s="173"/>
      <c r="G118" s="173"/>
      <c r="H118" s="173"/>
      <c r="I118" s="173"/>
    </row>
  </sheetData>
  <autoFilter ref="I12:I63"/>
  <mergeCells count="29">
    <mergeCell ref="R68:U68"/>
    <mergeCell ref="A85:I85"/>
    <mergeCell ref="A3:I3"/>
    <mergeCell ref="A4:I4"/>
    <mergeCell ref="A5:I5"/>
    <mergeCell ref="A8:I8"/>
    <mergeCell ref="A10:I10"/>
    <mergeCell ref="A14:I14"/>
    <mergeCell ref="A104:I104"/>
    <mergeCell ref="A15:I15"/>
    <mergeCell ref="A27:I27"/>
    <mergeCell ref="A45:I45"/>
    <mergeCell ref="A56:I56"/>
    <mergeCell ref="A98:I98"/>
    <mergeCell ref="B99:G99"/>
    <mergeCell ref="B100:G100"/>
    <mergeCell ref="A102:I102"/>
    <mergeCell ref="A103:I103"/>
    <mergeCell ref="A89:I89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topLeftCell="A71" workbookViewId="0">
      <selection activeCell="A102" sqref="A102:I10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3.42578125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149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330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44500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81" t="s">
        <v>84</v>
      </c>
      <c r="B27" s="181"/>
      <c r="C27" s="181"/>
      <c r="D27" s="181"/>
      <c r="E27" s="181"/>
      <c r="F27" s="181"/>
      <c r="G27" s="181"/>
      <c r="H27" s="181"/>
      <c r="I27" s="181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6</v>
      </c>
      <c r="B29" s="115" t="s">
        <v>104</v>
      </c>
      <c r="C29" s="116" t="s">
        <v>105</v>
      </c>
      <c r="D29" s="115" t="s">
        <v>178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7</v>
      </c>
      <c r="B30" s="115" t="s">
        <v>137</v>
      </c>
      <c r="C30" s="116" t="s">
        <v>105</v>
      </c>
      <c r="D30" s="115" t="s">
        <v>168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4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105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customHeight="1">
      <c r="A32" s="29">
        <v>8</v>
      </c>
      <c r="B32" s="115" t="s">
        <v>135</v>
      </c>
      <c r="C32" s="116" t="s">
        <v>41</v>
      </c>
      <c r="D32" s="115" t="s">
        <v>173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62" t="s">
        <v>66</v>
      </c>
      <c r="C33" s="63" t="s">
        <v>33</v>
      </c>
      <c r="D33" s="62" t="s">
        <v>68</v>
      </c>
      <c r="E33" s="48"/>
      <c r="F33" s="64">
        <v>3</v>
      </c>
      <c r="G33" s="64">
        <v>204.32</v>
      </c>
      <c r="H33" s="65">
        <f t="shared" si="1"/>
        <v>0.61296000000000006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1"/>
        <v>2.4294600000000002</v>
      </c>
      <c r="I34" s="13">
        <v>0</v>
      </c>
      <c r="J34" s="23"/>
    </row>
    <row r="35" spans="1:14" ht="15.7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124</v>
      </c>
      <c r="I35" s="13"/>
      <c r="J35" s="23"/>
    </row>
    <row r="36" spans="1:14" ht="15.75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3">SUM(F36*G36/1000)</f>
        <v>16.326000000000001</v>
      </c>
      <c r="I36" s="13">
        <f>F36/6*G36</f>
        <v>2721</v>
      </c>
      <c r="J36" s="23"/>
    </row>
    <row r="37" spans="1:14" ht="15.75" hidden="1" customHeight="1">
      <c r="A37" s="29">
        <v>9</v>
      </c>
      <c r="B37" s="62" t="s">
        <v>136</v>
      </c>
      <c r="C37" s="63" t="s">
        <v>29</v>
      </c>
      <c r="D37" s="62" t="s">
        <v>109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3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15.75" hidden="1" customHeight="1">
      <c r="A38" s="29"/>
      <c r="B38" s="62" t="s">
        <v>91</v>
      </c>
      <c r="C38" s="63" t="s">
        <v>110</v>
      </c>
      <c r="D38" s="62" t="s">
        <v>68</v>
      </c>
      <c r="E38" s="48"/>
      <c r="F38" s="64">
        <v>40</v>
      </c>
      <c r="G38" s="64">
        <v>213.2</v>
      </c>
      <c r="H38" s="65">
        <f t="shared" si="3"/>
        <v>8.5280000000000005</v>
      </c>
      <c r="I38" s="13"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62" t="s">
        <v>69</v>
      </c>
      <c r="C39" s="63" t="s">
        <v>29</v>
      </c>
      <c r="D39" s="62" t="s">
        <v>111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3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47.25" hidden="1" customHeight="1">
      <c r="A40" s="29">
        <v>11</v>
      </c>
      <c r="B40" s="62" t="s">
        <v>82</v>
      </c>
      <c r="C40" s="63" t="s">
        <v>105</v>
      </c>
      <c r="D40" s="62" t="s">
        <v>112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3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15.75" hidden="1" customHeight="1">
      <c r="A41" s="29">
        <v>12</v>
      </c>
      <c r="B41" s="62" t="s">
        <v>113</v>
      </c>
      <c r="C41" s="63" t="s">
        <v>105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3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15.7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3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29.25" hidden="1" customHeight="1">
      <c r="A43" s="136">
        <v>9</v>
      </c>
      <c r="B43" s="138" t="s">
        <v>185</v>
      </c>
      <c r="C43" s="139" t="s">
        <v>105</v>
      </c>
      <c r="D43" s="138" t="s">
        <v>170</v>
      </c>
      <c r="E43" s="140">
        <v>3.6</v>
      </c>
      <c r="F43" s="141">
        <f>E43*12/1000</f>
        <v>4.3200000000000002E-2</v>
      </c>
      <c r="G43" s="141">
        <v>19757.060000000001</v>
      </c>
      <c r="H43" s="56"/>
      <c r="I43" s="137">
        <f>G43*3.6/1000</f>
        <v>71.125416000000016</v>
      </c>
      <c r="J43" s="23"/>
      <c r="L43" s="19"/>
      <c r="M43" s="20"/>
      <c r="N43" s="21"/>
    </row>
    <row r="44" spans="1:14" ht="15.75" hidden="1" customHeight="1">
      <c r="A44" s="182" t="s">
        <v>131</v>
      </c>
      <c r="B44" s="183"/>
      <c r="C44" s="183"/>
      <c r="D44" s="183"/>
      <c r="E44" s="183"/>
      <c r="F44" s="183"/>
      <c r="G44" s="183"/>
      <c r="H44" s="183"/>
      <c r="I44" s="184"/>
      <c r="J44" s="23"/>
      <c r="L44" s="19"/>
      <c r="M44" s="20"/>
      <c r="N44" s="21"/>
    </row>
    <row r="45" spans="1:14" ht="15.75" hidden="1" customHeight="1">
      <c r="A45" s="29"/>
      <c r="B45" s="62" t="s">
        <v>128</v>
      </c>
      <c r="C45" s="63" t="s">
        <v>105</v>
      </c>
      <c r="D45" s="62" t="s">
        <v>43</v>
      </c>
      <c r="E45" s="48">
        <v>1795.9</v>
      </c>
      <c r="F45" s="64">
        <f>SUM(E45*2/1000)</f>
        <v>3.5918000000000001</v>
      </c>
      <c r="G45" s="13">
        <v>865.61</v>
      </c>
      <c r="H45" s="65">
        <f t="shared" ref="H45:H54" si="4">SUM(F45*G45/1000)</f>
        <v>3.1090979980000002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2" t="s">
        <v>36</v>
      </c>
      <c r="C46" s="63" t="s">
        <v>105</v>
      </c>
      <c r="D46" s="62" t="s">
        <v>43</v>
      </c>
      <c r="E46" s="48">
        <v>104</v>
      </c>
      <c r="F46" s="64">
        <f>SUM(E46*2/1000)</f>
        <v>0.20799999999999999</v>
      </c>
      <c r="G46" s="13">
        <v>619.46</v>
      </c>
      <c r="H46" s="65">
        <f t="shared" si="4"/>
        <v>0.12884767999999999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37</v>
      </c>
      <c r="C47" s="63" t="s">
        <v>105</v>
      </c>
      <c r="D47" s="62" t="s">
        <v>43</v>
      </c>
      <c r="E47" s="48">
        <v>1996.87</v>
      </c>
      <c r="F47" s="64">
        <f>SUM(E47*2/1000)</f>
        <v>3.9937399999999998</v>
      </c>
      <c r="G47" s="13">
        <v>619.46</v>
      </c>
      <c r="H47" s="65">
        <f t="shared" si="4"/>
        <v>2.4739621804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38</v>
      </c>
      <c r="C48" s="63" t="s">
        <v>105</v>
      </c>
      <c r="D48" s="62" t="s">
        <v>43</v>
      </c>
      <c r="E48" s="48">
        <v>2630.35</v>
      </c>
      <c r="F48" s="64">
        <f>SUM(E48*2/1000)</f>
        <v>5.2606999999999999</v>
      </c>
      <c r="G48" s="13">
        <v>648.64</v>
      </c>
      <c r="H48" s="65">
        <f t="shared" si="4"/>
        <v>3.4123004479999999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34</v>
      </c>
      <c r="C49" s="63" t="s">
        <v>35</v>
      </c>
      <c r="D49" s="62" t="s">
        <v>43</v>
      </c>
      <c r="E49" s="48">
        <v>131.47</v>
      </c>
      <c r="F49" s="64">
        <f>SUM(E49*2/100)</f>
        <v>2.6294</v>
      </c>
      <c r="G49" s="13">
        <v>77.84</v>
      </c>
      <c r="H49" s="65">
        <f t="shared" si="4"/>
        <v>0.20467249599999998</v>
      </c>
      <c r="I49" s="13">
        <v>0</v>
      </c>
      <c r="J49" s="23"/>
      <c r="L49" s="19"/>
      <c r="M49" s="20"/>
      <c r="N49" s="21"/>
    </row>
    <row r="50" spans="1:22" ht="15.75" hidden="1" customHeight="1">
      <c r="A50" s="29">
        <v>14</v>
      </c>
      <c r="B50" s="62" t="s">
        <v>58</v>
      </c>
      <c r="C50" s="63" t="s">
        <v>105</v>
      </c>
      <c r="D50" s="62" t="s">
        <v>138</v>
      </c>
      <c r="E50" s="48">
        <v>2872.4</v>
      </c>
      <c r="F50" s="64">
        <f>SUM(E50*5/1000)</f>
        <v>14.362</v>
      </c>
      <c r="G50" s="13">
        <v>1297.28</v>
      </c>
      <c r="H50" s="65">
        <f t="shared" si="4"/>
        <v>18.631535359999997</v>
      </c>
      <c r="I50" s="13">
        <f>F50/5*G50</f>
        <v>3726.3070719999996</v>
      </c>
      <c r="J50" s="23"/>
      <c r="L50" s="19"/>
      <c r="M50" s="20"/>
      <c r="N50" s="21"/>
    </row>
    <row r="51" spans="1:22" ht="31.5" hidden="1" customHeight="1">
      <c r="A51" s="29">
        <v>11</v>
      </c>
      <c r="B51" s="62" t="s">
        <v>114</v>
      </c>
      <c r="C51" s="63" t="s">
        <v>105</v>
      </c>
      <c r="D51" s="62" t="s">
        <v>43</v>
      </c>
      <c r="E51" s="48">
        <v>2872.4</v>
      </c>
      <c r="F51" s="64">
        <f>SUM(E51*2/1000)</f>
        <v>5.7448000000000006</v>
      </c>
      <c r="G51" s="13">
        <v>1297.28</v>
      </c>
      <c r="H51" s="65">
        <f t="shared" si="4"/>
        <v>7.4526141440000009</v>
      </c>
      <c r="I51" s="13">
        <f>F51/2*G51</f>
        <v>3726.3070720000005</v>
      </c>
      <c r="J51" s="23"/>
      <c r="L51" s="19"/>
      <c r="M51" s="20"/>
      <c r="N51" s="21"/>
    </row>
    <row r="52" spans="1:22" ht="31.5" hidden="1" customHeight="1">
      <c r="A52" s="29">
        <v>12</v>
      </c>
      <c r="B52" s="62" t="s">
        <v>115</v>
      </c>
      <c r="C52" s="63" t="s">
        <v>39</v>
      </c>
      <c r="D52" s="62" t="s">
        <v>43</v>
      </c>
      <c r="E52" s="48">
        <v>40</v>
      </c>
      <c r="F52" s="64">
        <f>SUM(E52*2/100)</f>
        <v>0.8</v>
      </c>
      <c r="G52" s="13">
        <v>2918.89</v>
      </c>
      <c r="H52" s="65">
        <f t="shared" si="4"/>
        <v>2.3351120000000001</v>
      </c>
      <c r="I52" s="13">
        <f t="shared" ref="I52:I53" si="5">F52/2*G52</f>
        <v>1167.556</v>
      </c>
      <c r="J52" s="23"/>
      <c r="L52" s="19"/>
      <c r="M52" s="20"/>
      <c r="N52" s="21"/>
    </row>
    <row r="53" spans="1:22" ht="15.75" hidden="1" customHeight="1">
      <c r="A53" s="29">
        <v>13</v>
      </c>
      <c r="B53" s="62" t="s">
        <v>40</v>
      </c>
      <c r="C53" s="63" t="s">
        <v>41</v>
      </c>
      <c r="D53" s="62" t="s">
        <v>43</v>
      </c>
      <c r="E53" s="48">
        <v>1</v>
      </c>
      <c r="F53" s="64">
        <v>0.02</v>
      </c>
      <c r="G53" s="13">
        <v>6042.12</v>
      </c>
      <c r="H53" s="65">
        <f t="shared" si="4"/>
        <v>0.1208424</v>
      </c>
      <c r="I53" s="13">
        <f t="shared" si="5"/>
        <v>60.421199999999999</v>
      </c>
      <c r="J53" s="23"/>
      <c r="L53" s="19"/>
      <c r="M53" s="20"/>
      <c r="N53" s="21"/>
    </row>
    <row r="54" spans="1:22" ht="15.75" hidden="1" customHeight="1">
      <c r="A54" s="29">
        <v>14</v>
      </c>
      <c r="B54" s="62" t="s">
        <v>42</v>
      </c>
      <c r="C54" s="63" t="s">
        <v>30</v>
      </c>
      <c r="D54" s="62" t="s">
        <v>72</v>
      </c>
      <c r="E54" s="48">
        <v>160</v>
      </c>
      <c r="F54" s="64">
        <f>SUM(E54)*3</f>
        <v>480</v>
      </c>
      <c r="G54" s="13">
        <v>70.209999999999994</v>
      </c>
      <c r="H54" s="65">
        <f t="shared" si="4"/>
        <v>33.700799999999994</v>
      </c>
      <c r="I54" s="13">
        <f>E54*G54</f>
        <v>11233.599999999999</v>
      </c>
      <c r="J54" s="23"/>
      <c r="L54" s="19"/>
      <c r="M54" s="20"/>
      <c r="N54" s="21"/>
    </row>
    <row r="55" spans="1:22" ht="15.75" customHeight="1">
      <c r="A55" s="182" t="s">
        <v>141</v>
      </c>
      <c r="B55" s="183"/>
      <c r="C55" s="183"/>
      <c r="D55" s="183"/>
      <c r="E55" s="183"/>
      <c r="F55" s="183"/>
      <c r="G55" s="183"/>
      <c r="H55" s="183"/>
      <c r="I55" s="184"/>
      <c r="J55" s="23"/>
      <c r="L55" s="19"/>
      <c r="M55" s="20"/>
      <c r="N55" s="21"/>
    </row>
    <row r="56" spans="1:22" ht="16.5" hidden="1" customHeight="1">
      <c r="A56" s="29"/>
      <c r="B56" s="83" t="s">
        <v>44</v>
      </c>
      <c r="C56" s="63"/>
      <c r="D56" s="62"/>
      <c r="E56" s="48"/>
      <c r="F56" s="64"/>
      <c r="G56" s="64"/>
      <c r="H56" s="65"/>
      <c r="I56" s="13"/>
      <c r="J56" s="23"/>
      <c r="L56" s="19"/>
      <c r="M56" s="20"/>
      <c r="N56" s="21"/>
    </row>
    <row r="57" spans="1:22" ht="15.75" hidden="1" customHeight="1">
      <c r="A57" s="29">
        <v>16</v>
      </c>
      <c r="B57" s="62" t="s">
        <v>117</v>
      </c>
      <c r="C57" s="63" t="s">
        <v>98</v>
      </c>
      <c r="D57" s="62" t="s">
        <v>73</v>
      </c>
      <c r="E57" s="48">
        <v>239.59</v>
      </c>
      <c r="F57" s="64">
        <f>E57*6/100</f>
        <v>14.375399999999999</v>
      </c>
      <c r="G57" s="71">
        <v>1654.04</v>
      </c>
      <c r="H57" s="65">
        <f>F57*G57/1000</f>
        <v>23.777486615999997</v>
      </c>
      <c r="I57" s="13">
        <f>F57/6*G57</f>
        <v>3962.9144359999996</v>
      </c>
      <c r="J57" s="23"/>
      <c r="L57" s="19"/>
      <c r="M57" s="20"/>
      <c r="N57" s="21"/>
    </row>
    <row r="58" spans="1:22" ht="15.75" hidden="1" customHeight="1">
      <c r="A58" s="29">
        <v>10</v>
      </c>
      <c r="B58" s="99" t="s">
        <v>86</v>
      </c>
      <c r="C58" s="100" t="s">
        <v>156</v>
      </c>
      <c r="D58" s="73" t="s">
        <v>188</v>
      </c>
      <c r="E58" s="74"/>
      <c r="F58" s="76"/>
      <c r="G58" s="107">
        <v>1730</v>
      </c>
      <c r="H58" s="78"/>
      <c r="I58" s="13">
        <f>G58*1</f>
        <v>1730</v>
      </c>
      <c r="J58" s="23"/>
      <c r="L58" s="19"/>
      <c r="M58" s="20"/>
      <c r="N58" s="21"/>
    </row>
    <row r="59" spans="1:22" ht="15.75" customHeight="1">
      <c r="A59" s="29"/>
      <c r="B59" s="84" t="s">
        <v>45</v>
      </c>
      <c r="C59" s="72"/>
      <c r="D59" s="73"/>
      <c r="E59" s="74"/>
      <c r="F59" s="76"/>
      <c r="G59" s="13"/>
      <c r="H59" s="78"/>
      <c r="I59" s="13"/>
      <c r="J59" s="23"/>
      <c r="L59" s="19"/>
      <c r="M59" s="20"/>
      <c r="N59" s="21"/>
    </row>
    <row r="60" spans="1:22" ht="15.75" hidden="1" customHeight="1">
      <c r="A60" s="29"/>
      <c r="B60" s="73" t="s">
        <v>46</v>
      </c>
      <c r="C60" s="72" t="s">
        <v>55</v>
      </c>
      <c r="D60" s="73" t="s">
        <v>56</v>
      </c>
      <c r="E60" s="74">
        <v>2686</v>
      </c>
      <c r="F60" s="76">
        <f>E60/100</f>
        <v>26.86</v>
      </c>
      <c r="G60" s="13">
        <v>848.37</v>
      </c>
      <c r="H60" s="78">
        <f>G60*F60/1000</f>
        <v>22.787218199999998</v>
      </c>
      <c r="I60" s="13">
        <v>0</v>
      </c>
      <c r="J60" s="23"/>
      <c r="L60" s="19"/>
    </row>
    <row r="61" spans="1:22" ht="15.75" customHeight="1">
      <c r="A61" s="29">
        <v>9</v>
      </c>
      <c r="B61" s="99" t="s">
        <v>92</v>
      </c>
      <c r="C61" s="100" t="s">
        <v>25</v>
      </c>
      <c r="D61" s="99" t="s">
        <v>164</v>
      </c>
      <c r="E61" s="101">
        <v>200</v>
      </c>
      <c r="F61" s="102">
        <f>E61*12</f>
        <v>2400</v>
      </c>
      <c r="G61" s="103">
        <v>1.4</v>
      </c>
      <c r="H61" s="78">
        <f>F61*G61</f>
        <v>3360</v>
      </c>
      <c r="I61" s="13">
        <f>F61/12*G61</f>
        <v>280</v>
      </c>
    </row>
    <row r="62" spans="1:22" ht="15.75" hidden="1" customHeight="1">
      <c r="A62" s="29"/>
      <c r="B62" s="84" t="s">
        <v>47</v>
      </c>
      <c r="C62" s="72"/>
      <c r="D62" s="73"/>
      <c r="E62" s="74"/>
      <c r="F62" s="75"/>
      <c r="G62" s="75"/>
      <c r="H62" s="76" t="s">
        <v>124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>
        <v>11</v>
      </c>
      <c r="B63" s="14" t="s">
        <v>48</v>
      </c>
      <c r="C63" s="16" t="s">
        <v>116</v>
      </c>
      <c r="D63" s="73" t="s">
        <v>169</v>
      </c>
      <c r="E63" s="18">
        <v>15</v>
      </c>
      <c r="F63" s="64">
        <v>15</v>
      </c>
      <c r="G63" s="112">
        <v>318.82</v>
      </c>
      <c r="H63" s="79">
        <f t="shared" ref="H63:H77" si="6">SUM(F63*G63/1000)</f>
        <v>4.7823000000000002</v>
      </c>
      <c r="I63" s="13">
        <f>G63*2</f>
        <v>637.64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29"/>
      <c r="B64" s="14" t="s">
        <v>49</v>
      </c>
      <c r="C64" s="16" t="s">
        <v>116</v>
      </c>
      <c r="D64" s="73" t="s">
        <v>68</v>
      </c>
      <c r="E64" s="18">
        <v>5</v>
      </c>
      <c r="F64" s="64">
        <v>5</v>
      </c>
      <c r="G64" s="13">
        <v>81.510000000000005</v>
      </c>
      <c r="H64" s="79">
        <f t="shared" si="6"/>
        <v>0.40755000000000002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4" t="s">
        <v>50</v>
      </c>
      <c r="C65" s="16" t="s">
        <v>118</v>
      </c>
      <c r="D65" s="14" t="s">
        <v>56</v>
      </c>
      <c r="E65" s="48">
        <v>24123</v>
      </c>
      <c r="F65" s="13">
        <f>SUM(E65/100)</f>
        <v>241.23</v>
      </c>
      <c r="G65" s="13">
        <v>226.79</v>
      </c>
      <c r="H65" s="79">
        <f t="shared" si="6"/>
        <v>54.708551699999994</v>
      </c>
      <c r="I65" s="13">
        <f>F65*G65</f>
        <v>54708.551699999996</v>
      </c>
      <c r="J65" s="5"/>
      <c r="K65" s="5"/>
      <c r="L65" s="5"/>
      <c r="M65" s="5"/>
      <c r="N65" s="5"/>
      <c r="O65" s="5"/>
      <c r="P65" s="5"/>
      <c r="Q65" s="5"/>
      <c r="R65" s="178"/>
      <c r="S65" s="178"/>
      <c r="T65" s="178"/>
      <c r="U65" s="178"/>
    </row>
    <row r="66" spans="1:21" ht="15.75" hidden="1" customHeight="1">
      <c r="A66" s="29"/>
      <c r="B66" s="14" t="s">
        <v>51</v>
      </c>
      <c r="C66" s="16" t="s">
        <v>119</v>
      </c>
      <c r="D66" s="14"/>
      <c r="E66" s="48">
        <v>24123</v>
      </c>
      <c r="F66" s="13">
        <f>SUM(E66/1000)</f>
        <v>24.123000000000001</v>
      </c>
      <c r="G66" s="13">
        <v>176.61</v>
      </c>
      <c r="H66" s="79">
        <f t="shared" si="6"/>
        <v>4.2603630300000006</v>
      </c>
      <c r="I66" s="13">
        <f t="shared" ref="I66:I70" si="7">F66*G66</f>
        <v>4260.3630300000004</v>
      </c>
    </row>
    <row r="67" spans="1:21" ht="15.75" hidden="1" customHeight="1">
      <c r="A67" s="29"/>
      <c r="B67" s="14" t="s">
        <v>52</v>
      </c>
      <c r="C67" s="16" t="s">
        <v>78</v>
      </c>
      <c r="D67" s="14" t="s">
        <v>56</v>
      </c>
      <c r="E67" s="48">
        <v>2730</v>
      </c>
      <c r="F67" s="13">
        <f>SUM(E67/100)</f>
        <v>27.3</v>
      </c>
      <c r="G67" s="13">
        <v>2217.7800000000002</v>
      </c>
      <c r="H67" s="79">
        <f t="shared" si="6"/>
        <v>60.545394000000009</v>
      </c>
      <c r="I67" s="13">
        <f t="shared" si="7"/>
        <v>60545.394000000008</v>
      </c>
    </row>
    <row r="68" spans="1:21" ht="15.75" hidden="1" customHeight="1">
      <c r="A68" s="29"/>
      <c r="B68" s="80" t="s">
        <v>120</v>
      </c>
      <c r="C68" s="16" t="s">
        <v>33</v>
      </c>
      <c r="D68" s="14"/>
      <c r="E68" s="48">
        <v>23</v>
      </c>
      <c r="F68" s="13">
        <f>SUM(E68)</f>
        <v>23</v>
      </c>
      <c r="G68" s="13">
        <v>42.67</v>
      </c>
      <c r="H68" s="79">
        <f t="shared" si="6"/>
        <v>0.98141000000000012</v>
      </c>
      <c r="I68" s="13">
        <f t="shared" si="7"/>
        <v>981.41000000000008</v>
      </c>
    </row>
    <row r="69" spans="1:21" ht="15.75" hidden="1" customHeight="1">
      <c r="A69" s="29"/>
      <c r="B69" s="80" t="s">
        <v>121</v>
      </c>
      <c r="C69" s="16" t="s">
        <v>33</v>
      </c>
      <c r="D69" s="14"/>
      <c r="E69" s="48">
        <v>23</v>
      </c>
      <c r="F69" s="13">
        <f>SUM(E69)</f>
        <v>23</v>
      </c>
      <c r="G69" s="13">
        <v>39.81</v>
      </c>
      <c r="H69" s="79">
        <f t="shared" si="6"/>
        <v>0.91563000000000005</v>
      </c>
      <c r="I69" s="13">
        <f t="shared" si="7"/>
        <v>915.63000000000011</v>
      </c>
    </row>
    <row r="70" spans="1:21" ht="15.75" hidden="1" customHeight="1">
      <c r="A70" s="29"/>
      <c r="B70" s="14" t="s">
        <v>59</v>
      </c>
      <c r="C70" s="16" t="s">
        <v>60</v>
      </c>
      <c r="D70" s="14" t="s">
        <v>56</v>
      </c>
      <c r="E70" s="18">
        <v>10</v>
      </c>
      <c r="F70" s="64">
        <f>SUM(E70)</f>
        <v>10</v>
      </c>
      <c r="G70" s="13">
        <v>53.32</v>
      </c>
      <c r="H70" s="79">
        <f t="shared" si="6"/>
        <v>0.53320000000000001</v>
      </c>
      <c r="I70" s="13">
        <f t="shared" si="7"/>
        <v>533.20000000000005</v>
      </c>
    </row>
    <row r="71" spans="1:21" ht="15.75" customHeight="1">
      <c r="A71" s="29"/>
      <c r="B71" s="124" t="s">
        <v>74</v>
      </c>
      <c r="C71" s="16"/>
      <c r="D71" s="14"/>
      <c r="E71" s="18"/>
      <c r="F71" s="13"/>
      <c r="G71" s="13"/>
      <c r="H71" s="79" t="s">
        <v>124</v>
      </c>
      <c r="I71" s="13"/>
    </row>
    <row r="72" spans="1:21" ht="15.75" hidden="1" customHeight="1">
      <c r="A72" s="29">
        <v>17</v>
      </c>
      <c r="B72" s="14" t="s">
        <v>75</v>
      </c>
      <c r="C72" s="16" t="s">
        <v>31</v>
      </c>
      <c r="D72" s="14"/>
      <c r="E72" s="18">
        <v>2</v>
      </c>
      <c r="F72" s="56">
        <v>0.2</v>
      </c>
      <c r="G72" s="13">
        <v>536.23</v>
      </c>
      <c r="H72" s="79">
        <v>0.251</v>
      </c>
      <c r="I72" s="13">
        <f>G72*0.4</f>
        <v>214.49200000000002</v>
      </c>
    </row>
    <row r="73" spans="1:21" ht="15.75" hidden="1" customHeight="1">
      <c r="A73" s="29"/>
      <c r="B73" s="14" t="s">
        <v>87</v>
      </c>
      <c r="C73" s="16" t="s">
        <v>30</v>
      </c>
      <c r="D73" s="14"/>
      <c r="E73" s="18">
        <v>1</v>
      </c>
      <c r="F73" s="64">
        <f>SUM(E73)</f>
        <v>1</v>
      </c>
      <c r="G73" s="13">
        <v>383.25</v>
      </c>
      <c r="H73" s="79">
        <f t="shared" si="6"/>
        <v>0.38324999999999998</v>
      </c>
      <c r="I73" s="13">
        <v>0</v>
      </c>
    </row>
    <row r="74" spans="1:21" ht="15.75" hidden="1" customHeight="1">
      <c r="A74" s="29"/>
      <c r="B74" s="14" t="s">
        <v>76</v>
      </c>
      <c r="C74" s="16" t="s">
        <v>30</v>
      </c>
      <c r="D74" s="14"/>
      <c r="E74" s="18">
        <v>2</v>
      </c>
      <c r="F74" s="13">
        <v>2</v>
      </c>
      <c r="G74" s="13">
        <v>911.85</v>
      </c>
      <c r="H74" s="79">
        <f>F74*G74/1000</f>
        <v>1.8237000000000001</v>
      </c>
      <c r="I74" s="13">
        <v>0</v>
      </c>
    </row>
    <row r="75" spans="1:21" ht="29.25" customHeight="1">
      <c r="A75" s="29">
        <v>10</v>
      </c>
      <c r="B75" s="97" t="s">
        <v>179</v>
      </c>
      <c r="C75" s="114" t="s">
        <v>30</v>
      </c>
      <c r="D75" s="97" t="s">
        <v>164</v>
      </c>
      <c r="E75" s="17">
        <v>2</v>
      </c>
      <c r="F75" s="34">
        <f>E75*12</f>
        <v>24</v>
      </c>
      <c r="G75" s="34">
        <v>404</v>
      </c>
      <c r="H75" s="79"/>
      <c r="I75" s="13">
        <f>G75*2</f>
        <v>808</v>
      </c>
    </row>
    <row r="76" spans="1:21" ht="15.75" hidden="1" customHeight="1">
      <c r="A76" s="29"/>
      <c r="B76" s="81" t="s">
        <v>77</v>
      </c>
      <c r="C76" s="16"/>
      <c r="D76" s="14"/>
      <c r="E76" s="18"/>
      <c r="F76" s="13"/>
      <c r="G76" s="13" t="s">
        <v>124</v>
      </c>
      <c r="H76" s="79" t="s">
        <v>124</v>
      </c>
      <c r="I76" s="13"/>
    </row>
    <row r="77" spans="1:21" ht="15.75" hidden="1" customHeight="1">
      <c r="A77" s="29"/>
      <c r="B77" s="44" t="s">
        <v>125</v>
      </c>
      <c r="C77" s="16" t="s">
        <v>78</v>
      </c>
      <c r="D77" s="14"/>
      <c r="E77" s="18"/>
      <c r="F77" s="13">
        <v>1.35</v>
      </c>
      <c r="G77" s="13">
        <v>2949.85</v>
      </c>
      <c r="H77" s="79">
        <f t="shared" si="6"/>
        <v>3.9822975</v>
      </c>
      <c r="I77" s="13">
        <v>0</v>
      </c>
    </row>
    <row r="78" spans="1:21" ht="15.75" hidden="1" customHeight="1">
      <c r="A78" s="29"/>
      <c r="B78" s="67" t="s">
        <v>122</v>
      </c>
      <c r="C78" s="81"/>
      <c r="D78" s="31"/>
      <c r="E78" s="32"/>
      <c r="F78" s="68"/>
      <c r="G78" s="68"/>
      <c r="H78" s="82">
        <f>SUM(H57:H77)</f>
        <v>3540.1393510459998</v>
      </c>
      <c r="I78" s="68"/>
    </row>
    <row r="79" spans="1:21" ht="15.75" hidden="1" customHeight="1">
      <c r="A79" s="108"/>
      <c r="B79" s="73" t="s">
        <v>123</v>
      </c>
      <c r="C79" s="109"/>
      <c r="D79" s="110"/>
      <c r="E79" s="57"/>
      <c r="F79" s="105">
        <v>1</v>
      </c>
      <c r="G79" s="105">
        <v>19342.2</v>
      </c>
      <c r="H79" s="111">
        <f>G79*F79/1000</f>
        <v>19.342200000000002</v>
      </c>
      <c r="I79" s="105">
        <v>0</v>
      </c>
    </row>
    <row r="80" spans="1:21" ht="15.75" customHeight="1">
      <c r="A80" s="29"/>
      <c r="B80" s="124" t="s">
        <v>182</v>
      </c>
      <c r="C80" s="16"/>
      <c r="D80" s="14"/>
      <c r="E80" s="18"/>
      <c r="F80" s="13"/>
      <c r="G80" s="13"/>
      <c r="H80" s="13"/>
      <c r="I80" s="13"/>
    </row>
    <row r="81" spans="1:9" ht="28.5" customHeight="1">
      <c r="A81" s="29">
        <v>11</v>
      </c>
      <c r="B81" s="97" t="s">
        <v>183</v>
      </c>
      <c r="C81" s="126" t="s">
        <v>184</v>
      </c>
      <c r="D81" s="127"/>
      <c r="E81" s="128">
        <v>4591.2</v>
      </c>
      <c r="F81" s="129">
        <f>E81*12</f>
        <v>55094.399999999994</v>
      </c>
      <c r="G81" s="129">
        <v>2.4900000000000002</v>
      </c>
      <c r="H81" s="13"/>
      <c r="I81" s="13">
        <f>G81*F81/12</f>
        <v>11432.088000000002</v>
      </c>
    </row>
    <row r="82" spans="1:9" ht="15.75" customHeight="1">
      <c r="A82" s="191" t="s">
        <v>142</v>
      </c>
      <c r="B82" s="192"/>
      <c r="C82" s="192"/>
      <c r="D82" s="192"/>
      <c r="E82" s="192"/>
      <c r="F82" s="192"/>
      <c r="G82" s="192"/>
      <c r="H82" s="192"/>
      <c r="I82" s="193"/>
    </row>
    <row r="83" spans="1:9" ht="15.75" customHeight="1">
      <c r="A83" s="29">
        <v>12</v>
      </c>
      <c r="B83" s="97" t="s">
        <v>126</v>
      </c>
      <c r="C83" s="114" t="s">
        <v>57</v>
      </c>
      <c r="D83" s="130"/>
      <c r="E83" s="34">
        <v>4591.2</v>
      </c>
      <c r="F83" s="34">
        <f>SUM(E83*12)</f>
        <v>55094.399999999994</v>
      </c>
      <c r="G83" s="34">
        <v>3.38</v>
      </c>
      <c r="H83" s="79">
        <f>SUM(F83*G83/1000)</f>
        <v>186.21907199999998</v>
      </c>
      <c r="I83" s="13">
        <f>F83/12*G83</f>
        <v>15518.255999999999</v>
      </c>
    </row>
    <row r="84" spans="1:9" ht="31.5" customHeight="1">
      <c r="A84" s="29">
        <v>13</v>
      </c>
      <c r="B84" s="131" t="s">
        <v>180</v>
      </c>
      <c r="C84" s="132" t="s">
        <v>25</v>
      </c>
      <c r="D84" s="133"/>
      <c r="E84" s="134">
        <f>E83</f>
        <v>4591.2</v>
      </c>
      <c r="F84" s="119">
        <f>E84*12</f>
        <v>55094.399999999994</v>
      </c>
      <c r="G84" s="119">
        <v>3.05</v>
      </c>
      <c r="H84" s="79">
        <f>F84*G84/1000</f>
        <v>168.03791999999999</v>
      </c>
      <c r="I84" s="13">
        <f>F84/12*G84</f>
        <v>14003.159999999998</v>
      </c>
    </row>
    <row r="85" spans="1:9" ht="31.5" hidden="1" customHeight="1">
      <c r="A85" s="29">
        <v>15</v>
      </c>
      <c r="B85" s="97" t="s">
        <v>181</v>
      </c>
      <c r="C85" s="114" t="s">
        <v>57</v>
      </c>
      <c r="D85" s="95"/>
      <c r="E85" s="135">
        <v>4591.2</v>
      </c>
      <c r="F85" s="34">
        <f>E85*1</f>
        <v>4591.2</v>
      </c>
      <c r="G85" s="34">
        <v>3.05</v>
      </c>
      <c r="H85" s="79"/>
      <c r="I85" s="13">
        <f>G85*F85/1</f>
        <v>14003.159999999998</v>
      </c>
    </row>
    <row r="86" spans="1:9" ht="15.75" customHeight="1">
      <c r="A86" s="125"/>
      <c r="B86" s="36" t="s">
        <v>80</v>
      </c>
      <c r="C86" s="37"/>
      <c r="D86" s="15"/>
      <c r="E86" s="15"/>
      <c r="F86" s="15"/>
      <c r="G86" s="18"/>
      <c r="H86" s="18"/>
      <c r="I86" s="32">
        <f>I84+I83+I81+I75+I61+I32+I30+I29+I21+I20+I18+I17+I16</f>
        <v>72276.908033533327</v>
      </c>
    </row>
    <row r="87" spans="1:9" ht="15.75" customHeight="1">
      <c r="A87" s="188" t="s">
        <v>62</v>
      </c>
      <c r="B87" s="189"/>
      <c r="C87" s="189"/>
      <c r="D87" s="189"/>
      <c r="E87" s="189"/>
      <c r="F87" s="189"/>
      <c r="G87" s="189"/>
      <c r="H87" s="189"/>
      <c r="I87" s="190"/>
    </row>
    <row r="88" spans="1:9" ht="15.75" customHeight="1">
      <c r="A88" s="29">
        <v>14</v>
      </c>
      <c r="B88" s="95" t="s">
        <v>155</v>
      </c>
      <c r="C88" s="114" t="s">
        <v>159</v>
      </c>
      <c r="D88" s="95" t="s">
        <v>265</v>
      </c>
      <c r="E88" s="34"/>
      <c r="F88" s="34">
        <v>104</v>
      </c>
      <c r="G88" s="34">
        <v>295.36</v>
      </c>
      <c r="H88" s="94"/>
      <c r="I88" s="13">
        <v>0</v>
      </c>
    </row>
    <row r="89" spans="1:9" ht="15.75" customHeight="1">
      <c r="A89" s="29">
        <v>15</v>
      </c>
      <c r="B89" s="115" t="s">
        <v>331</v>
      </c>
      <c r="C89" s="116" t="s">
        <v>98</v>
      </c>
      <c r="D89" s="115"/>
      <c r="E89" s="120"/>
      <c r="F89" s="121">
        <v>0.2</v>
      </c>
      <c r="G89" s="153">
        <v>2399.1</v>
      </c>
      <c r="H89" s="94"/>
      <c r="I89" s="13">
        <f>G89*0.2</f>
        <v>479.82</v>
      </c>
    </row>
    <row r="90" spans="1:9" ht="15.75" customHeight="1">
      <c r="A90" s="29">
        <v>16</v>
      </c>
      <c r="B90" s="92" t="s">
        <v>40</v>
      </c>
      <c r="C90" s="93" t="s">
        <v>332</v>
      </c>
      <c r="D90" s="95" t="s">
        <v>170</v>
      </c>
      <c r="E90" s="34"/>
      <c r="F90" s="34">
        <v>0.01</v>
      </c>
      <c r="G90" s="34">
        <v>8763.7900000000009</v>
      </c>
      <c r="H90" s="94"/>
      <c r="I90" s="13">
        <v>0</v>
      </c>
    </row>
    <row r="91" spans="1:9" ht="15.75" customHeight="1">
      <c r="A91" s="29">
        <v>17</v>
      </c>
      <c r="B91" s="92" t="s">
        <v>254</v>
      </c>
      <c r="C91" s="93" t="s">
        <v>41</v>
      </c>
      <c r="D91" s="95" t="s">
        <v>170</v>
      </c>
      <c r="E91" s="34"/>
      <c r="F91" s="34">
        <v>0.04</v>
      </c>
      <c r="G91" s="34">
        <v>28224.75</v>
      </c>
      <c r="H91" s="94"/>
      <c r="I91" s="13">
        <v>0</v>
      </c>
    </row>
    <row r="92" spans="1:9" ht="15.75" customHeight="1">
      <c r="A92" s="29">
        <v>18</v>
      </c>
      <c r="B92" s="92" t="s">
        <v>291</v>
      </c>
      <c r="C92" s="93" t="s">
        <v>292</v>
      </c>
      <c r="D92" s="95" t="s">
        <v>333</v>
      </c>
      <c r="E92" s="34"/>
      <c r="F92" s="34">
        <v>0.5</v>
      </c>
      <c r="G92" s="34">
        <v>672.88</v>
      </c>
      <c r="H92" s="94"/>
      <c r="I92" s="13">
        <f>G92*0.5</f>
        <v>336.44</v>
      </c>
    </row>
    <row r="93" spans="1:9" ht="15.75" customHeight="1">
      <c r="A93" s="29"/>
      <c r="B93" s="42" t="s">
        <v>53</v>
      </c>
      <c r="C93" s="38"/>
      <c r="D93" s="46"/>
      <c r="E93" s="38">
        <v>1</v>
      </c>
      <c r="F93" s="38"/>
      <c r="G93" s="38"/>
      <c r="H93" s="38"/>
      <c r="I93" s="32">
        <f>SUM(I88:I92)</f>
        <v>816.26</v>
      </c>
    </row>
    <row r="94" spans="1:9" ht="15.75" customHeight="1">
      <c r="A94" s="29"/>
      <c r="B94" s="44" t="s">
        <v>79</v>
      </c>
      <c r="C94" s="15"/>
      <c r="D94" s="15"/>
      <c r="E94" s="39"/>
      <c r="F94" s="39"/>
      <c r="G94" s="40"/>
      <c r="H94" s="40"/>
      <c r="I94" s="17">
        <v>0</v>
      </c>
    </row>
    <row r="95" spans="1:9" ht="15.75" customHeight="1">
      <c r="A95" s="47"/>
      <c r="B95" s="43" t="s">
        <v>54</v>
      </c>
      <c r="C95" s="33"/>
      <c r="D95" s="33"/>
      <c r="E95" s="33"/>
      <c r="F95" s="33"/>
      <c r="G95" s="33"/>
      <c r="H95" s="33"/>
      <c r="I95" s="41">
        <f>I86+I93</f>
        <v>73093.168033533322</v>
      </c>
    </row>
    <row r="96" spans="1:9" ht="15.75" customHeight="1">
      <c r="A96" s="185" t="s">
        <v>334</v>
      </c>
      <c r="B96" s="185"/>
      <c r="C96" s="185"/>
      <c r="D96" s="185"/>
      <c r="E96" s="185"/>
      <c r="F96" s="185"/>
      <c r="G96" s="185"/>
      <c r="H96" s="185"/>
      <c r="I96" s="185"/>
    </row>
    <row r="97" spans="1:9" ht="15.75" customHeight="1">
      <c r="A97" s="55"/>
      <c r="B97" s="186" t="s">
        <v>335</v>
      </c>
      <c r="C97" s="186"/>
      <c r="D97" s="186"/>
      <c r="E97" s="186"/>
      <c r="F97" s="186"/>
      <c r="G97" s="186"/>
      <c r="H97" s="61"/>
      <c r="I97" s="3"/>
    </row>
    <row r="98" spans="1:9" ht="15.75" customHeight="1">
      <c r="A98" s="49"/>
      <c r="B98" s="176" t="s">
        <v>6</v>
      </c>
      <c r="C98" s="176"/>
      <c r="D98" s="176"/>
      <c r="E98" s="176"/>
      <c r="F98" s="176"/>
      <c r="G98" s="176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87" t="s">
        <v>7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187" t="s">
        <v>8</v>
      </c>
      <c r="B101" s="187"/>
      <c r="C101" s="187"/>
      <c r="D101" s="187"/>
      <c r="E101" s="187"/>
      <c r="F101" s="187"/>
      <c r="G101" s="187"/>
      <c r="H101" s="187"/>
      <c r="I101" s="187"/>
    </row>
    <row r="102" spans="1:9" ht="15.75" customHeight="1">
      <c r="A102" s="180" t="s">
        <v>63</v>
      </c>
      <c r="B102" s="180"/>
      <c r="C102" s="180"/>
      <c r="D102" s="180"/>
      <c r="E102" s="180"/>
      <c r="F102" s="180"/>
      <c r="G102" s="180"/>
      <c r="H102" s="180"/>
      <c r="I102" s="180"/>
    </row>
    <row r="103" spans="1:9" ht="15.75" customHeight="1">
      <c r="A103" s="11"/>
    </row>
    <row r="104" spans="1:9" ht="15.75" customHeight="1">
      <c r="A104" s="174" t="s">
        <v>9</v>
      </c>
      <c r="B104" s="174"/>
      <c r="C104" s="174"/>
      <c r="D104" s="174"/>
      <c r="E104" s="174"/>
      <c r="F104" s="174"/>
      <c r="G104" s="174"/>
      <c r="H104" s="174"/>
      <c r="I104" s="174"/>
    </row>
    <row r="105" spans="1:9" ht="15.75" customHeight="1">
      <c r="A105" s="4"/>
    </row>
    <row r="106" spans="1:9" ht="15.75" customHeight="1">
      <c r="B106" s="52" t="s">
        <v>10</v>
      </c>
      <c r="C106" s="175" t="s">
        <v>206</v>
      </c>
      <c r="D106" s="175"/>
      <c r="E106" s="175"/>
      <c r="F106" s="59"/>
      <c r="I106" s="51"/>
    </row>
    <row r="107" spans="1:9" ht="15.75" customHeight="1">
      <c r="A107" s="49"/>
      <c r="C107" s="176" t="s">
        <v>11</v>
      </c>
      <c r="D107" s="176"/>
      <c r="E107" s="176"/>
      <c r="F107" s="24"/>
      <c r="I107" s="50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52" t="s">
        <v>13</v>
      </c>
      <c r="C109" s="177"/>
      <c r="D109" s="177"/>
      <c r="E109" s="177"/>
      <c r="F109" s="60"/>
      <c r="I109" s="51"/>
    </row>
    <row r="110" spans="1:9" ht="15.75" customHeight="1">
      <c r="A110" s="49"/>
      <c r="C110" s="178" t="s">
        <v>11</v>
      </c>
      <c r="D110" s="178"/>
      <c r="E110" s="178"/>
      <c r="F110" s="49"/>
      <c r="I110" s="50" t="s">
        <v>12</v>
      </c>
    </row>
    <row r="111" spans="1:9" ht="15.75" customHeight="1">
      <c r="A111" s="4" t="s">
        <v>14</v>
      </c>
    </row>
    <row r="112" spans="1:9" ht="15.75" customHeight="1">
      <c r="A112" s="179" t="s">
        <v>15</v>
      </c>
      <c r="B112" s="179"/>
      <c r="C112" s="179"/>
      <c r="D112" s="179"/>
      <c r="E112" s="179"/>
      <c r="F112" s="179"/>
      <c r="G112" s="179"/>
      <c r="H112" s="179"/>
      <c r="I112" s="179"/>
    </row>
    <row r="113" spans="1:9" ht="45" customHeight="1">
      <c r="A113" s="173" t="s">
        <v>16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30" customHeight="1">
      <c r="A114" s="173" t="s">
        <v>17</v>
      </c>
      <c r="B114" s="173"/>
      <c r="C114" s="173"/>
      <c r="D114" s="173"/>
      <c r="E114" s="173"/>
      <c r="F114" s="173"/>
      <c r="G114" s="173"/>
      <c r="H114" s="173"/>
      <c r="I114" s="173"/>
    </row>
    <row r="115" spans="1:9" ht="30" customHeight="1">
      <c r="A115" s="173" t="s">
        <v>21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15" customHeight="1">
      <c r="A116" s="173" t="s">
        <v>20</v>
      </c>
      <c r="B116" s="173"/>
      <c r="C116" s="173"/>
      <c r="D116" s="173"/>
      <c r="E116" s="173"/>
      <c r="F116" s="173"/>
      <c r="G116" s="173"/>
      <c r="H116" s="173"/>
      <c r="I116" s="173"/>
    </row>
  </sheetData>
  <autoFilter ref="I12:I61"/>
  <mergeCells count="29">
    <mergeCell ref="R65:U65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7:I27"/>
    <mergeCell ref="A44:I44"/>
    <mergeCell ref="A55:I55"/>
    <mergeCell ref="A96:I96"/>
    <mergeCell ref="B97:G97"/>
    <mergeCell ref="B98:G98"/>
    <mergeCell ref="A100:I100"/>
    <mergeCell ref="A101:I101"/>
    <mergeCell ref="A87:I87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5"/>
  <sheetViews>
    <sheetView topLeftCell="A63" workbookViewId="0">
      <selection activeCell="C98" sqref="C98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9.71093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151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336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90"/>
      <c r="C6" s="90"/>
      <c r="D6" s="90"/>
      <c r="E6" s="90"/>
      <c r="F6" s="90"/>
      <c r="G6" s="90"/>
      <c r="H6" s="90"/>
      <c r="I6" s="30">
        <v>44530</v>
      </c>
      <c r="J6" s="2"/>
      <c r="K6" s="2"/>
      <c r="L6" s="2"/>
      <c r="M6" s="2"/>
    </row>
    <row r="7" spans="1:13" ht="15.75" customHeight="1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hidden="1" customHeight="1">
      <c r="A27" s="29">
        <v>7</v>
      </c>
      <c r="B27" s="70" t="s">
        <v>23</v>
      </c>
      <c r="C27" s="63" t="s">
        <v>24</v>
      </c>
      <c r="D27" s="70"/>
      <c r="E27" s="48">
        <v>4591.2</v>
      </c>
      <c r="F27" s="64">
        <f>SUM(E27*12)</f>
        <v>55094.399999999994</v>
      </c>
      <c r="G27" s="64">
        <v>5.85</v>
      </c>
      <c r="H27" s="65">
        <f>SUM(F27*G27/1000)</f>
        <v>322.30223999999993</v>
      </c>
      <c r="I27" s="13">
        <f>F27/12*G27</f>
        <v>26858.519999999997</v>
      </c>
      <c r="J27" s="23"/>
    </row>
    <row r="28" spans="1:13" ht="15.75" customHeight="1">
      <c r="A28" s="181" t="s">
        <v>84</v>
      </c>
      <c r="B28" s="181"/>
      <c r="C28" s="181"/>
      <c r="D28" s="181"/>
      <c r="E28" s="181"/>
      <c r="F28" s="181"/>
      <c r="G28" s="181"/>
      <c r="H28" s="181"/>
      <c r="I28" s="181"/>
      <c r="J28" s="22"/>
      <c r="K28" s="8"/>
      <c r="L28" s="8"/>
      <c r="M28" s="8"/>
    </row>
    <row r="29" spans="1:13" ht="15.75" hidden="1" customHeight="1">
      <c r="A29" s="29"/>
      <c r="B29" s="83" t="s">
        <v>28</v>
      </c>
      <c r="C29" s="63"/>
      <c r="D29" s="62"/>
      <c r="E29" s="48"/>
      <c r="F29" s="64"/>
      <c r="G29" s="64"/>
      <c r="H29" s="65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2" t="s">
        <v>104</v>
      </c>
      <c r="C30" s="63" t="s">
        <v>105</v>
      </c>
      <c r="D30" s="62" t="s">
        <v>106</v>
      </c>
      <c r="E30" s="64">
        <v>844.95</v>
      </c>
      <c r="F30" s="64">
        <f>SUM(E30*52/1000)</f>
        <v>43.937400000000004</v>
      </c>
      <c r="G30" s="64">
        <v>166.65</v>
      </c>
      <c r="H30" s="65">
        <f>SUM(F30*G30/1000)</f>
        <v>7.3221677100000004</v>
      </c>
      <c r="I30" s="13">
        <f>F30/6*G30</f>
        <v>1220.3612850000002</v>
      </c>
      <c r="J30" s="22"/>
      <c r="K30" s="8"/>
      <c r="L30" s="8"/>
      <c r="M30" s="8"/>
    </row>
    <row r="31" spans="1:13" ht="31.5" hidden="1" customHeight="1">
      <c r="A31" s="29">
        <v>8</v>
      </c>
      <c r="B31" s="62" t="s">
        <v>137</v>
      </c>
      <c r="C31" s="63" t="s">
        <v>105</v>
      </c>
      <c r="D31" s="62" t="s">
        <v>107</v>
      </c>
      <c r="E31" s="64">
        <v>260.13</v>
      </c>
      <c r="F31" s="64">
        <f>SUM(E31*78/1000)</f>
        <v>20.290140000000001</v>
      </c>
      <c r="G31" s="64">
        <v>276.48</v>
      </c>
      <c r="H31" s="65">
        <f t="shared" ref="H31:H36" si="1">SUM(F31*G31/1000)</f>
        <v>5.6098179072000001</v>
      </c>
      <c r="I31" s="13">
        <f t="shared" ref="I31:I34" si="2">F31/6*G31</f>
        <v>934.96965120000016</v>
      </c>
      <c r="J31" s="22"/>
      <c r="K31" s="8"/>
      <c r="L31" s="8"/>
      <c r="M31" s="8"/>
    </row>
    <row r="32" spans="1:13" ht="15.75" hidden="1" customHeight="1">
      <c r="A32" s="29"/>
      <c r="B32" s="62" t="s">
        <v>27</v>
      </c>
      <c r="C32" s="63" t="s">
        <v>105</v>
      </c>
      <c r="D32" s="62" t="s">
        <v>56</v>
      </c>
      <c r="E32" s="64">
        <v>844.95</v>
      </c>
      <c r="F32" s="64">
        <f>SUM(E32/1000)</f>
        <v>0.84495000000000009</v>
      </c>
      <c r="G32" s="64">
        <v>3228.73</v>
      </c>
      <c r="H32" s="65">
        <f t="shared" si="1"/>
        <v>2.7281154135000003</v>
      </c>
      <c r="I32" s="13">
        <f>F32*G32</f>
        <v>2728.1154135000002</v>
      </c>
      <c r="J32" s="22"/>
      <c r="K32" s="8"/>
      <c r="L32" s="8"/>
      <c r="M32" s="8"/>
    </row>
    <row r="33" spans="1:14" ht="15.75" hidden="1" customHeight="1">
      <c r="A33" s="29">
        <v>9</v>
      </c>
      <c r="B33" s="62" t="s">
        <v>135</v>
      </c>
      <c r="C33" s="63" t="s">
        <v>41</v>
      </c>
      <c r="D33" s="62" t="s">
        <v>65</v>
      </c>
      <c r="E33" s="64">
        <v>8</v>
      </c>
      <c r="F33" s="64">
        <v>12.4</v>
      </c>
      <c r="G33" s="64">
        <v>1391.86</v>
      </c>
      <c r="H33" s="65">
        <v>17.259</v>
      </c>
      <c r="I33" s="13">
        <f t="shared" si="2"/>
        <v>2876.5106666666666</v>
      </c>
      <c r="J33" s="22"/>
      <c r="K33" s="8"/>
      <c r="L33" s="8"/>
      <c r="M33" s="8"/>
    </row>
    <row r="34" spans="1:14" ht="15.75" hidden="1" customHeight="1">
      <c r="A34" s="29">
        <v>10</v>
      </c>
      <c r="B34" s="62" t="s">
        <v>108</v>
      </c>
      <c r="C34" s="63" t="s">
        <v>30</v>
      </c>
      <c r="D34" s="62" t="s">
        <v>65</v>
      </c>
      <c r="E34" s="69">
        <v>0.33333333333333331</v>
      </c>
      <c r="F34" s="64">
        <f>155/3</f>
        <v>51.666666666666664</v>
      </c>
      <c r="G34" s="64">
        <v>60.6</v>
      </c>
      <c r="H34" s="65">
        <f>SUM(G34*155/3/1000)</f>
        <v>3.1309999999999998</v>
      </c>
      <c r="I34" s="13">
        <f t="shared" si="2"/>
        <v>521.83333333333337</v>
      </c>
      <c r="J34" s="22"/>
      <c r="K34" s="8"/>
    </row>
    <row r="35" spans="1:14" ht="15.75" hidden="1" customHeight="1">
      <c r="A35" s="29"/>
      <c r="B35" s="62" t="s">
        <v>66</v>
      </c>
      <c r="C35" s="63" t="s">
        <v>33</v>
      </c>
      <c r="D35" s="62" t="s">
        <v>68</v>
      </c>
      <c r="E35" s="48"/>
      <c r="F35" s="64">
        <v>3</v>
      </c>
      <c r="G35" s="64">
        <v>204.32</v>
      </c>
      <c r="H35" s="65">
        <f t="shared" si="1"/>
        <v>0.61296000000000006</v>
      </c>
      <c r="I35" s="13">
        <v>0</v>
      </c>
      <c r="J35" s="23"/>
    </row>
    <row r="36" spans="1:14" ht="15.75" hidden="1" customHeight="1">
      <c r="A36" s="29"/>
      <c r="B36" s="62" t="s">
        <v>67</v>
      </c>
      <c r="C36" s="63" t="s">
        <v>32</v>
      </c>
      <c r="D36" s="62" t="s">
        <v>68</v>
      </c>
      <c r="E36" s="48"/>
      <c r="F36" s="64">
        <v>2</v>
      </c>
      <c r="G36" s="64">
        <v>1214.73</v>
      </c>
      <c r="H36" s="65">
        <f t="shared" si="1"/>
        <v>2.4294600000000002</v>
      </c>
      <c r="I36" s="13">
        <v>0</v>
      </c>
      <c r="J36" s="23"/>
    </row>
    <row r="37" spans="1:14" ht="15.75" customHeight="1">
      <c r="A37" s="29"/>
      <c r="B37" s="83" t="s">
        <v>5</v>
      </c>
      <c r="C37" s="63"/>
      <c r="D37" s="62"/>
      <c r="E37" s="48"/>
      <c r="F37" s="64"/>
      <c r="G37" s="64"/>
      <c r="H37" s="65" t="s">
        <v>124</v>
      </c>
      <c r="I37" s="13"/>
      <c r="J37" s="23"/>
    </row>
    <row r="38" spans="1:14" ht="16.5" customHeight="1">
      <c r="A38" s="29">
        <v>6</v>
      </c>
      <c r="B38" s="138" t="s">
        <v>26</v>
      </c>
      <c r="C38" s="116" t="s">
        <v>32</v>
      </c>
      <c r="D38" s="115" t="s">
        <v>337</v>
      </c>
      <c r="E38" s="120"/>
      <c r="F38" s="121">
        <v>6</v>
      </c>
      <c r="G38" s="121">
        <v>1855</v>
      </c>
      <c r="H38" s="65">
        <f t="shared" ref="H38:H44" si="3">SUM(F38*G38/1000)</f>
        <v>11.13</v>
      </c>
      <c r="I38" s="13">
        <f>G38*0.5</f>
        <v>927.5</v>
      </c>
      <c r="J38" s="23"/>
    </row>
    <row r="39" spans="1:14" ht="15.75" customHeight="1">
      <c r="A39" s="29">
        <v>7</v>
      </c>
      <c r="B39" s="138" t="s">
        <v>186</v>
      </c>
      <c r="C39" s="139" t="s">
        <v>29</v>
      </c>
      <c r="D39" s="138" t="s">
        <v>172</v>
      </c>
      <c r="E39" s="141">
        <v>254.8</v>
      </c>
      <c r="F39" s="141">
        <f>SUM(E39*30/1000)</f>
        <v>7.6440000000000001</v>
      </c>
      <c r="G39" s="141">
        <v>3014.36</v>
      </c>
      <c r="H39" s="65">
        <f t="shared" si="3"/>
        <v>23.041767840000002</v>
      </c>
      <c r="I39" s="13">
        <f>F39/6*G39</f>
        <v>3840.2946400000001</v>
      </c>
      <c r="J39" s="23"/>
      <c r="L39" s="19"/>
      <c r="M39" s="20"/>
      <c r="N39" s="21"/>
    </row>
    <row r="40" spans="1:14" ht="15.75" hidden="1" customHeight="1">
      <c r="A40" s="29"/>
      <c r="B40" s="115" t="s">
        <v>91</v>
      </c>
      <c r="C40" s="116" t="s">
        <v>110</v>
      </c>
      <c r="D40" s="115" t="s">
        <v>162</v>
      </c>
      <c r="E40" s="120"/>
      <c r="F40" s="141">
        <v>26</v>
      </c>
      <c r="G40" s="121">
        <v>330</v>
      </c>
      <c r="H40" s="65">
        <f t="shared" si="3"/>
        <v>8.58</v>
      </c>
      <c r="I40" s="13">
        <v>0</v>
      </c>
      <c r="J40" s="23"/>
      <c r="L40" s="19"/>
      <c r="M40" s="20"/>
      <c r="N40" s="21"/>
    </row>
    <row r="41" spans="1:14" ht="15.75" customHeight="1">
      <c r="A41" s="29">
        <v>8</v>
      </c>
      <c r="B41" s="115" t="s">
        <v>69</v>
      </c>
      <c r="C41" s="116" t="s">
        <v>29</v>
      </c>
      <c r="D41" s="115" t="s">
        <v>173</v>
      </c>
      <c r="E41" s="121">
        <v>260.13</v>
      </c>
      <c r="F41" s="141">
        <f>SUM(E41*155/1000)</f>
        <v>40.320149999999998</v>
      </c>
      <c r="G41" s="121">
        <v>502.82</v>
      </c>
      <c r="H41" s="65">
        <f t="shared" si="3"/>
        <v>20.273777823</v>
      </c>
      <c r="I41" s="13">
        <f>F41/6*G41</f>
        <v>3378.9629704999998</v>
      </c>
      <c r="J41" s="23"/>
      <c r="L41" s="19"/>
      <c r="M41" s="20"/>
      <c r="N41" s="21"/>
    </row>
    <row r="42" spans="1:14" ht="47.25" customHeight="1">
      <c r="A42" s="29">
        <v>9</v>
      </c>
      <c r="B42" s="115" t="s">
        <v>82</v>
      </c>
      <c r="C42" s="116" t="s">
        <v>105</v>
      </c>
      <c r="D42" s="115" t="s">
        <v>178</v>
      </c>
      <c r="E42" s="121">
        <v>132.72999999999999</v>
      </c>
      <c r="F42" s="141">
        <f>SUM(E42*24/1000)</f>
        <v>3.1855199999999995</v>
      </c>
      <c r="G42" s="121">
        <v>8319.2999999999993</v>
      </c>
      <c r="H42" s="65">
        <f t="shared" si="3"/>
        <v>26.501296535999995</v>
      </c>
      <c r="I42" s="13">
        <f>F42/6*G42</f>
        <v>4416.8827559999991</v>
      </c>
      <c r="J42" s="23"/>
      <c r="L42" s="19"/>
      <c r="M42" s="20"/>
      <c r="N42" s="21"/>
    </row>
    <row r="43" spans="1:14" ht="15.75" hidden="1" customHeight="1">
      <c r="A43" s="29">
        <v>10</v>
      </c>
      <c r="B43" s="115" t="s">
        <v>113</v>
      </c>
      <c r="C43" s="116" t="s">
        <v>105</v>
      </c>
      <c r="D43" s="115" t="s">
        <v>207</v>
      </c>
      <c r="E43" s="121">
        <v>254.8</v>
      </c>
      <c r="F43" s="141">
        <f>SUM(E43*15/1000)</f>
        <v>3.8220000000000001</v>
      </c>
      <c r="G43" s="121">
        <v>614.55999999999995</v>
      </c>
      <c r="H43" s="65">
        <f t="shared" si="3"/>
        <v>2.3488483200000001</v>
      </c>
      <c r="I43" s="13">
        <f>G43*F43/15*3</f>
        <v>469.76966400000003</v>
      </c>
      <c r="J43" s="23"/>
      <c r="L43" s="19"/>
      <c r="M43" s="20"/>
      <c r="N43" s="21"/>
    </row>
    <row r="44" spans="1:14" ht="15.75" hidden="1" customHeight="1">
      <c r="A44" s="29">
        <v>11</v>
      </c>
      <c r="B44" s="138" t="s">
        <v>71</v>
      </c>
      <c r="C44" s="139" t="s">
        <v>33</v>
      </c>
      <c r="D44" s="138"/>
      <c r="E44" s="140"/>
      <c r="F44" s="141">
        <v>0.9</v>
      </c>
      <c r="G44" s="141">
        <v>800</v>
      </c>
      <c r="H44" s="65">
        <f t="shared" si="3"/>
        <v>0.72</v>
      </c>
      <c r="I44" s="13">
        <f>G44*F44/15*3</f>
        <v>144</v>
      </c>
      <c r="J44" s="23"/>
      <c r="L44" s="19"/>
      <c r="M44" s="20"/>
      <c r="N44" s="21"/>
    </row>
    <row r="45" spans="1:14" ht="29.25" customHeight="1">
      <c r="A45" s="136">
        <v>10</v>
      </c>
      <c r="B45" s="138" t="s">
        <v>185</v>
      </c>
      <c r="C45" s="139" t="s">
        <v>105</v>
      </c>
      <c r="D45" s="138" t="s">
        <v>187</v>
      </c>
      <c r="E45" s="140">
        <v>3.6</v>
      </c>
      <c r="F45" s="141">
        <f>E45*12/1000</f>
        <v>4.3200000000000002E-2</v>
      </c>
      <c r="G45" s="141">
        <v>19757.060000000001</v>
      </c>
      <c r="H45" s="56"/>
      <c r="I45" s="137">
        <f>G45*F45/6</f>
        <v>142.25083200000003</v>
      </c>
      <c r="J45" s="23"/>
      <c r="L45" s="19"/>
      <c r="M45" s="20"/>
      <c r="N45" s="21"/>
    </row>
    <row r="46" spans="1:14" ht="15.75" hidden="1" customHeight="1">
      <c r="A46" s="182" t="s">
        <v>131</v>
      </c>
      <c r="B46" s="183"/>
      <c r="C46" s="183"/>
      <c r="D46" s="183"/>
      <c r="E46" s="183"/>
      <c r="F46" s="183"/>
      <c r="G46" s="183"/>
      <c r="H46" s="183"/>
      <c r="I46" s="184"/>
      <c r="J46" s="23"/>
      <c r="L46" s="19"/>
      <c r="M46" s="20"/>
      <c r="N46" s="21"/>
    </row>
    <row r="47" spans="1:14" ht="15.75" hidden="1" customHeight="1">
      <c r="A47" s="29"/>
      <c r="B47" s="62" t="s">
        <v>128</v>
      </c>
      <c r="C47" s="63" t="s">
        <v>105</v>
      </c>
      <c r="D47" s="62" t="s">
        <v>43</v>
      </c>
      <c r="E47" s="48">
        <v>1795.9</v>
      </c>
      <c r="F47" s="64">
        <f>SUM(E47*2/1000)</f>
        <v>3.5918000000000001</v>
      </c>
      <c r="G47" s="13">
        <v>865.61</v>
      </c>
      <c r="H47" s="65">
        <f t="shared" ref="H47:H56" si="4">SUM(F47*G47/1000)</f>
        <v>3.1090979980000002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36</v>
      </c>
      <c r="C48" s="63" t="s">
        <v>105</v>
      </c>
      <c r="D48" s="62" t="s">
        <v>43</v>
      </c>
      <c r="E48" s="48">
        <v>104</v>
      </c>
      <c r="F48" s="64">
        <f>SUM(E48*2/1000)</f>
        <v>0.20799999999999999</v>
      </c>
      <c r="G48" s="13">
        <v>619.46</v>
      </c>
      <c r="H48" s="65">
        <f t="shared" si="4"/>
        <v>0.12884767999999999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29"/>
      <c r="B49" s="62" t="s">
        <v>37</v>
      </c>
      <c r="C49" s="63" t="s">
        <v>105</v>
      </c>
      <c r="D49" s="62" t="s">
        <v>43</v>
      </c>
      <c r="E49" s="48">
        <v>1996.87</v>
      </c>
      <c r="F49" s="64">
        <f>SUM(E49*2/1000)</f>
        <v>3.9937399999999998</v>
      </c>
      <c r="G49" s="13">
        <v>619.46</v>
      </c>
      <c r="H49" s="65">
        <f t="shared" si="4"/>
        <v>2.4739621804</v>
      </c>
      <c r="I49" s="13">
        <v>0</v>
      </c>
      <c r="J49" s="23"/>
      <c r="L49" s="19"/>
      <c r="M49" s="20"/>
      <c r="N49" s="21"/>
    </row>
    <row r="50" spans="1:14" ht="15.75" hidden="1" customHeight="1">
      <c r="A50" s="29"/>
      <c r="B50" s="62" t="s">
        <v>38</v>
      </c>
      <c r="C50" s="63" t="s">
        <v>105</v>
      </c>
      <c r="D50" s="62" t="s">
        <v>43</v>
      </c>
      <c r="E50" s="48">
        <v>2630.35</v>
      </c>
      <c r="F50" s="64">
        <f>SUM(E50*2/1000)</f>
        <v>5.2606999999999999</v>
      </c>
      <c r="G50" s="13">
        <v>648.64</v>
      </c>
      <c r="H50" s="65">
        <f t="shared" si="4"/>
        <v>3.4123004479999999</v>
      </c>
      <c r="I50" s="13">
        <v>0</v>
      </c>
      <c r="J50" s="23"/>
      <c r="L50" s="19"/>
      <c r="M50" s="20"/>
      <c r="N50" s="21"/>
    </row>
    <row r="51" spans="1:14" ht="15.75" hidden="1" customHeight="1">
      <c r="A51" s="29"/>
      <c r="B51" s="62" t="s">
        <v>34</v>
      </c>
      <c r="C51" s="63" t="s">
        <v>35</v>
      </c>
      <c r="D51" s="62" t="s">
        <v>43</v>
      </c>
      <c r="E51" s="48">
        <v>131.47</v>
      </c>
      <c r="F51" s="64">
        <f>SUM(E51*2/100)</f>
        <v>2.6294</v>
      </c>
      <c r="G51" s="13">
        <v>77.84</v>
      </c>
      <c r="H51" s="65">
        <f t="shared" si="4"/>
        <v>0.20467249599999998</v>
      </c>
      <c r="I51" s="13">
        <v>0</v>
      </c>
      <c r="J51" s="23"/>
      <c r="L51" s="19"/>
      <c r="M51" s="20"/>
      <c r="N51" s="21"/>
    </row>
    <row r="52" spans="1:14" ht="15.75" hidden="1" customHeight="1">
      <c r="A52" s="29">
        <v>14</v>
      </c>
      <c r="B52" s="62" t="s">
        <v>58</v>
      </c>
      <c r="C52" s="63" t="s">
        <v>105</v>
      </c>
      <c r="D52" s="62" t="s">
        <v>138</v>
      </c>
      <c r="E52" s="48">
        <v>2872.4</v>
      </c>
      <c r="F52" s="64">
        <f>SUM(E52*5/1000)</f>
        <v>14.362</v>
      </c>
      <c r="G52" s="13">
        <v>1297.28</v>
      </c>
      <c r="H52" s="65">
        <f t="shared" si="4"/>
        <v>18.631535359999997</v>
      </c>
      <c r="I52" s="13">
        <f>F52/5*G52</f>
        <v>3726.3070719999996</v>
      </c>
      <c r="J52" s="23"/>
      <c r="L52" s="19"/>
      <c r="M52" s="20"/>
      <c r="N52" s="21"/>
    </row>
    <row r="53" spans="1:14" ht="31.5" hidden="1" customHeight="1">
      <c r="A53" s="29">
        <v>11</v>
      </c>
      <c r="B53" s="62" t="s">
        <v>114</v>
      </c>
      <c r="C53" s="63" t="s">
        <v>105</v>
      </c>
      <c r="D53" s="62" t="s">
        <v>43</v>
      </c>
      <c r="E53" s="48">
        <v>2872.4</v>
      </c>
      <c r="F53" s="64">
        <f>SUM(E53*2/1000)</f>
        <v>5.7448000000000006</v>
      </c>
      <c r="G53" s="13">
        <v>1297.28</v>
      </c>
      <c r="H53" s="65">
        <f t="shared" si="4"/>
        <v>7.4526141440000009</v>
      </c>
      <c r="I53" s="13">
        <f>F53/2*G53</f>
        <v>3726.3070720000005</v>
      </c>
      <c r="J53" s="23"/>
      <c r="L53" s="19"/>
      <c r="M53" s="20"/>
      <c r="N53" s="21"/>
    </row>
    <row r="54" spans="1:14" ht="31.5" hidden="1" customHeight="1">
      <c r="A54" s="29">
        <v>12</v>
      </c>
      <c r="B54" s="62" t="s">
        <v>115</v>
      </c>
      <c r="C54" s="63" t="s">
        <v>39</v>
      </c>
      <c r="D54" s="62" t="s">
        <v>43</v>
      </c>
      <c r="E54" s="48">
        <v>40</v>
      </c>
      <c r="F54" s="64">
        <f>SUM(E54*2/100)</f>
        <v>0.8</v>
      </c>
      <c r="G54" s="13">
        <v>2918.89</v>
      </c>
      <c r="H54" s="65">
        <f t="shared" si="4"/>
        <v>2.3351120000000001</v>
      </c>
      <c r="I54" s="13">
        <f t="shared" ref="I54:I55" si="5">F54/2*G54</f>
        <v>1167.556</v>
      </c>
      <c r="J54" s="23"/>
      <c r="L54" s="19"/>
      <c r="M54" s="20"/>
      <c r="N54" s="21"/>
    </row>
    <row r="55" spans="1:14" ht="15.75" hidden="1" customHeight="1">
      <c r="A55" s="29">
        <v>13</v>
      </c>
      <c r="B55" s="62" t="s">
        <v>40</v>
      </c>
      <c r="C55" s="63" t="s">
        <v>41</v>
      </c>
      <c r="D55" s="62" t="s">
        <v>43</v>
      </c>
      <c r="E55" s="48">
        <v>1</v>
      </c>
      <c r="F55" s="64">
        <v>0.02</v>
      </c>
      <c r="G55" s="13">
        <v>6042.12</v>
      </c>
      <c r="H55" s="65">
        <f t="shared" si="4"/>
        <v>0.1208424</v>
      </c>
      <c r="I55" s="13">
        <f t="shared" si="5"/>
        <v>60.421199999999999</v>
      </c>
      <c r="J55" s="23"/>
      <c r="L55" s="19"/>
      <c r="M55" s="20"/>
      <c r="N55" s="21"/>
    </row>
    <row r="56" spans="1:14" ht="1.5" customHeight="1">
      <c r="A56" s="29">
        <v>14</v>
      </c>
      <c r="B56" s="62" t="s">
        <v>42</v>
      </c>
      <c r="C56" s="63" t="s">
        <v>30</v>
      </c>
      <c r="D56" s="62" t="s">
        <v>72</v>
      </c>
      <c r="E56" s="48">
        <v>160</v>
      </c>
      <c r="F56" s="64">
        <f>SUM(E56)*3</f>
        <v>480</v>
      </c>
      <c r="G56" s="13">
        <v>70.209999999999994</v>
      </c>
      <c r="H56" s="65">
        <f t="shared" si="4"/>
        <v>33.700799999999994</v>
      </c>
      <c r="I56" s="13">
        <f>E56*G56</f>
        <v>11233.599999999999</v>
      </c>
      <c r="J56" s="23"/>
      <c r="L56" s="19"/>
      <c r="M56" s="20"/>
      <c r="N56" s="21"/>
    </row>
    <row r="57" spans="1:14" ht="18.75" customHeight="1">
      <c r="A57" s="182" t="s">
        <v>141</v>
      </c>
      <c r="B57" s="183"/>
      <c r="C57" s="183"/>
      <c r="D57" s="183"/>
      <c r="E57" s="183"/>
      <c r="F57" s="183"/>
      <c r="G57" s="183"/>
      <c r="H57" s="183"/>
      <c r="I57" s="184"/>
      <c r="J57" s="23"/>
      <c r="L57" s="19"/>
      <c r="M57" s="20"/>
      <c r="N57" s="21"/>
    </row>
    <row r="58" spans="1:14" ht="33.75" customHeight="1">
      <c r="A58" s="29"/>
      <c r="B58" s="83" t="s">
        <v>44</v>
      </c>
      <c r="C58" s="63"/>
      <c r="D58" s="62"/>
      <c r="E58" s="48"/>
      <c r="F58" s="64"/>
      <c r="G58" s="64"/>
      <c r="H58" s="65"/>
      <c r="I58" s="13"/>
      <c r="J58" s="23"/>
      <c r="L58" s="19"/>
      <c r="M58" s="20"/>
      <c r="N58" s="21"/>
    </row>
    <row r="59" spans="1:14" ht="33.75" customHeight="1">
      <c r="A59" s="29">
        <v>11</v>
      </c>
      <c r="B59" s="62" t="s">
        <v>117</v>
      </c>
      <c r="C59" s="63" t="s">
        <v>98</v>
      </c>
      <c r="D59" s="62"/>
      <c r="E59" s="48">
        <v>239.59</v>
      </c>
      <c r="F59" s="64">
        <f>E59*6/100</f>
        <v>14.375399999999999</v>
      </c>
      <c r="G59" s="145">
        <v>2218.11</v>
      </c>
      <c r="H59" s="65">
        <f>F59*G59/1000</f>
        <v>31.886218494000001</v>
      </c>
      <c r="I59" s="13">
        <f>G59*1.063</f>
        <v>2357.8509300000001</v>
      </c>
      <c r="J59" s="23"/>
      <c r="L59" s="19"/>
      <c r="M59" s="20"/>
      <c r="N59" s="21"/>
    </row>
    <row r="60" spans="1:14" ht="33.75" hidden="1" customHeight="1">
      <c r="A60" s="29">
        <v>13</v>
      </c>
      <c r="B60" s="99" t="s">
        <v>86</v>
      </c>
      <c r="C60" s="100" t="s">
        <v>156</v>
      </c>
      <c r="D60" s="99" t="s">
        <v>188</v>
      </c>
      <c r="E60" s="101"/>
      <c r="F60" s="102">
        <v>8</v>
      </c>
      <c r="G60" s="107">
        <v>1730</v>
      </c>
      <c r="H60" s="78"/>
      <c r="I60" s="13">
        <f>G60*1</f>
        <v>1730</v>
      </c>
      <c r="J60" s="23"/>
      <c r="L60" s="19"/>
      <c r="M60" s="20"/>
      <c r="N60" s="21"/>
    </row>
    <row r="61" spans="1:14" ht="21" customHeight="1">
      <c r="A61" s="29"/>
      <c r="B61" s="84" t="s">
        <v>45</v>
      </c>
      <c r="C61" s="72"/>
      <c r="D61" s="73"/>
      <c r="E61" s="74"/>
      <c r="F61" s="76"/>
      <c r="G61" s="13"/>
      <c r="H61" s="78"/>
      <c r="I61" s="13"/>
      <c r="J61" s="23"/>
      <c r="L61" s="19"/>
      <c r="M61" s="20"/>
      <c r="N61" s="21"/>
    </row>
    <row r="62" spans="1:14" ht="15.75" hidden="1" customHeight="1">
      <c r="A62" s="29"/>
      <c r="B62" s="73" t="s">
        <v>46</v>
      </c>
      <c r="C62" s="72" t="s">
        <v>55</v>
      </c>
      <c r="D62" s="73" t="s">
        <v>56</v>
      </c>
      <c r="E62" s="74">
        <v>2686</v>
      </c>
      <c r="F62" s="76">
        <f>E62/100</f>
        <v>26.86</v>
      </c>
      <c r="G62" s="13">
        <v>848.37</v>
      </c>
      <c r="H62" s="78">
        <f>G62*F62/1000</f>
        <v>22.787218199999998</v>
      </c>
      <c r="I62" s="13">
        <v>0</v>
      </c>
      <c r="J62" s="23"/>
      <c r="L62" s="19"/>
    </row>
    <row r="63" spans="1:14" ht="15.75" customHeight="1">
      <c r="A63" s="29">
        <v>12</v>
      </c>
      <c r="B63" s="73" t="s">
        <v>92</v>
      </c>
      <c r="C63" s="72" t="s">
        <v>25</v>
      </c>
      <c r="D63" s="73" t="s">
        <v>170</v>
      </c>
      <c r="E63" s="74">
        <v>200</v>
      </c>
      <c r="F63" s="76">
        <f>E63*12</f>
        <v>2400</v>
      </c>
      <c r="G63" s="13">
        <v>1.4</v>
      </c>
      <c r="H63" s="78">
        <f>F63*G63</f>
        <v>3360</v>
      </c>
      <c r="I63" s="13">
        <f>F63/12*G63</f>
        <v>280</v>
      </c>
    </row>
    <row r="64" spans="1:14" ht="15.75" hidden="1" customHeight="1">
      <c r="A64" s="29"/>
      <c r="B64" s="84" t="s">
        <v>129</v>
      </c>
      <c r="C64" s="72"/>
      <c r="D64" s="73"/>
      <c r="E64" s="74"/>
      <c r="F64" s="76"/>
      <c r="G64" s="13"/>
      <c r="H64" s="78"/>
      <c r="I64" s="13"/>
    </row>
    <row r="65" spans="1:22" ht="15.75" hidden="1" customHeight="1">
      <c r="A65" s="29"/>
      <c r="B65" s="73" t="s">
        <v>130</v>
      </c>
      <c r="C65" s="72" t="s">
        <v>30</v>
      </c>
      <c r="D65" s="73" t="s">
        <v>68</v>
      </c>
      <c r="E65" s="74">
        <v>3</v>
      </c>
      <c r="F65" s="75">
        <v>3</v>
      </c>
      <c r="G65" s="77">
        <v>254.16</v>
      </c>
      <c r="H65" s="76">
        <v>0.76200000000000001</v>
      </c>
      <c r="I65" s="13">
        <v>0</v>
      </c>
    </row>
    <row r="66" spans="1:22" ht="15.75" hidden="1" customHeight="1">
      <c r="A66" s="29"/>
      <c r="B66" s="84" t="s">
        <v>47</v>
      </c>
      <c r="C66" s="72"/>
      <c r="D66" s="73"/>
      <c r="E66" s="74"/>
      <c r="F66" s="75"/>
      <c r="G66" s="75"/>
      <c r="H66" s="76" t="s">
        <v>124</v>
      </c>
      <c r="I66" s="1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15</v>
      </c>
      <c r="B67" s="113" t="s">
        <v>48</v>
      </c>
      <c r="C67" s="114" t="s">
        <v>116</v>
      </c>
      <c r="D67" s="97" t="s">
        <v>170</v>
      </c>
      <c r="E67" s="17">
        <v>15</v>
      </c>
      <c r="F67" s="121">
        <v>15</v>
      </c>
      <c r="G67" s="34">
        <v>318.82</v>
      </c>
      <c r="H67" s="79">
        <f t="shared" ref="H67:H83" si="6">SUM(F67*G67/1000)</f>
        <v>4.7823000000000002</v>
      </c>
      <c r="I67" s="13">
        <f>G67*1</f>
        <v>318.82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/>
      <c r="B68" s="14" t="s">
        <v>49</v>
      </c>
      <c r="C68" s="16" t="s">
        <v>116</v>
      </c>
      <c r="D68" s="73" t="s">
        <v>68</v>
      </c>
      <c r="E68" s="18">
        <v>5</v>
      </c>
      <c r="F68" s="64">
        <v>5</v>
      </c>
      <c r="G68" s="13">
        <v>81.510000000000005</v>
      </c>
      <c r="H68" s="79">
        <f t="shared" si="6"/>
        <v>0.40755000000000002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/>
      <c r="B69" s="14" t="s">
        <v>50</v>
      </c>
      <c r="C69" s="16" t="s">
        <v>118</v>
      </c>
      <c r="D69" s="14" t="s">
        <v>56</v>
      </c>
      <c r="E69" s="48">
        <v>24123</v>
      </c>
      <c r="F69" s="13">
        <f>SUM(E69/100)</f>
        <v>241.23</v>
      </c>
      <c r="G69" s="13">
        <v>226.79</v>
      </c>
      <c r="H69" s="79">
        <f t="shared" si="6"/>
        <v>54.708551699999994</v>
      </c>
      <c r="I69" s="13">
        <f>F69*G69</f>
        <v>54708.551699999996</v>
      </c>
      <c r="J69" s="5"/>
      <c r="K69" s="5"/>
      <c r="L69" s="5"/>
      <c r="M69" s="5"/>
      <c r="N69" s="5"/>
      <c r="O69" s="5"/>
      <c r="P69" s="5"/>
      <c r="Q69" s="5"/>
      <c r="R69" s="178"/>
      <c r="S69" s="178"/>
      <c r="T69" s="178"/>
      <c r="U69" s="178"/>
    </row>
    <row r="70" spans="1:22" ht="15.75" hidden="1" customHeight="1">
      <c r="A70" s="29"/>
      <c r="B70" s="14" t="s">
        <v>51</v>
      </c>
      <c r="C70" s="16" t="s">
        <v>119</v>
      </c>
      <c r="D70" s="14"/>
      <c r="E70" s="48">
        <v>24123</v>
      </c>
      <c r="F70" s="13">
        <f>SUM(E70/1000)</f>
        <v>24.123000000000001</v>
      </c>
      <c r="G70" s="13">
        <v>176.61</v>
      </c>
      <c r="H70" s="79">
        <f t="shared" si="6"/>
        <v>4.2603630300000006</v>
      </c>
      <c r="I70" s="13">
        <f t="shared" ref="I70:I74" si="7">F70*G70</f>
        <v>4260.3630300000004</v>
      </c>
    </row>
    <row r="71" spans="1:22" ht="15.75" hidden="1" customHeight="1">
      <c r="A71" s="29"/>
      <c r="B71" s="14" t="s">
        <v>52</v>
      </c>
      <c r="C71" s="16" t="s">
        <v>78</v>
      </c>
      <c r="D71" s="14" t="s">
        <v>56</v>
      </c>
      <c r="E71" s="48">
        <v>2730</v>
      </c>
      <c r="F71" s="13">
        <f>SUM(E71/100)</f>
        <v>27.3</v>
      </c>
      <c r="G71" s="13">
        <v>2217.7800000000002</v>
      </c>
      <c r="H71" s="79">
        <f t="shared" si="6"/>
        <v>60.545394000000009</v>
      </c>
      <c r="I71" s="13">
        <f t="shared" si="7"/>
        <v>60545.394000000008</v>
      </c>
    </row>
    <row r="72" spans="1:22" ht="15.75" hidden="1" customHeight="1">
      <c r="A72" s="29"/>
      <c r="B72" s="80" t="s">
        <v>120</v>
      </c>
      <c r="C72" s="16" t="s">
        <v>33</v>
      </c>
      <c r="D72" s="14"/>
      <c r="E72" s="48">
        <v>23</v>
      </c>
      <c r="F72" s="13">
        <f>SUM(E72)</f>
        <v>23</v>
      </c>
      <c r="G72" s="13">
        <v>42.67</v>
      </c>
      <c r="H72" s="79">
        <f t="shared" si="6"/>
        <v>0.98141000000000012</v>
      </c>
      <c r="I72" s="13">
        <f t="shared" si="7"/>
        <v>981.41000000000008</v>
      </c>
    </row>
    <row r="73" spans="1:22" ht="15.75" hidden="1" customHeight="1">
      <c r="A73" s="29"/>
      <c r="B73" s="80" t="s">
        <v>121</v>
      </c>
      <c r="C73" s="16" t="s">
        <v>33</v>
      </c>
      <c r="D73" s="14"/>
      <c r="E73" s="48">
        <v>23</v>
      </c>
      <c r="F73" s="13">
        <f>SUM(E73)</f>
        <v>23</v>
      </c>
      <c r="G73" s="13">
        <v>39.81</v>
      </c>
      <c r="H73" s="79">
        <f t="shared" si="6"/>
        <v>0.91563000000000005</v>
      </c>
      <c r="I73" s="13">
        <f t="shared" si="7"/>
        <v>915.63000000000011</v>
      </c>
    </row>
    <row r="74" spans="1:22" ht="15.75" hidden="1" customHeight="1">
      <c r="A74" s="29"/>
      <c r="B74" s="14" t="s">
        <v>59</v>
      </c>
      <c r="C74" s="16" t="s">
        <v>60</v>
      </c>
      <c r="D74" s="14" t="s">
        <v>56</v>
      </c>
      <c r="E74" s="18">
        <v>10</v>
      </c>
      <c r="F74" s="64">
        <f>SUM(E74)</f>
        <v>10</v>
      </c>
      <c r="G74" s="13">
        <v>53.32</v>
      </c>
      <c r="H74" s="79">
        <f t="shared" si="6"/>
        <v>0.53320000000000001</v>
      </c>
      <c r="I74" s="13">
        <f t="shared" si="7"/>
        <v>533.20000000000005</v>
      </c>
    </row>
    <row r="75" spans="1:22" ht="15.75" customHeight="1">
      <c r="A75" s="29"/>
      <c r="B75" s="143" t="s">
        <v>182</v>
      </c>
      <c r="C75" s="16"/>
      <c r="D75" s="14"/>
      <c r="E75" s="18"/>
      <c r="F75" s="13"/>
      <c r="G75" s="13"/>
      <c r="H75" s="13"/>
      <c r="I75" s="13"/>
    </row>
    <row r="76" spans="1:22" ht="32.25" customHeight="1">
      <c r="A76" s="29">
        <v>13</v>
      </c>
      <c r="B76" s="97" t="s">
        <v>183</v>
      </c>
      <c r="C76" s="126" t="s">
        <v>184</v>
      </c>
      <c r="D76" s="127"/>
      <c r="E76" s="128">
        <v>4591.2</v>
      </c>
      <c r="F76" s="129">
        <f>E76*12</f>
        <v>55094.399999999994</v>
      </c>
      <c r="G76" s="129">
        <v>2.4900000000000002</v>
      </c>
      <c r="H76" s="13"/>
      <c r="I76" s="13">
        <f>G76*F76/12</f>
        <v>11432.088000000002</v>
      </c>
    </row>
    <row r="77" spans="1:22" ht="12.75" customHeight="1">
      <c r="A77" s="29"/>
      <c r="B77" s="143" t="s">
        <v>74</v>
      </c>
      <c r="C77" s="16"/>
      <c r="D77" s="14"/>
      <c r="E77" s="18"/>
      <c r="F77" s="13"/>
      <c r="G77" s="13"/>
      <c r="H77" s="79" t="s">
        <v>124</v>
      </c>
      <c r="I77" s="13"/>
    </row>
    <row r="78" spans="1:22" ht="18.75" hidden="1" customHeight="1">
      <c r="A78" s="29">
        <v>17</v>
      </c>
      <c r="B78" s="14" t="s">
        <v>75</v>
      </c>
      <c r="C78" s="16" t="s">
        <v>31</v>
      </c>
      <c r="D78" s="14"/>
      <c r="E78" s="18">
        <v>2</v>
      </c>
      <c r="F78" s="56">
        <v>0.2</v>
      </c>
      <c r="G78" s="112">
        <v>719.08</v>
      </c>
      <c r="H78" s="79">
        <v>0.251</v>
      </c>
      <c r="I78" s="13">
        <f>G78*0.2</f>
        <v>143.816</v>
      </c>
    </row>
    <row r="79" spans="1:22" ht="18" hidden="1" customHeight="1">
      <c r="A79" s="29"/>
      <c r="B79" s="14" t="s">
        <v>87</v>
      </c>
      <c r="C79" s="16" t="s">
        <v>30</v>
      </c>
      <c r="D79" s="14"/>
      <c r="E79" s="18">
        <v>1</v>
      </c>
      <c r="F79" s="64">
        <f>SUM(E79)</f>
        <v>1</v>
      </c>
      <c r="G79" s="13">
        <v>383.25</v>
      </c>
      <c r="H79" s="79">
        <f t="shared" si="6"/>
        <v>0.38324999999999998</v>
      </c>
      <c r="I79" s="13">
        <v>0</v>
      </c>
    </row>
    <row r="80" spans="1:22" ht="22.5" hidden="1" customHeight="1">
      <c r="A80" s="29"/>
      <c r="B80" s="14" t="s">
        <v>76</v>
      </c>
      <c r="C80" s="16" t="s">
        <v>30</v>
      </c>
      <c r="D80" s="14"/>
      <c r="E80" s="18">
        <v>2</v>
      </c>
      <c r="F80" s="13">
        <v>2</v>
      </c>
      <c r="G80" s="13">
        <v>911.85</v>
      </c>
      <c r="H80" s="79">
        <f>F80*G80/1000</f>
        <v>1.8237000000000001</v>
      </c>
      <c r="I80" s="13">
        <v>0</v>
      </c>
    </row>
    <row r="81" spans="1:9" ht="33.75" customHeight="1">
      <c r="A81" s="29">
        <v>14</v>
      </c>
      <c r="B81" s="97" t="s">
        <v>179</v>
      </c>
      <c r="C81" s="114" t="s">
        <v>30</v>
      </c>
      <c r="D81" s="97" t="s">
        <v>164</v>
      </c>
      <c r="E81" s="17">
        <v>2</v>
      </c>
      <c r="F81" s="34">
        <f>E81*12</f>
        <v>24</v>
      </c>
      <c r="G81" s="34">
        <v>404</v>
      </c>
      <c r="H81" s="79"/>
      <c r="I81" s="13">
        <f>G81*2</f>
        <v>808</v>
      </c>
    </row>
    <row r="82" spans="1:9" ht="21" hidden="1" customHeight="1">
      <c r="A82" s="29"/>
      <c r="B82" s="81" t="s">
        <v>77</v>
      </c>
      <c r="C82" s="16"/>
      <c r="D82" s="14"/>
      <c r="E82" s="18"/>
      <c r="F82" s="13"/>
      <c r="G82" s="13" t="s">
        <v>124</v>
      </c>
      <c r="H82" s="79" t="s">
        <v>124</v>
      </c>
      <c r="I82" s="13"/>
    </row>
    <row r="83" spans="1:9" ht="21" hidden="1" customHeight="1">
      <c r="A83" s="29"/>
      <c r="B83" s="44" t="s">
        <v>125</v>
      </c>
      <c r="C83" s="16" t="s">
        <v>78</v>
      </c>
      <c r="D83" s="14"/>
      <c r="E83" s="18"/>
      <c r="F83" s="13">
        <v>1.35</v>
      </c>
      <c r="G83" s="13">
        <v>2949.85</v>
      </c>
      <c r="H83" s="79">
        <f t="shared" si="6"/>
        <v>3.9822975</v>
      </c>
      <c r="I83" s="13">
        <v>0</v>
      </c>
    </row>
    <row r="84" spans="1:9" ht="19.5" hidden="1" customHeight="1">
      <c r="A84" s="29"/>
      <c r="B84" s="67" t="s">
        <v>122</v>
      </c>
      <c r="C84" s="81"/>
      <c r="D84" s="31"/>
      <c r="E84" s="32"/>
      <c r="F84" s="68"/>
      <c r="G84" s="68"/>
      <c r="H84" s="82">
        <f>SUM(H59:H83)</f>
        <v>3549.010082924</v>
      </c>
      <c r="I84" s="68"/>
    </row>
    <row r="85" spans="1:9" ht="15" hidden="1" customHeight="1">
      <c r="A85" s="29"/>
      <c r="B85" s="62" t="s">
        <v>123</v>
      </c>
      <c r="C85" s="16"/>
      <c r="D85" s="14"/>
      <c r="E85" s="57"/>
      <c r="F85" s="13">
        <v>1</v>
      </c>
      <c r="G85" s="13">
        <v>19342.2</v>
      </c>
      <c r="H85" s="79">
        <f>G85*F85/1000</f>
        <v>19.342200000000002</v>
      </c>
      <c r="I85" s="13">
        <v>0</v>
      </c>
    </row>
    <row r="86" spans="1:9" ht="15.75" customHeight="1">
      <c r="A86" s="191" t="s">
        <v>142</v>
      </c>
      <c r="B86" s="192"/>
      <c r="C86" s="192"/>
      <c r="D86" s="192"/>
      <c r="E86" s="192"/>
      <c r="F86" s="192"/>
      <c r="G86" s="192"/>
      <c r="H86" s="192"/>
      <c r="I86" s="193"/>
    </row>
    <row r="87" spans="1:9" ht="15.75" customHeight="1">
      <c r="A87" s="29">
        <v>15</v>
      </c>
      <c r="B87" s="97" t="s">
        <v>126</v>
      </c>
      <c r="C87" s="114" t="s">
        <v>57</v>
      </c>
      <c r="D87" s="130"/>
      <c r="E87" s="34">
        <v>4591.2</v>
      </c>
      <c r="F87" s="34">
        <f>SUM(E87*12)</f>
        <v>55094.399999999994</v>
      </c>
      <c r="G87" s="34">
        <v>3.38</v>
      </c>
      <c r="H87" s="79">
        <f>SUM(F87*G87/1000)</f>
        <v>186.21907199999998</v>
      </c>
      <c r="I87" s="13">
        <f>F87/12*G87</f>
        <v>15518.255999999999</v>
      </c>
    </row>
    <row r="88" spans="1:9" ht="31.5" customHeight="1">
      <c r="A88" s="29">
        <v>16</v>
      </c>
      <c r="B88" s="131" t="s">
        <v>180</v>
      </c>
      <c r="C88" s="132" t="s">
        <v>25</v>
      </c>
      <c r="D88" s="133"/>
      <c r="E88" s="134">
        <f>E87</f>
        <v>4591.2</v>
      </c>
      <c r="F88" s="119">
        <f>E88*12</f>
        <v>55094.399999999994</v>
      </c>
      <c r="G88" s="119">
        <v>3.05</v>
      </c>
      <c r="H88" s="79">
        <f>F88*G88/1000</f>
        <v>168.03791999999999</v>
      </c>
      <c r="I88" s="13">
        <f>F88/12*G88</f>
        <v>14003.159999999998</v>
      </c>
    </row>
    <row r="89" spans="1:9" ht="15.75" customHeight="1">
      <c r="A89" s="142"/>
      <c r="B89" s="36" t="s">
        <v>80</v>
      </c>
      <c r="C89" s="37"/>
      <c r="D89" s="15"/>
      <c r="E89" s="15"/>
      <c r="F89" s="15"/>
      <c r="G89" s="18"/>
      <c r="H89" s="18"/>
      <c r="I89" s="32">
        <f>I88+I87+I81+I76+I63+I59+I45+I42+I41+I39+I38+I21+I20+I18+I17+I16</f>
        <v>77267.004069833318</v>
      </c>
    </row>
    <row r="90" spans="1:9" ht="15.75" customHeight="1">
      <c r="A90" s="188" t="s">
        <v>62</v>
      </c>
      <c r="B90" s="189"/>
      <c r="C90" s="189"/>
      <c r="D90" s="189"/>
      <c r="E90" s="189"/>
      <c r="F90" s="189"/>
      <c r="G90" s="189"/>
      <c r="H90" s="189"/>
      <c r="I90" s="190"/>
    </row>
    <row r="91" spans="1:9" ht="35.25" customHeight="1">
      <c r="A91" s="29">
        <v>17</v>
      </c>
      <c r="B91" s="92" t="s">
        <v>338</v>
      </c>
      <c r="C91" s="93" t="s">
        <v>159</v>
      </c>
      <c r="D91" s="95" t="s">
        <v>339</v>
      </c>
      <c r="E91" s="34"/>
      <c r="F91" s="34">
        <v>3</v>
      </c>
      <c r="G91" s="34">
        <v>1380.91</v>
      </c>
      <c r="H91" s="94"/>
      <c r="I91" s="13">
        <f>G91*3</f>
        <v>4142.7300000000005</v>
      </c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I91</f>
        <v>4142.7300000000005</v>
      </c>
    </row>
    <row r="93" spans="1:9" ht="15.75" customHeight="1">
      <c r="A93" s="29"/>
      <c r="B93" s="44" t="s">
        <v>79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54</v>
      </c>
      <c r="C94" s="33"/>
      <c r="D94" s="33"/>
      <c r="E94" s="33"/>
      <c r="F94" s="33"/>
      <c r="G94" s="33"/>
      <c r="H94" s="33"/>
      <c r="I94" s="41">
        <f>I89+I92</f>
        <v>81409.734069833314</v>
      </c>
    </row>
    <row r="95" spans="1:9" ht="15.75" customHeight="1">
      <c r="A95" s="185" t="s">
        <v>340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55"/>
      <c r="B96" s="186" t="s">
        <v>341</v>
      </c>
      <c r="C96" s="186"/>
      <c r="D96" s="186"/>
      <c r="E96" s="186"/>
      <c r="F96" s="186"/>
      <c r="G96" s="186"/>
      <c r="H96" s="61"/>
      <c r="I96" s="3"/>
    </row>
    <row r="97" spans="1:9" ht="15.75" customHeight="1">
      <c r="A97" s="87"/>
      <c r="B97" s="176" t="s">
        <v>6</v>
      </c>
      <c r="C97" s="176"/>
      <c r="D97" s="176"/>
      <c r="E97" s="176"/>
      <c r="F97" s="176"/>
      <c r="G97" s="176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7" t="s">
        <v>7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187" t="s">
        <v>8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180" t="s">
        <v>63</v>
      </c>
      <c r="B101" s="180"/>
      <c r="C101" s="180"/>
      <c r="D101" s="180"/>
      <c r="E101" s="180"/>
      <c r="F101" s="180"/>
      <c r="G101" s="180"/>
      <c r="H101" s="180"/>
      <c r="I101" s="180"/>
    </row>
    <row r="102" spans="1:9" ht="15.75" customHeight="1">
      <c r="A102" s="11"/>
    </row>
    <row r="103" spans="1:9" ht="15.75" customHeight="1">
      <c r="A103" s="174" t="s">
        <v>9</v>
      </c>
      <c r="B103" s="174"/>
      <c r="C103" s="174"/>
      <c r="D103" s="174"/>
      <c r="E103" s="174"/>
      <c r="F103" s="174"/>
      <c r="G103" s="174"/>
      <c r="H103" s="174"/>
      <c r="I103" s="174"/>
    </row>
    <row r="104" spans="1:9" ht="15.75" customHeight="1">
      <c r="A104" s="4"/>
    </row>
    <row r="105" spans="1:9" ht="15.75" customHeight="1">
      <c r="B105" s="88" t="s">
        <v>10</v>
      </c>
      <c r="C105" s="175" t="s">
        <v>206</v>
      </c>
      <c r="D105" s="175"/>
      <c r="E105" s="175"/>
      <c r="F105" s="59"/>
      <c r="I105" s="86"/>
    </row>
    <row r="106" spans="1:9" ht="15.75" customHeight="1">
      <c r="A106" s="87"/>
      <c r="C106" s="176" t="s">
        <v>11</v>
      </c>
      <c r="D106" s="176"/>
      <c r="E106" s="176"/>
      <c r="F106" s="24"/>
      <c r="I106" s="85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88" t="s">
        <v>13</v>
      </c>
      <c r="C108" s="177"/>
      <c r="D108" s="177"/>
      <c r="E108" s="177"/>
      <c r="F108" s="60"/>
      <c r="I108" s="86"/>
    </row>
    <row r="109" spans="1:9" ht="15.75" customHeight="1">
      <c r="A109" s="87"/>
      <c r="C109" s="178" t="s">
        <v>11</v>
      </c>
      <c r="D109" s="178"/>
      <c r="E109" s="178"/>
      <c r="F109" s="87"/>
      <c r="I109" s="85" t="s">
        <v>12</v>
      </c>
    </row>
    <row r="110" spans="1:9" ht="15.75" customHeight="1">
      <c r="A110" s="4" t="s">
        <v>14</v>
      </c>
    </row>
    <row r="111" spans="1:9" ht="15.75" customHeight="1">
      <c r="A111" s="179" t="s">
        <v>15</v>
      </c>
      <c r="B111" s="179"/>
      <c r="C111" s="179"/>
      <c r="D111" s="179"/>
      <c r="E111" s="179"/>
      <c r="F111" s="179"/>
      <c r="G111" s="179"/>
      <c r="H111" s="179"/>
      <c r="I111" s="179"/>
    </row>
    <row r="112" spans="1:9" ht="45" customHeight="1">
      <c r="A112" s="173" t="s">
        <v>16</v>
      </c>
      <c r="B112" s="173"/>
      <c r="C112" s="173"/>
      <c r="D112" s="173"/>
      <c r="E112" s="173"/>
      <c r="F112" s="173"/>
      <c r="G112" s="173"/>
      <c r="H112" s="173"/>
      <c r="I112" s="173"/>
    </row>
    <row r="113" spans="1:9" ht="30" customHeight="1">
      <c r="A113" s="173" t="s">
        <v>17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30" customHeight="1">
      <c r="A114" s="173" t="s">
        <v>21</v>
      </c>
      <c r="B114" s="173"/>
      <c r="C114" s="173"/>
      <c r="D114" s="173"/>
      <c r="E114" s="173"/>
      <c r="F114" s="173"/>
      <c r="G114" s="173"/>
      <c r="H114" s="173"/>
      <c r="I114" s="173"/>
    </row>
    <row r="115" spans="1:9" ht="15" customHeight="1">
      <c r="A115" s="173" t="s">
        <v>20</v>
      </c>
      <c r="B115" s="173"/>
      <c r="C115" s="173"/>
      <c r="D115" s="173"/>
      <c r="E115" s="173"/>
      <c r="F115" s="173"/>
      <c r="G115" s="173"/>
      <c r="H115" s="173"/>
      <c r="I115" s="173"/>
    </row>
  </sheetData>
  <autoFilter ref="I12:I64"/>
  <mergeCells count="29"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9:U69"/>
    <mergeCell ref="C109:E109"/>
    <mergeCell ref="A90:I90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6:I86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5"/>
  <sheetViews>
    <sheetView tabSelected="1" topLeftCell="A52" workbookViewId="0">
      <selection activeCell="I102" sqref="I10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152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342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90"/>
      <c r="C6" s="90"/>
      <c r="D6" s="90"/>
      <c r="E6" s="90"/>
      <c r="F6" s="90"/>
      <c r="G6" s="90"/>
      <c r="H6" s="90"/>
      <c r="I6" s="30">
        <v>44561</v>
      </c>
      <c r="J6" s="2"/>
      <c r="K6" s="2"/>
      <c r="L6" s="2"/>
      <c r="M6" s="2"/>
    </row>
    <row r="7" spans="1:13" ht="15.75" customHeight="1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170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hidden="1" customHeight="1">
      <c r="A27" s="29">
        <v>6</v>
      </c>
      <c r="B27" s="70" t="s">
        <v>23</v>
      </c>
      <c r="C27" s="63" t="s">
        <v>24</v>
      </c>
      <c r="D27" s="70"/>
      <c r="E27" s="48">
        <v>4591.2</v>
      </c>
      <c r="F27" s="64">
        <f>SUM(E27*12)</f>
        <v>55094.399999999994</v>
      </c>
      <c r="G27" s="64">
        <v>5.85</v>
      </c>
      <c r="H27" s="65">
        <f>SUM(F27*G27/1000)</f>
        <v>322.30223999999993</v>
      </c>
      <c r="I27" s="13">
        <f>F27/12*G27</f>
        <v>26858.519999999997</v>
      </c>
      <c r="J27" s="23"/>
    </row>
    <row r="28" spans="1:13" ht="15.75" customHeight="1">
      <c r="A28" s="181" t="s">
        <v>84</v>
      </c>
      <c r="B28" s="181"/>
      <c r="C28" s="181"/>
      <c r="D28" s="181"/>
      <c r="E28" s="181"/>
      <c r="F28" s="181"/>
      <c r="G28" s="181"/>
      <c r="H28" s="181"/>
      <c r="I28" s="181"/>
      <c r="J28" s="22"/>
      <c r="K28" s="8"/>
      <c r="L28" s="8"/>
      <c r="M28" s="8"/>
    </row>
    <row r="29" spans="1:13" ht="15.75" hidden="1" customHeight="1">
      <c r="A29" s="29"/>
      <c r="B29" s="83" t="s">
        <v>28</v>
      </c>
      <c r="C29" s="63"/>
      <c r="D29" s="62"/>
      <c r="E29" s="48"/>
      <c r="F29" s="64"/>
      <c r="G29" s="64"/>
      <c r="H29" s="65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2" t="s">
        <v>104</v>
      </c>
      <c r="C30" s="63" t="s">
        <v>105</v>
      </c>
      <c r="D30" s="62" t="s">
        <v>106</v>
      </c>
      <c r="E30" s="64">
        <v>844.95</v>
      </c>
      <c r="F30" s="64">
        <f>SUM(E30*52/1000)</f>
        <v>43.937400000000004</v>
      </c>
      <c r="G30" s="64">
        <v>166.65</v>
      </c>
      <c r="H30" s="65">
        <f>SUM(F30*G30/1000)</f>
        <v>7.3221677100000004</v>
      </c>
      <c r="I30" s="13">
        <f>F30/6*G30</f>
        <v>1220.3612850000002</v>
      </c>
      <c r="J30" s="22"/>
      <c r="K30" s="8"/>
      <c r="L30" s="8"/>
      <c r="M30" s="8"/>
    </row>
    <row r="31" spans="1:13" ht="31.5" hidden="1" customHeight="1">
      <c r="A31" s="29">
        <v>8</v>
      </c>
      <c r="B31" s="62" t="s">
        <v>137</v>
      </c>
      <c r="C31" s="63" t="s">
        <v>105</v>
      </c>
      <c r="D31" s="62" t="s">
        <v>107</v>
      </c>
      <c r="E31" s="64">
        <v>260.13</v>
      </c>
      <c r="F31" s="64">
        <f>SUM(E31*78/1000)</f>
        <v>20.290140000000001</v>
      </c>
      <c r="G31" s="64">
        <v>276.48</v>
      </c>
      <c r="H31" s="65">
        <f t="shared" ref="H31:H36" si="1">SUM(F31*G31/1000)</f>
        <v>5.6098179072000001</v>
      </c>
      <c r="I31" s="13">
        <f t="shared" ref="I31:I34" si="2">F31/6*G31</f>
        <v>934.96965120000016</v>
      </c>
      <c r="J31" s="22"/>
      <c r="K31" s="8"/>
      <c r="L31" s="8"/>
      <c r="M31" s="8"/>
    </row>
    <row r="32" spans="1:13" ht="15.75" hidden="1" customHeight="1">
      <c r="A32" s="29"/>
      <c r="B32" s="62" t="s">
        <v>27</v>
      </c>
      <c r="C32" s="63" t="s">
        <v>105</v>
      </c>
      <c r="D32" s="62" t="s">
        <v>56</v>
      </c>
      <c r="E32" s="64">
        <v>844.95</v>
      </c>
      <c r="F32" s="64">
        <f>SUM(E32/1000)</f>
        <v>0.84495000000000009</v>
      </c>
      <c r="G32" s="64">
        <v>3228.73</v>
      </c>
      <c r="H32" s="65">
        <f t="shared" si="1"/>
        <v>2.7281154135000003</v>
      </c>
      <c r="I32" s="13">
        <f>F32*G32</f>
        <v>2728.1154135000002</v>
      </c>
      <c r="J32" s="22"/>
      <c r="K32" s="8"/>
      <c r="L32" s="8"/>
      <c r="M32" s="8"/>
    </row>
    <row r="33" spans="1:14" ht="15.75" hidden="1" customHeight="1">
      <c r="A33" s="29">
        <v>9</v>
      </c>
      <c r="B33" s="62" t="s">
        <v>135</v>
      </c>
      <c r="C33" s="63" t="s">
        <v>41</v>
      </c>
      <c r="D33" s="62" t="s">
        <v>65</v>
      </c>
      <c r="E33" s="64">
        <v>8</v>
      </c>
      <c r="F33" s="64">
        <v>12.4</v>
      </c>
      <c r="G33" s="64">
        <v>1391.86</v>
      </c>
      <c r="H33" s="65">
        <v>17.259</v>
      </c>
      <c r="I33" s="13">
        <f t="shared" si="2"/>
        <v>2876.5106666666666</v>
      </c>
      <c r="J33" s="22"/>
      <c r="K33" s="8"/>
      <c r="L33" s="8"/>
      <c r="M33" s="8"/>
    </row>
    <row r="34" spans="1:14" ht="15.75" hidden="1" customHeight="1">
      <c r="A34" s="29">
        <v>10</v>
      </c>
      <c r="B34" s="62" t="s">
        <v>108</v>
      </c>
      <c r="C34" s="63" t="s">
        <v>30</v>
      </c>
      <c r="D34" s="62" t="s">
        <v>65</v>
      </c>
      <c r="E34" s="69">
        <v>0.33333333333333331</v>
      </c>
      <c r="F34" s="64">
        <f>155/3</f>
        <v>51.666666666666664</v>
      </c>
      <c r="G34" s="64">
        <v>60.6</v>
      </c>
      <c r="H34" s="65">
        <f>SUM(G34*155/3/1000)</f>
        <v>3.1309999999999998</v>
      </c>
      <c r="I34" s="13">
        <f t="shared" si="2"/>
        <v>521.83333333333337</v>
      </c>
      <c r="J34" s="22"/>
      <c r="K34" s="8"/>
    </row>
    <row r="35" spans="1:14" ht="15.75" hidden="1" customHeight="1">
      <c r="A35" s="29"/>
      <c r="B35" s="62" t="s">
        <v>66</v>
      </c>
      <c r="C35" s="63" t="s">
        <v>33</v>
      </c>
      <c r="D35" s="62" t="s">
        <v>68</v>
      </c>
      <c r="E35" s="48"/>
      <c r="F35" s="64">
        <v>3</v>
      </c>
      <c r="G35" s="64">
        <v>204.32</v>
      </c>
      <c r="H35" s="65">
        <f t="shared" si="1"/>
        <v>0.61296000000000006</v>
      </c>
      <c r="I35" s="13">
        <v>0</v>
      </c>
      <c r="J35" s="23"/>
    </row>
    <row r="36" spans="1:14" ht="15.75" hidden="1" customHeight="1">
      <c r="A36" s="29"/>
      <c r="B36" s="62" t="s">
        <v>67</v>
      </c>
      <c r="C36" s="63" t="s">
        <v>32</v>
      </c>
      <c r="D36" s="62" t="s">
        <v>68</v>
      </c>
      <c r="E36" s="48"/>
      <c r="F36" s="64">
        <v>2</v>
      </c>
      <c r="G36" s="64">
        <v>1214.73</v>
      </c>
      <c r="H36" s="65">
        <f t="shared" si="1"/>
        <v>2.4294600000000002</v>
      </c>
      <c r="I36" s="13">
        <v>0</v>
      </c>
      <c r="J36" s="23"/>
    </row>
    <row r="37" spans="1:14" ht="15.75" customHeight="1">
      <c r="A37" s="29"/>
      <c r="B37" s="83" t="s">
        <v>5</v>
      </c>
      <c r="C37" s="63"/>
      <c r="D37" s="62"/>
      <c r="E37" s="48"/>
      <c r="F37" s="64"/>
      <c r="G37" s="64"/>
      <c r="H37" s="65" t="s">
        <v>124</v>
      </c>
      <c r="I37" s="13"/>
      <c r="J37" s="23"/>
    </row>
    <row r="38" spans="1:14" ht="15.75" customHeight="1">
      <c r="A38" s="29">
        <v>6</v>
      </c>
      <c r="B38" s="138" t="s">
        <v>26</v>
      </c>
      <c r="C38" s="116" t="s">
        <v>32</v>
      </c>
      <c r="D38" s="115" t="s">
        <v>343</v>
      </c>
      <c r="E38" s="120"/>
      <c r="F38" s="121">
        <v>6</v>
      </c>
      <c r="G38" s="121">
        <v>1855</v>
      </c>
      <c r="H38" s="65">
        <f t="shared" ref="H38:H44" si="3">SUM(F38*G38/1000)</f>
        <v>11.13</v>
      </c>
      <c r="I38" s="13">
        <f>G38*1.5</f>
        <v>2782.5</v>
      </c>
      <c r="J38" s="23"/>
    </row>
    <row r="39" spans="1:14" ht="15.75" customHeight="1">
      <c r="A39" s="29">
        <v>7</v>
      </c>
      <c r="B39" s="138" t="s">
        <v>186</v>
      </c>
      <c r="C39" s="139" t="s">
        <v>29</v>
      </c>
      <c r="D39" s="138" t="s">
        <v>172</v>
      </c>
      <c r="E39" s="141">
        <v>254.8</v>
      </c>
      <c r="F39" s="141">
        <f>SUM(E39*30/1000)</f>
        <v>7.6440000000000001</v>
      </c>
      <c r="G39" s="141">
        <v>3014.36</v>
      </c>
      <c r="H39" s="65">
        <f t="shared" si="3"/>
        <v>23.041767840000002</v>
      </c>
      <c r="I39" s="13">
        <f>F39/6*G39</f>
        <v>3840.2946400000001</v>
      </c>
      <c r="J39" s="23"/>
      <c r="L39" s="19"/>
      <c r="M39" s="20"/>
      <c r="N39" s="21"/>
    </row>
    <row r="40" spans="1:14" ht="15.75" hidden="1" customHeight="1">
      <c r="A40" s="29"/>
      <c r="B40" s="115" t="s">
        <v>91</v>
      </c>
      <c r="C40" s="116" t="s">
        <v>110</v>
      </c>
      <c r="D40" s="115" t="s">
        <v>162</v>
      </c>
      <c r="E40" s="120"/>
      <c r="F40" s="141">
        <v>26</v>
      </c>
      <c r="G40" s="121">
        <v>330</v>
      </c>
      <c r="H40" s="65">
        <f t="shared" si="3"/>
        <v>8.58</v>
      </c>
      <c r="I40" s="13">
        <v>0</v>
      </c>
      <c r="J40" s="23"/>
      <c r="L40" s="19"/>
      <c r="M40" s="20"/>
      <c r="N40" s="21"/>
    </row>
    <row r="41" spans="1:14" ht="15.75" customHeight="1">
      <c r="A41" s="29">
        <v>8</v>
      </c>
      <c r="B41" s="115" t="s">
        <v>69</v>
      </c>
      <c r="C41" s="116" t="s">
        <v>29</v>
      </c>
      <c r="D41" s="115" t="s">
        <v>173</v>
      </c>
      <c r="E41" s="121">
        <v>260.13</v>
      </c>
      <c r="F41" s="141">
        <f>SUM(E41*155/1000)</f>
        <v>40.320149999999998</v>
      </c>
      <c r="G41" s="121">
        <v>502.82</v>
      </c>
      <c r="H41" s="65">
        <f t="shared" si="3"/>
        <v>20.273777823</v>
      </c>
      <c r="I41" s="13">
        <f>F41/6*G41</f>
        <v>3378.9629704999998</v>
      </c>
      <c r="J41" s="23"/>
      <c r="L41" s="19"/>
      <c r="M41" s="20"/>
      <c r="N41" s="21"/>
    </row>
    <row r="42" spans="1:14" ht="47.25" customHeight="1">
      <c r="A42" s="29">
        <v>9</v>
      </c>
      <c r="B42" s="115" t="s">
        <v>82</v>
      </c>
      <c r="C42" s="116" t="s">
        <v>105</v>
      </c>
      <c r="D42" s="115" t="s">
        <v>178</v>
      </c>
      <c r="E42" s="121">
        <v>132.72999999999999</v>
      </c>
      <c r="F42" s="141">
        <f>SUM(E42*24/1000)</f>
        <v>3.1855199999999995</v>
      </c>
      <c r="G42" s="121">
        <v>8319.2999999999993</v>
      </c>
      <c r="H42" s="65">
        <f t="shared" si="3"/>
        <v>26.501296535999995</v>
      </c>
      <c r="I42" s="13">
        <f>F42/6*G42</f>
        <v>4416.8827559999991</v>
      </c>
      <c r="J42" s="23"/>
      <c r="L42" s="19"/>
      <c r="M42" s="20"/>
      <c r="N42" s="21"/>
    </row>
    <row r="43" spans="1:14" ht="15.75" hidden="1" customHeight="1">
      <c r="A43" s="29">
        <v>11</v>
      </c>
      <c r="B43" s="115" t="s">
        <v>113</v>
      </c>
      <c r="C43" s="116" t="s">
        <v>105</v>
      </c>
      <c r="D43" s="115" t="s">
        <v>169</v>
      </c>
      <c r="E43" s="121">
        <v>254.8</v>
      </c>
      <c r="F43" s="141">
        <f>SUM(E43*15/1000)</f>
        <v>3.8220000000000001</v>
      </c>
      <c r="G43" s="121">
        <v>614.55999999999995</v>
      </c>
      <c r="H43" s="65">
        <f t="shared" si="3"/>
        <v>2.3488483200000001</v>
      </c>
      <c r="I43" s="13">
        <f>F43/7.5*G43</f>
        <v>313.179776</v>
      </c>
      <c r="J43" s="23"/>
      <c r="L43" s="19"/>
      <c r="M43" s="20"/>
      <c r="N43" s="21"/>
    </row>
    <row r="44" spans="1:14" ht="15.75" hidden="1" customHeight="1">
      <c r="A44" s="29">
        <v>12</v>
      </c>
      <c r="B44" s="138" t="s">
        <v>71</v>
      </c>
      <c r="C44" s="139" t="s">
        <v>33</v>
      </c>
      <c r="D44" s="138"/>
      <c r="E44" s="140"/>
      <c r="F44" s="141">
        <v>0.9</v>
      </c>
      <c r="G44" s="141">
        <v>800</v>
      </c>
      <c r="H44" s="65">
        <f t="shared" si="3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35.25" customHeight="1">
      <c r="A45" s="136">
        <v>10</v>
      </c>
      <c r="B45" s="138" t="s">
        <v>185</v>
      </c>
      <c r="C45" s="139" t="s">
        <v>105</v>
      </c>
      <c r="D45" s="138" t="s">
        <v>187</v>
      </c>
      <c r="E45" s="140">
        <v>3.6</v>
      </c>
      <c r="F45" s="141">
        <f>E45*12/1000</f>
        <v>4.3200000000000002E-2</v>
      </c>
      <c r="G45" s="141">
        <v>19757.060000000001</v>
      </c>
      <c r="H45" s="56"/>
      <c r="I45" s="137">
        <f>G45*F45/6</f>
        <v>142.25083200000003</v>
      </c>
      <c r="J45" s="23"/>
      <c r="L45" s="19"/>
      <c r="M45" s="20"/>
      <c r="N45" s="21"/>
    </row>
    <row r="46" spans="1:14" ht="15.75" customHeight="1">
      <c r="A46" s="182" t="s">
        <v>131</v>
      </c>
      <c r="B46" s="183"/>
      <c r="C46" s="183"/>
      <c r="D46" s="183"/>
      <c r="E46" s="183"/>
      <c r="F46" s="183"/>
      <c r="G46" s="183"/>
      <c r="H46" s="183"/>
      <c r="I46" s="184"/>
      <c r="J46" s="23"/>
      <c r="L46" s="19"/>
      <c r="M46" s="20"/>
      <c r="N46" s="21"/>
    </row>
    <row r="47" spans="1:14" ht="15.75" hidden="1" customHeight="1">
      <c r="A47" s="29"/>
      <c r="B47" s="62" t="s">
        <v>128</v>
      </c>
      <c r="C47" s="63" t="s">
        <v>105</v>
      </c>
      <c r="D47" s="62" t="s">
        <v>43</v>
      </c>
      <c r="E47" s="48">
        <v>1795.9</v>
      </c>
      <c r="F47" s="64">
        <f>SUM(E47*2/1000)</f>
        <v>3.5918000000000001</v>
      </c>
      <c r="G47" s="13">
        <v>865.61</v>
      </c>
      <c r="H47" s="65">
        <f t="shared" ref="H47:H56" si="4">SUM(F47*G47/1000)</f>
        <v>3.1090979980000002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36</v>
      </c>
      <c r="C48" s="63" t="s">
        <v>105</v>
      </c>
      <c r="D48" s="62" t="s">
        <v>43</v>
      </c>
      <c r="E48" s="48">
        <v>104</v>
      </c>
      <c r="F48" s="64">
        <f>SUM(E48*2/1000)</f>
        <v>0.20799999999999999</v>
      </c>
      <c r="G48" s="13">
        <v>619.46</v>
      </c>
      <c r="H48" s="65">
        <f t="shared" si="4"/>
        <v>0.12884767999999999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37</v>
      </c>
      <c r="C49" s="63" t="s">
        <v>105</v>
      </c>
      <c r="D49" s="62" t="s">
        <v>43</v>
      </c>
      <c r="E49" s="48">
        <v>1996.87</v>
      </c>
      <c r="F49" s="64">
        <f>SUM(E49*2/1000)</f>
        <v>3.9937399999999998</v>
      </c>
      <c r="G49" s="13">
        <v>619.46</v>
      </c>
      <c r="H49" s="65">
        <f t="shared" si="4"/>
        <v>2.4739621804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2" t="s">
        <v>38</v>
      </c>
      <c r="C50" s="63" t="s">
        <v>105</v>
      </c>
      <c r="D50" s="62" t="s">
        <v>43</v>
      </c>
      <c r="E50" s="48">
        <v>2630.35</v>
      </c>
      <c r="F50" s="64">
        <f>SUM(E50*2/1000)</f>
        <v>5.2606999999999999</v>
      </c>
      <c r="G50" s="13">
        <v>648.64</v>
      </c>
      <c r="H50" s="65">
        <f t="shared" si="4"/>
        <v>3.4123004479999999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2" t="s">
        <v>34</v>
      </c>
      <c r="C51" s="63" t="s">
        <v>35</v>
      </c>
      <c r="D51" s="62" t="s">
        <v>43</v>
      </c>
      <c r="E51" s="48">
        <v>131.47</v>
      </c>
      <c r="F51" s="64">
        <f>SUM(E51*2/100)</f>
        <v>2.6294</v>
      </c>
      <c r="G51" s="13">
        <v>77.84</v>
      </c>
      <c r="H51" s="65">
        <f t="shared" si="4"/>
        <v>0.20467249599999998</v>
      </c>
      <c r="I51" s="13">
        <v>0</v>
      </c>
      <c r="J51" s="23"/>
      <c r="L51" s="19"/>
      <c r="M51" s="20"/>
      <c r="N51" s="21"/>
    </row>
    <row r="52" spans="1:22" ht="15.75" customHeight="1">
      <c r="A52" s="29">
        <v>11</v>
      </c>
      <c r="B52" s="62" t="s">
        <v>58</v>
      </c>
      <c r="C52" s="63" t="s">
        <v>105</v>
      </c>
      <c r="D52" s="62" t="s">
        <v>170</v>
      </c>
      <c r="E52" s="48">
        <v>2872.4</v>
      </c>
      <c r="F52" s="64">
        <f>SUM(E52*5/1000)</f>
        <v>14.362</v>
      </c>
      <c r="G52" s="112">
        <v>1739.68</v>
      </c>
      <c r="H52" s="65">
        <f t="shared" si="4"/>
        <v>24.985284160000003</v>
      </c>
      <c r="I52" s="13">
        <f>F52/5*G52</f>
        <v>4997.0568320000002</v>
      </c>
      <c r="J52" s="23"/>
      <c r="L52" s="19"/>
      <c r="M52" s="20"/>
      <c r="N52" s="21"/>
    </row>
    <row r="53" spans="1:22" ht="31.5" hidden="1" customHeight="1">
      <c r="A53" s="29">
        <v>11</v>
      </c>
      <c r="B53" s="62" t="s">
        <v>114</v>
      </c>
      <c r="C53" s="63" t="s">
        <v>105</v>
      </c>
      <c r="D53" s="62" t="s">
        <v>43</v>
      </c>
      <c r="E53" s="48">
        <v>2872.4</v>
      </c>
      <c r="F53" s="64">
        <f>SUM(E53*2/1000)</f>
        <v>5.7448000000000006</v>
      </c>
      <c r="G53" s="13">
        <v>1297.28</v>
      </c>
      <c r="H53" s="65">
        <f t="shared" si="4"/>
        <v>7.4526141440000009</v>
      </c>
      <c r="I53" s="13">
        <f>F53/2*G53</f>
        <v>3726.3070720000005</v>
      </c>
      <c r="J53" s="23"/>
      <c r="L53" s="19"/>
      <c r="M53" s="20"/>
      <c r="N53" s="21"/>
    </row>
    <row r="54" spans="1:22" ht="31.5" hidden="1" customHeight="1">
      <c r="A54" s="29">
        <v>12</v>
      </c>
      <c r="B54" s="62" t="s">
        <v>115</v>
      </c>
      <c r="C54" s="63" t="s">
        <v>39</v>
      </c>
      <c r="D54" s="62" t="s">
        <v>43</v>
      </c>
      <c r="E54" s="48">
        <v>40</v>
      </c>
      <c r="F54" s="64">
        <f>SUM(E54*2/100)</f>
        <v>0.8</v>
      </c>
      <c r="G54" s="13">
        <v>2918.89</v>
      </c>
      <c r="H54" s="65">
        <f t="shared" si="4"/>
        <v>2.3351120000000001</v>
      </c>
      <c r="I54" s="13">
        <f t="shared" ref="I54:I55" si="5">F54/2*G54</f>
        <v>1167.556</v>
      </c>
      <c r="J54" s="23"/>
      <c r="L54" s="19"/>
      <c r="M54" s="20"/>
      <c r="N54" s="21"/>
    </row>
    <row r="55" spans="1:22" ht="15.75" hidden="1" customHeight="1">
      <c r="A55" s="29">
        <v>13</v>
      </c>
      <c r="B55" s="62" t="s">
        <v>40</v>
      </c>
      <c r="C55" s="63" t="s">
        <v>41</v>
      </c>
      <c r="D55" s="62" t="s">
        <v>43</v>
      </c>
      <c r="E55" s="48">
        <v>1</v>
      </c>
      <c r="F55" s="64">
        <v>0.02</v>
      </c>
      <c r="G55" s="13">
        <v>6042.12</v>
      </c>
      <c r="H55" s="65">
        <f t="shared" si="4"/>
        <v>0.1208424</v>
      </c>
      <c r="I55" s="13">
        <f t="shared" si="5"/>
        <v>60.421199999999999</v>
      </c>
      <c r="J55" s="23"/>
      <c r="L55" s="19"/>
      <c r="M55" s="20"/>
      <c r="N55" s="21"/>
    </row>
    <row r="56" spans="1:22" ht="15.75" hidden="1" customHeight="1">
      <c r="A56" s="29">
        <v>13</v>
      </c>
      <c r="B56" s="62" t="s">
        <v>42</v>
      </c>
      <c r="C56" s="63" t="s">
        <v>30</v>
      </c>
      <c r="D56" s="123">
        <v>44183</v>
      </c>
      <c r="E56" s="48">
        <v>160</v>
      </c>
      <c r="F56" s="64">
        <f>SUM(E56)*3</f>
        <v>480</v>
      </c>
      <c r="G56" s="146">
        <v>87.32</v>
      </c>
      <c r="H56" s="65">
        <f t="shared" si="4"/>
        <v>41.913599999999995</v>
      </c>
      <c r="I56" s="13">
        <f>E56*G56</f>
        <v>13971.199999999999</v>
      </c>
      <c r="J56" s="23"/>
      <c r="L56" s="19"/>
      <c r="M56" s="20"/>
      <c r="N56" s="21"/>
    </row>
    <row r="57" spans="1:22" ht="15.75" customHeight="1">
      <c r="A57" s="182" t="s">
        <v>132</v>
      </c>
      <c r="B57" s="183"/>
      <c r="C57" s="183"/>
      <c r="D57" s="183"/>
      <c r="E57" s="183"/>
      <c r="F57" s="183"/>
      <c r="G57" s="183"/>
      <c r="H57" s="183"/>
      <c r="I57" s="184"/>
      <c r="J57" s="23"/>
      <c r="L57" s="19"/>
      <c r="M57" s="20"/>
      <c r="N57" s="21"/>
    </row>
    <row r="58" spans="1:22" ht="15.75" hidden="1" customHeight="1">
      <c r="A58" s="29"/>
      <c r="B58" s="83" t="s">
        <v>44</v>
      </c>
      <c r="C58" s="63"/>
      <c r="D58" s="62"/>
      <c r="E58" s="48"/>
      <c r="F58" s="64"/>
      <c r="G58" s="64"/>
      <c r="H58" s="65"/>
      <c r="I58" s="13"/>
      <c r="J58" s="23"/>
      <c r="L58" s="19"/>
      <c r="M58" s="20"/>
      <c r="N58" s="21"/>
    </row>
    <row r="59" spans="1:22" ht="31.5" hidden="1" customHeight="1">
      <c r="A59" s="29">
        <v>15</v>
      </c>
      <c r="B59" s="62" t="s">
        <v>117</v>
      </c>
      <c r="C59" s="63" t="s">
        <v>98</v>
      </c>
      <c r="D59" s="62"/>
      <c r="E59" s="48">
        <v>239.59</v>
      </c>
      <c r="F59" s="64">
        <f>E59*6/100</f>
        <v>14.375399999999999</v>
      </c>
      <c r="G59" s="145">
        <v>2218.11</v>
      </c>
      <c r="H59" s="65">
        <f>F59*G59/1000</f>
        <v>31.886218494000001</v>
      </c>
      <c r="I59" s="13">
        <f>G59*0.6</f>
        <v>1330.866</v>
      </c>
      <c r="J59" s="23"/>
      <c r="L59" s="19"/>
      <c r="M59" s="20"/>
      <c r="N59" s="21"/>
    </row>
    <row r="60" spans="1:22" ht="16.5" hidden="1" customHeight="1">
      <c r="A60" s="29">
        <v>16</v>
      </c>
      <c r="B60" s="99" t="s">
        <v>86</v>
      </c>
      <c r="C60" s="100" t="s">
        <v>156</v>
      </c>
      <c r="D60" s="73"/>
      <c r="E60" s="74"/>
      <c r="F60" s="76"/>
      <c r="G60" s="106">
        <v>1730</v>
      </c>
      <c r="H60" s="78"/>
      <c r="I60" s="13">
        <f>G60*2.5</f>
        <v>4325</v>
      </c>
      <c r="J60" s="23"/>
      <c r="L60" s="19"/>
      <c r="M60" s="20"/>
      <c r="N60" s="21"/>
    </row>
    <row r="61" spans="1:22" ht="15.75" customHeight="1">
      <c r="A61" s="29"/>
      <c r="B61" s="84" t="s">
        <v>45</v>
      </c>
      <c r="C61" s="72"/>
      <c r="D61" s="73"/>
      <c r="E61" s="74"/>
      <c r="F61" s="76"/>
      <c r="G61" s="13"/>
      <c r="H61" s="78"/>
      <c r="I61" s="13"/>
      <c r="J61" s="23"/>
      <c r="L61" s="19"/>
      <c r="M61" s="20"/>
      <c r="N61" s="21"/>
    </row>
    <row r="62" spans="1:22" ht="15.75" hidden="1" customHeight="1">
      <c r="A62" s="29"/>
      <c r="B62" s="73" t="s">
        <v>46</v>
      </c>
      <c r="C62" s="72" t="s">
        <v>55</v>
      </c>
      <c r="D62" s="73" t="s">
        <v>56</v>
      </c>
      <c r="E62" s="74">
        <v>2686</v>
      </c>
      <c r="F62" s="76">
        <f>E62/100</f>
        <v>26.86</v>
      </c>
      <c r="G62" s="13">
        <v>848.37</v>
      </c>
      <c r="H62" s="78">
        <f>G62*F62/1000</f>
        <v>22.787218199999998</v>
      </c>
      <c r="I62" s="13">
        <v>0</v>
      </c>
      <c r="J62" s="23"/>
      <c r="L62" s="19"/>
    </row>
    <row r="63" spans="1:22" ht="15.75" customHeight="1">
      <c r="A63" s="29">
        <v>12</v>
      </c>
      <c r="B63" s="73" t="s">
        <v>92</v>
      </c>
      <c r="C63" s="72" t="s">
        <v>25</v>
      </c>
      <c r="D63" s="73" t="s">
        <v>164</v>
      </c>
      <c r="E63" s="74">
        <v>343</v>
      </c>
      <c r="F63" s="76">
        <v>2400</v>
      </c>
      <c r="G63" s="13">
        <v>1.4</v>
      </c>
      <c r="H63" s="78">
        <f>F63*G63</f>
        <v>3360</v>
      </c>
      <c r="I63" s="13">
        <f>F63/12*G63</f>
        <v>280</v>
      </c>
    </row>
    <row r="64" spans="1:22" ht="15.75" hidden="1" customHeight="1">
      <c r="A64" s="29"/>
      <c r="B64" s="84" t="s">
        <v>47</v>
      </c>
      <c r="C64" s="72"/>
      <c r="D64" s="73"/>
      <c r="E64" s="74"/>
      <c r="F64" s="75"/>
      <c r="G64" s="75"/>
      <c r="H64" s="76" t="s">
        <v>124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29">
        <v>16</v>
      </c>
      <c r="B65" s="14" t="s">
        <v>48</v>
      </c>
      <c r="C65" s="16" t="s">
        <v>116</v>
      </c>
      <c r="D65" s="73" t="s">
        <v>68</v>
      </c>
      <c r="E65" s="18">
        <v>15</v>
      </c>
      <c r="F65" s="64">
        <v>15</v>
      </c>
      <c r="G65" s="13">
        <v>237.74</v>
      </c>
      <c r="H65" s="79">
        <f t="shared" ref="H65:H82" si="6">SUM(F65*G65/1000)</f>
        <v>3.5661000000000005</v>
      </c>
      <c r="I65" s="13">
        <f>G65*2</f>
        <v>475.48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29"/>
      <c r="B66" s="14" t="s">
        <v>49</v>
      </c>
      <c r="C66" s="16" t="s">
        <v>116</v>
      </c>
      <c r="D66" s="73" t="s">
        <v>68</v>
      </c>
      <c r="E66" s="18">
        <v>5</v>
      </c>
      <c r="F66" s="64">
        <v>5</v>
      </c>
      <c r="G66" s="13">
        <v>81.510000000000005</v>
      </c>
      <c r="H66" s="7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50</v>
      </c>
      <c r="C67" s="16" t="s">
        <v>118</v>
      </c>
      <c r="D67" s="14" t="s">
        <v>56</v>
      </c>
      <c r="E67" s="48">
        <v>24123</v>
      </c>
      <c r="F67" s="13">
        <f>SUM(E67/100)</f>
        <v>241.23</v>
      </c>
      <c r="G67" s="13">
        <v>226.79</v>
      </c>
      <c r="H67" s="79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78"/>
      <c r="S67" s="178"/>
      <c r="T67" s="178"/>
      <c r="U67" s="178"/>
    </row>
    <row r="68" spans="1:21" ht="15.75" hidden="1" customHeight="1">
      <c r="A68" s="29"/>
      <c r="B68" s="14" t="s">
        <v>51</v>
      </c>
      <c r="C68" s="16" t="s">
        <v>119</v>
      </c>
      <c r="D68" s="14"/>
      <c r="E68" s="48">
        <v>24123</v>
      </c>
      <c r="F68" s="13">
        <f>SUM(E68/1000)</f>
        <v>24.123000000000001</v>
      </c>
      <c r="G68" s="13">
        <v>176.61</v>
      </c>
      <c r="H68" s="79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29"/>
      <c r="B69" s="14" t="s">
        <v>52</v>
      </c>
      <c r="C69" s="16" t="s">
        <v>78</v>
      </c>
      <c r="D69" s="14" t="s">
        <v>56</v>
      </c>
      <c r="E69" s="48">
        <v>2730</v>
      </c>
      <c r="F69" s="13">
        <f>SUM(E69/100)</f>
        <v>27.3</v>
      </c>
      <c r="G69" s="13">
        <v>2217.7800000000002</v>
      </c>
      <c r="H69" s="79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29"/>
      <c r="B70" s="80" t="s">
        <v>120</v>
      </c>
      <c r="C70" s="16" t="s">
        <v>33</v>
      </c>
      <c r="D70" s="14"/>
      <c r="E70" s="48">
        <v>23</v>
      </c>
      <c r="F70" s="13">
        <f>SUM(E70)</f>
        <v>23</v>
      </c>
      <c r="G70" s="13">
        <v>42.67</v>
      </c>
      <c r="H70" s="79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29"/>
      <c r="B71" s="80" t="s">
        <v>121</v>
      </c>
      <c r="C71" s="16" t="s">
        <v>33</v>
      </c>
      <c r="D71" s="14"/>
      <c r="E71" s="48">
        <v>23</v>
      </c>
      <c r="F71" s="13">
        <f>SUM(E71)</f>
        <v>23</v>
      </c>
      <c r="G71" s="13">
        <v>39.81</v>
      </c>
      <c r="H71" s="79">
        <f t="shared" si="6"/>
        <v>0.91563000000000005</v>
      </c>
      <c r="I71" s="13">
        <f t="shared" si="7"/>
        <v>915.63000000000011</v>
      </c>
    </row>
    <row r="72" spans="1:21" ht="15.75" hidden="1" customHeight="1">
      <c r="A72" s="29"/>
      <c r="B72" s="14" t="s">
        <v>59</v>
      </c>
      <c r="C72" s="16" t="s">
        <v>60</v>
      </c>
      <c r="D72" s="14" t="s">
        <v>56</v>
      </c>
      <c r="E72" s="18">
        <v>10</v>
      </c>
      <c r="F72" s="64">
        <f>SUM(E72)</f>
        <v>10</v>
      </c>
      <c r="G72" s="13">
        <v>53.32</v>
      </c>
      <c r="H72" s="79">
        <f t="shared" si="6"/>
        <v>0.53320000000000001</v>
      </c>
      <c r="I72" s="13">
        <f t="shared" si="7"/>
        <v>533.20000000000005</v>
      </c>
    </row>
    <row r="73" spans="1:21" ht="15.75" customHeight="1">
      <c r="A73" s="29"/>
      <c r="B73" s="144" t="s">
        <v>182</v>
      </c>
      <c r="C73" s="16"/>
      <c r="D73" s="14"/>
      <c r="E73" s="18"/>
      <c r="F73" s="13"/>
      <c r="G73" s="13"/>
      <c r="H73" s="13"/>
      <c r="I73" s="13"/>
    </row>
    <row r="74" spans="1:21" ht="32.25" customHeight="1">
      <c r="A74" s="29">
        <v>13</v>
      </c>
      <c r="B74" s="97" t="s">
        <v>183</v>
      </c>
      <c r="C74" s="126" t="s">
        <v>184</v>
      </c>
      <c r="D74" s="127"/>
      <c r="E74" s="128">
        <v>4591.2</v>
      </c>
      <c r="F74" s="129">
        <f>E74*12</f>
        <v>55094.399999999994</v>
      </c>
      <c r="G74" s="129">
        <v>2.4900000000000002</v>
      </c>
      <c r="H74" s="13"/>
      <c r="I74" s="13">
        <f>G74*F74/12</f>
        <v>11432.088000000002</v>
      </c>
    </row>
    <row r="75" spans="1:21" ht="16.5" customHeight="1">
      <c r="A75" s="29"/>
      <c r="B75" s="91" t="s">
        <v>74</v>
      </c>
      <c r="C75" s="16"/>
      <c r="D75" s="14"/>
      <c r="E75" s="18"/>
      <c r="F75" s="13"/>
      <c r="G75" s="13"/>
      <c r="H75" s="79" t="s">
        <v>124</v>
      </c>
      <c r="I75" s="13"/>
    </row>
    <row r="76" spans="1:21" ht="30" hidden="1" customHeight="1">
      <c r="A76" s="29">
        <v>16</v>
      </c>
      <c r="B76" s="97" t="s">
        <v>209</v>
      </c>
      <c r="C76" s="114" t="s">
        <v>116</v>
      </c>
      <c r="D76" s="97" t="s">
        <v>210</v>
      </c>
      <c r="E76" s="17">
        <v>2</v>
      </c>
      <c r="F76" s="34">
        <f>E76*1</f>
        <v>2</v>
      </c>
      <c r="G76" s="34">
        <v>2151.87</v>
      </c>
      <c r="H76" s="79"/>
      <c r="I76" s="13">
        <f>G76*1</f>
        <v>2151.87</v>
      </c>
    </row>
    <row r="77" spans="1:21" ht="17.25" hidden="1" customHeight="1">
      <c r="A77" s="29">
        <v>16</v>
      </c>
      <c r="B77" s="14" t="s">
        <v>75</v>
      </c>
      <c r="C77" s="16" t="s">
        <v>31</v>
      </c>
      <c r="D77" s="14"/>
      <c r="E77" s="18">
        <v>2</v>
      </c>
      <c r="F77" s="56">
        <v>0.2</v>
      </c>
      <c r="G77" s="13">
        <v>536.23</v>
      </c>
      <c r="H77" s="79">
        <v>0.251</v>
      </c>
      <c r="I77" s="13">
        <f>G77*0.2</f>
        <v>107.24600000000001</v>
      </c>
    </row>
    <row r="78" spans="1:21" ht="16.5" hidden="1" customHeight="1">
      <c r="A78" s="29"/>
      <c r="B78" s="14" t="s">
        <v>87</v>
      </c>
      <c r="C78" s="16" t="s">
        <v>30</v>
      </c>
      <c r="D78" s="14"/>
      <c r="E78" s="18">
        <v>1</v>
      </c>
      <c r="F78" s="64">
        <f>SUM(E78)</f>
        <v>1</v>
      </c>
      <c r="G78" s="13">
        <v>383.25</v>
      </c>
      <c r="H78" s="79">
        <f t="shared" si="6"/>
        <v>0.38324999999999998</v>
      </c>
      <c r="I78" s="13">
        <v>0</v>
      </c>
    </row>
    <row r="79" spans="1:21" ht="15.75" hidden="1" customHeight="1">
      <c r="A79" s="29"/>
      <c r="B79" s="14" t="s">
        <v>76</v>
      </c>
      <c r="C79" s="16" t="s">
        <v>30</v>
      </c>
      <c r="D79" s="14"/>
      <c r="E79" s="18">
        <v>2</v>
      </c>
      <c r="F79" s="13">
        <v>2</v>
      </c>
      <c r="G79" s="13">
        <v>911.85</v>
      </c>
      <c r="H79" s="79">
        <f>F79*G79/1000</f>
        <v>1.8237000000000001</v>
      </c>
      <c r="I79" s="13">
        <v>0</v>
      </c>
    </row>
    <row r="80" spans="1:21" ht="33" customHeight="1">
      <c r="A80" s="29">
        <v>14</v>
      </c>
      <c r="B80" s="97" t="s">
        <v>179</v>
      </c>
      <c r="C80" s="114" t="s">
        <v>30</v>
      </c>
      <c r="D80" s="97" t="s">
        <v>164</v>
      </c>
      <c r="E80" s="17">
        <v>2</v>
      </c>
      <c r="F80" s="34">
        <f>E80*12</f>
        <v>24</v>
      </c>
      <c r="G80" s="34">
        <v>404</v>
      </c>
      <c r="H80" s="79"/>
      <c r="I80" s="13">
        <f>G80*2</f>
        <v>808</v>
      </c>
    </row>
    <row r="81" spans="1:9" ht="17.25" hidden="1" customHeight="1">
      <c r="A81" s="29"/>
      <c r="B81" s="81" t="s">
        <v>77</v>
      </c>
      <c r="C81" s="16"/>
      <c r="D81" s="14"/>
      <c r="E81" s="18"/>
      <c r="F81" s="13"/>
      <c r="G81" s="13" t="s">
        <v>124</v>
      </c>
      <c r="H81" s="79" t="s">
        <v>124</v>
      </c>
      <c r="I81" s="13"/>
    </row>
    <row r="82" spans="1:9" ht="15" hidden="1" customHeight="1">
      <c r="A82" s="29">
        <v>20</v>
      </c>
      <c r="B82" s="44" t="s">
        <v>125</v>
      </c>
      <c r="C82" s="16" t="s">
        <v>78</v>
      </c>
      <c r="D82" s="14"/>
      <c r="E82" s="18"/>
      <c r="F82" s="13">
        <v>1.35</v>
      </c>
      <c r="G82" s="146">
        <v>10325.85</v>
      </c>
      <c r="H82" s="79">
        <f t="shared" si="6"/>
        <v>13.939897500000001</v>
      </c>
      <c r="I82" s="13">
        <f>G82*0.03</f>
        <v>309.77550000000002</v>
      </c>
    </row>
    <row r="83" spans="1:9" ht="16.5" hidden="1" customHeight="1">
      <c r="A83" s="29"/>
      <c r="B83" s="67" t="s">
        <v>122</v>
      </c>
      <c r="C83" s="81"/>
      <c r="D83" s="31"/>
      <c r="E83" s="32"/>
      <c r="F83" s="68"/>
      <c r="G83" s="68"/>
      <c r="H83" s="82">
        <f>SUM(H59:H82)</f>
        <v>3556.9894829239997</v>
      </c>
      <c r="I83" s="68"/>
    </row>
    <row r="84" spans="1:9" ht="16.5" hidden="1" customHeight="1">
      <c r="A84" s="29"/>
      <c r="B84" s="62" t="s">
        <v>123</v>
      </c>
      <c r="C84" s="16"/>
      <c r="D84" s="14"/>
      <c r="E84" s="57"/>
      <c r="F84" s="13">
        <v>1</v>
      </c>
      <c r="G84" s="13">
        <v>19342.2</v>
      </c>
      <c r="H84" s="79">
        <f>G84*F84/1000</f>
        <v>19.342200000000002</v>
      </c>
      <c r="I84" s="13">
        <v>0</v>
      </c>
    </row>
    <row r="85" spans="1:9" ht="15.75" customHeight="1">
      <c r="A85" s="191" t="s">
        <v>133</v>
      </c>
      <c r="B85" s="192"/>
      <c r="C85" s="192"/>
      <c r="D85" s="192"/>
      <c r="E85" s="192"/>
      <c r="F85" s="192"/>
      <c r="G85" s="192"/>
      <c r="H85" s="192"/>
      <c r="I85" s="193"/>
    </row>
    <row r="86" spans="1:9" ht="15.75" customHeight="1">
      <c r="A86" s="29">
        <v>15</v>
      </c>
      <c r="B86" s="97" t="s">
        <v>126</v>
      </c>
      <c r="C86" s="114" t="s">
        <v>57</v>
      </c>
      <c r="D86" s="130"/>
      <c r="E86" s="34">
        <v>4591.2</v>
      </c>
      <c r="F86" s="34">
        <f>SUM(E86*12)</f>
        <v>55094.399999999994</v>
      </c>
      <c r="G86" s="34">
        <v>3.38</v>
      </c>
      <c r="H86" s="79">
        <f>SUM(F86*G86/1000)</f>
        <v>186.21907199999998</v>
      </c>
      <c r="I86" s="13">
        <f>F86/12*G86</f>
        <v>15518.255999999999</v>
      </c>
    </row>
    <row r="87" spans="1:9" ht="31.5" customHeight="1">
      <c r="A87" s="29">
        <v>16</v>
      </c>
      <c r="B87" s="131" t="s">
        <v>180</v>
      </c>
      <c r="C87" s="132" t="s">
        <v>25</v>
      </c>
      <c r="D87" s="133"/>
      <c r="E87" s="134">
        <f>E86</f>
        <v>4591.2</v>
      </c>
      <c r="F87" s="119">
        <f>E87*12</f>
        <v>55094.399999999994</v>
      </c>
      <c r="G87" s="119">
        <v>3.05</v>
      </c>
      <c r="H87" s="79">
        <f>F87*G87/1000</f>
        <v>168.03791999999999</v>
      </c>
      <c r="I87" s="13">
        <f>F87/12*G87</f>
        <v>14003.159999999998</v>
      </c>
    </row>
    <row r="88" spans="1:9" ht="15.75" customHeight="1">
      <c r="A88" s="89"/>
      <c r="B88" s="36" t="s">
        <v>80</v>
      </c>
      <c r="C88" s="37"/>
      <c r="D88" s="15"/>
      <c r="E88" s="15"/>
      <c r="F88" s="15"/>
      <c r="G88" s="18"/>
      <c r="H88" s="18"/>
      <c r="I88" s="32">
        <f>I87+I86+I80+I74+I63+I52+I45+I42+I41+I39+I38+I21+I20+I18+I17+I16</f>
        <v>81761.209971833334</v>
      </c>
    </row>
    <row r="89" spans="1:9" ht="15.75" customHeight="1">
      <c r="A89" s="188" t="s">
        <v>62</v>
      </c>
      <c r="B89" s="189"/>
      <c r="C89" s="189"/>
      <c r="D89" s="189"/>
      <c r="E89" s="189"/>
      <c r="F89" s="189"/>
      <c r="G89" s="189"/>
      <c r="H89" s="189"/>
      <c r="I89" s="190"/>
    </row>
    <row r="90" spans="1:9" ht="16.5" customHeight="1">
      <c r="A90" s="29">
        <v>17</v>
      </c>
      <c r="B90" s="95" t="s">
        <v>155</v>
      </c>
      <c r="C90" s="114" t="s">
        <v>159</v>
      </c>
      <c r="D90" s="95" t="s">
        <v>344</v>
      </c>
      <c r="E90" s="34"/>
      <c r="F90" s="34">
        <v>106</v>
      </c>
      <c r="G90" s="34">
        <v>295.36</v>
      </c>
      <c r="H90" s="94"/>
      <c r="I90" s="13">
        <v>0</v>
      </c>
    </row>
    <row r="91" spans="1:9" ht="30" customHeight="1">
      <c r="A91" s="29">
        <v>18</v>
      </c>
      <c r="B91" s="98" t="s">
        <v>223</v>
      </c>
      <c r="C91" s="37" t="s">
        <v>224</v>
      </c>
      <c r="D91" s="95" t="s">
        <v>345</v>
      </c>
      <c r="E91" s="34"/>
      <c r="F91" s="34">
        <v>5</v>
      </c>
      <c r="G91" s="34">
        <v>477.25</v>
      </c>
      <c r="H91" s="94"/>
      <c r="I91" s="13">
        <f>G91*2</f>
        <v>954.5</v>
      </c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SUM(I90:I91)</f>
        <v>954.5</v>
      </c>
    </row>
    <row r="93" spans="1:9" ht="15.75" customHeight="1">
      <c r="A93" s="29"/>
      <c r="B93" s="44" t="s">
        <v>79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54</v>
      </c>
      <c r="C94" s="33"/>
      <c r="D94" s="33"/>
      <c r="E94" s="33"/>
      <c r="F94" s="33"/>
      <c r="G94" s="33"/>
      <c r="H94" s="33"/>
      <c r="I94" s="41">
        <f>I88+I92</f>
        <v>82715.709971833334</v>
      </c>
    </row>
    <row r="95" spans="1:9" ht="15.75" customHeight="1">
      <c r="A95" s="185" t="s">
        <v>346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55"/>
      <c r="B96" s="186" t="s">
        <v>347</v>
      </c>
      <c r="C96" s="186"/>
      <c r="D96" s="186"/>
      <c r="E96" s="186"/>
      <c r="F96" s="186"/>
      <c r="G96" s="186"/>
      <c r="H96" s="61"/>
      <c r="I96" s="3"/>
    </row>
    <row r="97" spans="1:9" ht="15.75" customHeight="1">
      <c r="A97" s="87"/>
      <c r="B97" s="176" t="s">
        <v>6</v>
      </c>
      <c r="C97" s="176"/>
      <c r="D97" s="176"/>
      <c r="E97" s="176"/>
      <c r="F97" s="176"/>
      <c r="G97" s="176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7" t="s">
        <v>7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187" t="s">
        <v>8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180" t="s">
        <v>63</v>
      </c>
      <c r="B101" s="180"/>
      <c r="C101" s="180"/>
      <c r="D101" s="180"/>
      <c r="E101" s="180"/>
      <c r="F101" s="180"/>
      <c r="G101" s="180"/>
      <c r="H101" s="180"/>
      <c r="I101" s="180"/>
    </row>
    <row r="102" spans="1:9" ht="15.75" customHeight="1">
      <c r="A102" s="11"/>
    </row>
    <row r="103" spans="1:9" ht="15.75" customHeight="1">
      <c r="A103" s="174" t="s">
        <v>9</v>
      </c>
      <c r="B103" s="174"/>
      <c r="C103" s="174"/>
      <c r="D103" s="174"/>
      <c r="E103" s="174"/>
      <c r="F103" s="174"/>
      <c r="G103" s="174"/>
      <c r="H103" s="174"/>
      <c r="I103" s="174"/>
    </row>
    <row r="104" spans="1:9" ht="15.75" customHeight="1">
      <c r="A104" s="4"/>
    </row>
    <row r="105" spans="1:9" ht="15.75" customHeight="1">
      <c r="B105" s="88" t="s">
        <v>10</v>
      </c>
      <c r="C105" s="175" t="s">
        <v>206</v>
      </c>
      <c r="D105" s="175"/>
      <c r="E105" s="175"/>
      <c r="F105" s="59"/>
      <c r="I105" s="86"/>
    </row>
    <row r="106" spans="1:9" ht="15.75" customHeight="1">
      <c r="A106" s="87"/>
      <c r="C106" s="176" t="s">
        <v>11</v>
      </c>
      <c r="D106" s="176"/>
      <c r="E106" s="176"/>
      <c r="F106" s="24"/>
      <c r="I106" s="85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88" t="s">
        <v>13</v>
      </c>
      <c r="C108" s="177"/>
      <c r="D108" s="177"/>
      <c r="E108" s="177"/>
      <c r="F108" s="60"/>
      <c r="I108" s="86"/>
    </row>
    <row r="109" spans="1:9" ht="15.75" customHeight="1">
      <c r="A109" s="87"/>
      <c r="C109" s="178" t="s">
        <v>11</v>
      </c>
      <c r="D109" s="178"/>
      <c r="E109" s="178"/>
      <c r="F109" s="87"/>
      <c r="I109" s="85" t="s">
        <v>12</v>
      </c>
    </row>
    <row r="110" spans="1:9" ht="15.75" customHeight="1">
      <c r="A110" s="4" t="s">
        <v>14</v>
      </c>
    </row>
    <row r="111" spans="1:9" ht="15.75" customHeight="1">
      <c r="A111" s="179" t="s">
        <v>15</v>
      </c>
      <c r="B111" s="179"/>
      <c r="C111" s="179"/>
      <c r="D111" s="179"/>
      <c r="E111" s="179"/>
      <c r="F111" s="179"/>
      <c r="G111" s="179"/>
      <c r="H111" s="179"/>
      <c r="I111" s="179"/>
    </row>
    <row r="112" spans="1:9" ht="45" customHeight="1">
      <c r="A112" s="173" t="s">
        <v>16</v>
      </c>
      <c r="B112" s="173"/>
      <c r="C112" s="173"/>
      <c r="D112" s="173"/>
      <c r="E112" s="173"/>
      <c r="F112" s="173"/>
      <c r="G112" s="173"/>
      <c r="H112" s="173"/>
      <c r="I112" s="173"/>
    </row>
    <row r="113" spans="1:9" ht="30" customHeight="1">
      <c r="A113" s="173" t="s">
        <v>17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30" customHeight="1">
      <c r="A114" s="173" t="s">
        <v>21</v>
      </c>
      <c r="B114" s="173"/>
      <c r="C114" s="173"/>
      <c r="D114" s="173"/>
      <c r="E114" s="173"/>
      <c r="F114" s="173"/>
      <c r="G114" s="173"/>
      <c r="H114" s="173"/>
      <c r="I114" s="173"/>
    </row>
    <row r="115" spans="1:9" ht="15" customHeight="1">
      <c r="A115" s="173" t="s">
        <v>20</v>
      </c>
      <c r="B115" s="173"/>
      <c r="C115" s="173"/>
      <c r="D115" s="173"/>
      <c r="E115" s="173"/>
      <c r="F115" s="173"/>
      <c r="G115" s="173"/>
      <c r="H115" s="173"/>
      <c r="I115" s="173"/>
    </row>
  </sheetData>
  <autoFilter ref="I12:I63"/>
  <mergeCells count="29"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7:U67"/>
    <mergeCell ref="C109:E109"/>
    <mergeCell ref="A89:I8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5:I85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G108" sqref="G108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7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139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219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44255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190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G16*F16/156*10</f>
        <v>3215.2781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F17/12*G17-2572.2</f>
        <v>8574.097413333333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81" t="s">
        <v>84</v>
      </c>
      <c r="B27" s="181"/>
      <c r="C27" s="181"/>
      <c r="D27" s="181"/>
      <c r="E27" s="181"/>
      <c r="F27" s="181"/>
      <c r="G27" s="181"/>
      <c r="H27" s="181"/>
      <c r="I27" s="181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62" t="s">
        <v>104</v>
      </c>
      <c r="C29" s="63" t="s">
        <v>105</v>
      </c>
      <c r="D29" s="62" t="s">
        <v>106</v>
      </c>
      <c r="E29" s="64">
        <v>844.95</v>
      </c>
      <c r="F29" s="64">
        <f>SUM(E29*52/1000)</f>
        <v>43.937400000000004</v>
      </c>
      <c r="G29" s="64">
        <v>166.65</v>
      </c>
      <c r="H29" s="65">
        <f>SUM(F29*G29/1000)</f>
        <v>7.3221677100000004</v>
      </c>
      <c r="I29" s="13">
        <f>F29/6*G29</f>
        <v>1220.3612850000002</v>
      </c>
      <c r="J29" s="22"/>
      <c r="K29" s="8"/>
      <c r="L29" s="8"/>
      <c r="M29" s="8"/>
    </row>
    <row r="30" spans="1:13" ht="31.5" hidden="1" customHeight="1">
      <c r="A30" s="29">
        <v>8</v>
      </c>
      <c r="B30" s="62" t="s">
        <v>137</v>
      </c>
      <c r="C30" s="63" t="s">
        <v>105</v>
      </c>
      <c r="D30" s="62" t="s">
        <v>107</v>
      </c>
      <c r="E30" s="64">
        <v>260.13</v>
      </c>
      <c r="F30" s="64">
        <f>SUM(E30*78/1000)</f>
        <v>20.290140000000001</v>
      </c>
      <c r="G30" s="64">
        <v>276.48</v>
      </c>
      <c r="H30" s="65">
        <f t="shared" ref="H30:H35" si="1">SUM(F30*G30/1000)</f>
        <v>5.6098179072000001</v>
      </c>
      <c r="I30" s="13">
        <f t="shared" ref="I30:I33" si="2">F30/6*G30</f>
        <v>934.96965120000016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105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hidden="1" customHeight="1">
      <c r="A32" s="29">
        <v>9</v>
      </c>
      <c r="B32" s="62" t="s">
        <v>135</v>
      </c>
      <c r="C32" s="63" t="s">
        <v>41</v>
      </c>
      <c r="D32" s="62" t="s">
        <v>65</v>
      </c>
      <c r="E32" s="64">
        <v>8</v>
      </c>
      <c r="F32" s="64">
        <v>12.4</v>
      </c>
      <c r="G32" s="64">
        <v>1391.86</v>
      </c>
      <c r="H32" s="65">
        <v>17.259</v>
      </c>
      <c r="I32" s="13">
        <f t="shared" si="2"/>
        <v>2876.5106666666666</v>
      </c>
      <c r="J32" s="22"/>
      <c r="K32" s="8"/>
      <c r="L32" s="8"/>
      <c r="M32" s="8"/>
    </row>
    <row r="33" spans="1:14" ht="15.75" hidden="1" customHeight="1">
      <c r="A33" s="29">
        <v>10</v>
      </c>
      <c r="B33" s="62" t="s">
        <v>108</v>
      </c>
      <c r="C33" s="63" t="s">
        <v>30</v>
      </c>
      <c r="D33" s="62" t="s">
        <v>65</v>
      </c>
      <c r="E33" s="69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3">
        <f t="shared" si="2"/>
        <v>521.83333333333337</v>
      </c>
      <c r="J33" s="22"/>
      <c r="K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si="1"/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1"/>
        <v>2.4294600000000002</v>
      </c>
      <c r="I35" s="13">
        <v>0</v>
      </c>
      <c r="J35" s="23"/>
    </row>
    <row r="36" spans="1:14" ht="15.75" customHeight="1">
      <c r="A36" s="29"/>
      <c r="B36" s="83" t="s">
        <v>5</v>
      </c>
      <c r="C36" s="63"/>
      <c r="D36" s="62"/>
      <c r="E36" s="48"/>
      <c r="F36" s="64"/>
      <c r="G36" s="64"/>
      <c r="H36" s="65" t="s">
        <v>124</v>
      </c>
      <c r="I36" s="13"/>
      <c r="J36" s="23"/>
    </row>
    <row r="37" spans="1:14" ht="15.75" customHeight="1">
      <c r="A37" s="29">
        <v>7</v>
      </c>
      <c r="B37" s="138" t="s">
        <v>26</v>
      </c>
      <c r="C37" s="116" t="s">
        <v>32</v>
      </c>
      <c r="D37" s="115" t="s">
        <v>220</v>
      </c>
      <c r="E37" s="120"/>
      <c r="F37" s="121">
        <v>6</v>
      </c>
      <c r="G37" s="121">
        <v>1855</v>
      </c>
      <c r="H37" s="65">
        <f t="shared" ref="H37:H43" si="3">SUM(F37*G37/1000)</f>
        <v>11.13</v>
      </c>
      <c r="I37" s="13">
        <f>G37*1.5</f>
        <v>2782.5</v>
      </c>
      <c r="J37" s="23"/>
    </row>
    <row r="38" spans="1:14" ht="15.75" customHeight="1">
      <c r="A38" s="29">
        <v>8</v>
      </c>
      <c r="B38" s="138" t="s">
        <v>186</v>
      </c>
      <c r="C38" s="139" t="s">
        <v>29</v>
      </c>
      <c r="D38" s="138" t="s">
        <v>172</v>
      </c>
      <c r="E38" s="141">
        <v>254.8</v>
      </c>
      <c r="F38" s="141">
        <f>SUM(E38*30/1000)</f>
        <v>7.6440000000000001</v>
      </c>
      <c r="G38" s="141">
        <v>3014.36</v>
      </c>
      <c r="H38" s="65">
        <f t="shared" si="3"/>
        <v>23.041767840000002</v>
      </c>
      <c r="I38" s="13">
        <f>F38/6*G38</f>
        <v>3840.2946400000001</v>
      </c>
      <c r="J38" s="23"/>
      <c r="L38" s="19"/>
      <c r="M38" s="20"/>
      <c r="N38" s="21"/>
    </row>
    <row r="39" spans="1:14" ht="15.75" hidden="1" customHeight="1">
      <c r="A39" s="29"/>
      <c r="B39" s="115" t="s">
        <v>91</v>
      </c>
      <c r="C39" s="116" t="s">
        <v>110</v>
      </c>
      <c r="D39" s="115" t="s">
        <v>162</v>
      </c>
      <c r="E39" s="120"/>
      <c r="F39" s="141">
        <v>26</v>
      </c>
      <c r="G39" s="121">
        <v>330</v>
      </c>
      <c r="H39" s="65">
        <f t="shared" si="3"/>
        <v>8.58</v>
      </c>
      <c r="I39" s="13">
        <v>0</v>
      </c>
      <c r="J39" s="23"/>
      <c r="L39" s="19"/>
      <c r="M39" s="20"/>
      <c r="N39" s="21"/>
    </row>
    <row r="40" spans="1:14" ht="15.75" customHeight="1">
      <c r="A40" s="29">
        <v>9</v>
      </c>
      <c r="B40" s="115" t="s">
        <v>69</v>
      </c>
      <c r="C40" s="116" t="s">
        <v>29</v>
      </c>
      <c r="D40" s="115" t="s">
        <v>173</v>
      </c>
      <c r="E40" s="121">
        <v>260.13</v>
      </c>
      <c r="F40" s="141">
        <f>SUM(E40*155/1000)</f>
        <v>40.320149999999998</v>
      </c>
      <c r="G40" s="121">
        <v>502.82</v>
      </c>
      <c r="H40" s="65">
        <f t="shared" si="3"/>
        <v>20.273777823</v>
      </c>
      <c r="I40" s="13">
        <f>F40/6*G40</f>
        <v>3378.9629704999998</v>
      </c>
      <c r="J40" s="23"/>
      <c r="L40" s="19"/>
      <c r="M40" s="20"/>
      <c r="N40" s="21"/>
    </row>
    <row r="41" spans="1:14" ht="47.25" customHeight="1">
      <c r="A41" s="29">
        <v>10</v>
      </c>
      <c r="B41" s="115" t="s">
        <v>82</v>
      </c>
      <c r="C41" s="116" t="s">
        <v>105</v>
      </c>
      <c r="D41" s="115" t="s">
        <v>178</v>
      </c>
      <c r="E41" s="121">
        <v>132.72999999999999</v>
      </c>
      <c r="F41" s="141">
        <f>SUM(E41*24/1000)</f>
        <v>3.1855199999999995</v>
      </c>
      <c r="G41" s="121">
        <v>8319.2999999999993</v>
      </c>
      <c r="H41" s="65">
        <f t="shared" si="3"/>
        <v>26.501296535999995</v>
      </c>
      <c r="I41" s="13">
        <f>F41/6*G41</f>
        <v>4416.8827559999991</v>
      </c>
      <c r="J41" s="23"/>
      <c r="L41" s="19"/>
      <c r="M41" s="20"/>
      <c r="N41" s="21"/>
    </row>
    <row r="42" spans="1:14" ht="15.75" hidden="1" customHeight="1">
      <c r="A42" s="29">
        <v>10</v>
      </c>
      <c r="B42" s="115" t="s">
        <v>113</v>
      </c>
      <c r="C42" s="116" t="s">
        <v>105</v>
      </c>
      <c r="D42" s="115" t="s">
        <v>169</v>
      </c>
      <c r="E42" s="121">
        <v>254.8</v>
      </c>
      <c r="F42" s="141">
        <f>SUM(E42*15/1000)</f>
        <v>3.8220000000000001</v>
      </c>
      <c r="G42" s="121">
        <v>614.55999999999995</v>
      </c>
      <c r="H42" s="65">
        <f t="shared" si="3"/>
        <v>2.3488483200000001</v>
      </c>
      <c r="I42" s="13">
        <f>F42/7.5*G42</f>
        <v>313.179776</v>
      </c>
      <c r="J42" s="23"/>
      <c r="L42" s="19"/>
      <c r="M42" s="20"/>
      <c r="N42" s="21"/>
    </row>
    <row r="43" spans="1:14" ht="15.75" hidden="1" customHeight="1">
      <c r="A43" s="29">
        <v>11</v>
      </c>
      <c r="B43" s="138" t="s">
        <v>71</v>
      </c>
      <c r="C43" s="139" t="s">
        <v>33</v>
      </c>
      <c r="D43" s="138"/>
      <c r="E43" s="140"/>
      <c r="F43" s="141">
        <v>0.9</v>
      </c>
      <c r="G43" s="141">
        <v>800</v>
      </c>
      <c r="H43" s="65">
        <f t="shared" si="3"/>
        <v>0.72</v>
      </c>
      <c r="I43" s="13">
        <f>F43/7.5*G43</f>
        <v>96.000000000000014</v>
      </c>
      <c r="J43" s="23"/>
      <c r="L43" s="19"/>
      <c r="M43" s="20"/>
      <c r="N43" s="21"/>
    </row>
    <row r="44" spans="1:14" ht="30" customHeight="1">
      <c r="A44" s="136">
        <v>11</v>
      </c>
      <c r="B44" s="138" t="s">
        <v>185</v>
      </c>
      <c r="C44" s="139" t="s">
        <v>105</v>
      </c>
      <c r="D44" s="138" t="s">
        <v>187</v>
      </c>
      <c r="E44" s="140">
        <v>3.6</v>
      </c>
      <c r="F44" s="141">
        <f>E44*12/1000</f>
        <v>4.3200000000000002E-2</v>
      </c>
      <c r="G44" s="141">
        <v>19757.060000000001</v>
      </c>
      <c r="H44" s="56"/>
      <c r="I44" s="137">
        <f>G44*F44/6</f>
        <v>142.25083200000003</v>
      </c>
      <c r="J44" s="23"/>
      <c r="L44" s="19"/>
      <c r="M44" s="20"/>
      <c r="N44" s="21"/>
    </row>
    <row r="45" spans="1:14" ht="15.75" customHeight="1">
      <c r="A45" s="182" t="s">
        <v>131</v>
      </c>
      <c r="B45" s="183"/>
      <c r="C45" s="183"/>
      <c r="D45" s="183"/>
      <c r="E45" s="183"/>
      <c r="F45" s="183"/>
      <c r="G45" s="183"/>
      <c r="H45" s="183"/>
      <c r="I45" s="184"/>
      <c r="J45" s="23"/>
      <c r="L45" s="19"/>
      <c r="M45" s="20"/>
      <c r="N45" s="21"/>
    </row>
    <row r="46" spans="1:14" ht="15.75" hidden="1" customHeight="1">
      <c r="A46" s="29"/>
      <c r="B46" s="62" t="s">
        <v>128</v>
      </c>
      <c r="C46" s="63" t="s">
        <v>105</v>
      </c>
      <c r="D46" s="62" t="s">
        <v>43</v>
      </c>
      <c r="E46" s="48">
        <v>1795.9</v>
      </c>
      <c r="F46" s="64">
        <f>SUM(E46*2/1000)</f>
        <v>3.5918000000000001</v>
      </c>
      <c r="G46" s="13">
        <v>865.61</v>
      </c>
      <c r="H46" s="65">
        <f t="shared" ref="H46:H55" si="4">SUM(F46*G46/1000)</f>
        <v>3.1090979980000002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36</v>
      </c>
      <c r="C47" s="63" t="s">
        <v>105</v>
      </c>
      <c r="D47" s="62" t="s">
        <v>43</v>
      </c>
      <c r="E47" s="48">
        <v>104</v>
      </c>
      <c r="F47" s="64">
        <f>SUM(E47*2/1000)</f>
        <v>0.20799999999999999</v>
      </c>
      <c r="G47" s="13">
        <v>619.46</v>
      </c>
      <c r="H47" s="65">
        <f t="shared" si="4"/>
        <v>0.12884767999999999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37</v>
      </c>
      <c r="C48" s="63" t="s">
        <v>105</v>
      </c>
      <c r="D48" s="62" t="s">
        <v>43</v>
      </c>
      <c r="E48" s="48">
        <v>1996.87</v>
      </c>
      <c r="F48" s="64">
        <f>SUM(E48*2/1000)</f>
        <v>3.9937399999999998</v>
      </c>
      <c r="G48" s="13">
        <v>619.46</v>
      </c>
      <c r="H48" s="65">
        <f t="shared" si="4"/>
        <v>2.4739621804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38</v>
      </c>
      <c r="C49" s="63" t="s">
        <v>105</v>
      </c>
      <c r="D49" s="62" t="s">
        <v>43</v>
      </c>
      <c r="E49" s="48">
        <v>2630.35</v>
      </c>
      <c r="F49" s="64">
        <f>SUM(E49*2/1000)</f>
        <v>5.2606999999999999</v>
      </c>
      <c r="G49" s="13">
        <v>648.64</v>
      </c>
      <c r="H49" s="65">
        <f t="shared" si="4"/>
        <v>3.4123004479999999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2" t="s">
        <v>34</v>
      </c>
      <c r="C50" s="63" t="s">
        <v>35</v>
      </c>
      <c r="D50" s="62" t="s">
        <v>43</v>
      </c>
      <c r="E50" s="48">
        <v>131.47</v>
      </c>
      <c r="F50" s="64">
        <f>SUM(E50*2/100)</f>
        <v>2.6294</v>
      </c>
      <c r="G50" s="13">
        <v>77.84</v>
      </c>
      <c r="H50" s="65">
        <f t="shared" si="4"/>
        <v>0.20467249599999998</v>
      </c>
      <c r="I50" s="13">
        <v>0</v>
      </c>
      <c r="J50" s="23"/>
      <c r="L50" s="19"/>
      <c r="M50" s="20"/>
      <c r="N50" s="21"/>
    </row>
    <row r="51" spans="1:22" ht="15.75" customHeight="1">
      <c r="A51" s="29">
        <v>12</v>
      </c>
      <c r="B51" s="62" t="s">
        <v>58</v>
      </c>
      <c r="C51" s="63" t="s">
        <v>105</v>
      </c>
      <c r="D51" s="62" t="s">
        <v>170</v>
      </c>
      <c r="E51" s="48">
        <v>2872.4</v>
      </c>
      <c r="F51" s="64">
        <f>SUM(E51*5/1000)</f>
        <v>14.362</v>
      </c>
      <c r="G51" s="112">
        <v>1739.68</v>
      </c>
      <c r="H51" s="65">
        <f t="shared" si="4"/>
        <v>24.985284160000003</v>
      </c>
      <c r="I51" s="13">
        <f>F51/5*G51</f>
        <v>4997.0568320000002</v>
      </c>
      <c r="J51" s="23"/>
      <c r="L51" s="19"/>
      <c r="M51" s="20"/>
      <c r="N51" s="21"/>
    </row>
    <row r="52" spans="1:22" ht="31.5" hidden="1" customHeight="1">
      <c r="A52" s="29"/>
      <c r="B52" s="62" t="s">
        <v>114</v>
      </c>
      <c r="C52" s="63" t="s">
        <v>105</v>
      </c>
      <c r="D52" s="62" t="s">
        <v>43</v>
      </c>
      <c r="E52" s="48">
        <v>2872.4</v>
      </c>
      <c r="F52" s="64">
        <f>SUM(E52*2/1000)</f>
        <v>5.7448000000000006</v>
      </c>
      <c r="G52" s="13">
        <v>1297.28</v>
      </c>
      <c r="H52" s="65">
        <f t="shared" si="4"/>
        <v>7.4526141440000009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2" t="s">
        <v>115</v>
      </c>
      <c r="C53" s="63" t="s">
        <v>39</v>
      </c>
      <c r="D53" s="62" t="s">
        <v>43</v>
      </c>
      <c r="E53" s="48">
        <v>40</v>
      </c>
      <c r="F53" s="64">
        <f>SUM(E53*2/100)</f>
        <v>0.8</v>
      </c>
      <c r="G53" s="13">
        <v>2918.89</v>
      </c>
      <c r="H53" s="65">
        <f t="shared" si="4"/>
        <v>2.3351120000000001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/>
      <c r="B54" s="62" t="s">
        <v>40</v>
      </c>
      <c r="C54" s="63" t="s">
        <v>41</v>
      </c>
      <c r="D54" s="62" t="s">
        <v>43</v>
      </c>
      <c r="E54" s="48">
        <v>1</v>
      </c>
      <c r="F54" s="64">
        <v>0.02</v>
      </c>
      <c r="G54" s="13">
        <v>6042.12</v>
      </c>
      <c r="H54" s="65">
        <f t="shared" si="4"/>
        <v>0.1208424</v>
      </c>
      <c r="I54" s="13">
        <v>0</v>
      </c>
      <c r="J54" s="23"/>
      <c r="L54" s="19"/>
      <c r="M54" s="20"/>
      <c r="N54" s="21"/>
    </row>
    <row r="55" spans="1:22" ht="15.75" hidden="1" customHeight="1">
      <c r="A55" s="29">
        <v>13</v>
      </c>
      <c r="B55" s="62" t="s">
        <v>42</v>
      </c>
      <c r="C55" s="63" t="s">
        <v>30</v>
      </c>
      <c r="D55" s="123">
        <v>43515</v>
      </c>
      <c r="E55" s="48">
        <v>160</v>
      </c>
      <c r="F55" s="64">
        <f>SUM(E55)*3</f>
        <v>480</v>
      </c>
      <c r="G55" s="13">
        <v>70.209999999999994</v>
      </c>
      <c r="H55" s="65">
        <f t="shared" si="4"/>
        <v>33.700799999999994</v>
      </c>
      <c r="I55" s="13">
        <f>E55*G55</f>
        <v>11233.599999999999</v>
      </c>
      <c r="J55" s="23"/>
      <c r="L55" s="19"/>
      <c r="M55" s="20"/>
      <c r="N55" s="21"/>
    </row>
    <row r="56" spans="1:22" ht="15.75" customHeight="1">
      <c r="A56" s="182" t="s">
        <v>132</v>
      </c>
      <c r="B56" s="183"/>
      <c r="C56" s="183"/>
      <c r="D56" s="183"/>
      <c r="E56" s="183"/>
      <c r="F56" s="183"/>
      <c r="G56" s="183"/>
      <c r="H56" s="183"/>
      <c r="I56" s="184"/>
      <c r="J56" s="23"/>
      <c r="L56" s="19"/>
      <c r="M56" s="20"/>
      <c r="N56" s="21"/>
    </row>
    <row r="57" spans="1:22" ht="15.75" customHeight="1">
      <c r="A57" s="29"/>
      <c r="B57" s="83" t="s">
        <v>44</v>
      </c>
      <c r="C57" s="63"/>
      <c r="D57" s="62"/>
      <c r="E57" s="48"/>
      <c r="F57" s="64"/>
      <c r="G57" s="64"/>
      <c r="H57" s="65"/>
      <c r="I57" s="13"/>
      <c r="J57" s="23"/>
      <c r="L57" s="19"/>
      <c r="M57" s="20"/>
      <c r="N57" s="21"/>
    </row>
    <row r="58" spans="1:22" ht="36.75" customHeight="1">
      <c r="A58" s="29">
        <v>13</v>
      </c>
      <c r="B58" s="115" t="s">
        <v>117</v>
      </c>
      <c r="C58" s="116" t="s">
        <v>98</v>
      </c>
      <c r="D58" s="115"/>
      <c r="E58" s="120">
        <v>239.59</v>
      </c>
      <c r="F58" s="121">
        <f>E58*6/100</f>
        <v>14.375399999999999</v>
      </c>
      <c r="G58" s="145">
        <v>2218.11</v>
      </c>
      <c r="H58" s="65">
        <f>F58*G58/1000</f>
        <v>31.886218494000001</v>
      </c>
      <c r="I58" s="13">
        <f>G58*1.19</f>
        <v>2639.5509000000002</v>
      </c>
      <c r="J58" s="23"/>
      <c r="L58" s="19"/>
      <c r="M58" s="20"/>
      <c r="N58" s="21"/>
    </row>
    <row r="59" spans="1:22" ht="15" customHeight="1">
      <c r="A59" s="29">
        <v>14</v>
      </c>
      <c r="B59" s="99" t="s">
        <v>86</v>
      </c>
      <c r="C59" s="100" t="s">
        <v>156</v>
      </c>
      <c r="D59" s="99" t="s">
        <v>221</v>
      </c>
      <c r="E59" s="101">
        <v>2</v>
      </c>
      <c r="F59" s="102">
        <v>2</v>
      </c>
      <c r="G59" s="106">
        <v>1730</v>
      </c>
      <c r="H59" s="78"/>
      <c r="I59" s="13">
        <f>G59*7.5</f>
        <v>12975</v>
      </c>
      <c r="J59" s="23"/>
      <c r="L59" s="19"/>
      <c r="M59" s="20"/>
      <c r="N59" s="21"/>
    </row>
    <row r="60" spans="1:22" ht="15.75" customHeight="1">
      <c r="A60" s="29"/>
      <c r="B60" s="84" t="s">
        <v>45</v>
      </c>
      <c r="C60" s="72"/>
      <c r="D60" s="73"/>
      <c r="E60" s="74"/>
      <c r="F60" s="76"/>
      <c r="G60" s="13"/>
      <c r="H60" s="78"/>
      <c r="I60" s="13"/>
      <c r="J60" s="23"/>
      <c r="L60" s="19"/>
      <c r="M60" s="20"/>
      <c r="N60" s="21"/>
    </row>
    <row r="61" spans="1:22" ht="17.25" hidden="1" customHeight="1">
      <c r="A61" s="29"/>
      <c r="B61" s="73" t="s">
        <v>46</v>
      </c>
      <c r="C61" s="72" t="s">
        <v>55</v>
      </c>
      <c r="D61" s="73" t="s">
        <v>56</v>
      </c>
      <c r="E61" s="74">
        <v>2686</v>
      </c>
      <c r="F61" s="76">
        <f>E61/100</f>
        <v>26.86</v>
      </c>
      <c r="G61" s="13">
        <v>848.37</v>
      </c>
      <c r="H61" s="78">
        <f>G61*F61/1000</f>
        <v>22.787218199999998</v>
      </c>
      <c r="I61" s="13">
        <v>0</v>
      </c>
      <c r="J61" s="23"/>
      <c r="L61" s="19"/>
    </row>
    <row r="62" spans="1:22" ht="15.75" customHeight="1">
      <c r="A62" s="29">
        <v>15</v>
      </c>
      <c r="B62" s="99" t="s">
        <v>92</v>
      </c>
      <c r="C62" s="100" t="s">
        <v>25</v>
      </c>
      <c r="D62" s="99" t="s">
        <v>164</v>
      </c>
      <c r="E62" s="101">
        <v>200</v>
      </c>
      <c r="F62" s="102">
        <v>2400</v>
      </c>
      <c r="G62" s="103">
        <v>1.4</v>
      </c>
      <c r="H62" s="104">
        <f>F62*G62</f>
        <v>3360</v>
      </c>
      <c r="I62" s="13">
        <f>F62/12*G62</f>
        <v>280</v>
      </c>
    </row>
    <row r="63" spans="1:22" ht="15.75" hidden="1" customHeight="1">
      <c r="A63" s="29"/>
      <c r="B63" s="84" t="s">
        <v>47</v>
      </c>
      <c r="C63" s="72"/>
      <c r="D63" s="73"/>
      <c r="E63" s="74"/>
      <c r="F63" s="75"/>
      <c r="G63" s="75"/>
      <c r="H63" s="76" t="s">
        <v>124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29"/>
      <c r="B64" s="14" t="s">
        <v>48</v>
      </c>
      <c r="C64" s="16" t="s">
        <v>116</v>
      </c>
      <c r="D64" s="73" t="s">
        <v>68</v>
      </c>
      <c r="E64" s="18">
        <v>15</v>
      </c>
      <c r="F64" s="64">
        <v>15</v>
      </c>
      <c r="G64" s="13">
        <v>237.74</v>
      </c>
      <c r="H64" s="79">
        <f t="shared" ref="H64:H80" si="5">SUM(F64*G64/1000)</f>
        <v>3.5661000000000005</v>
      </c>
      <c r="I64" s="13">
        <v>0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29"/>
      <c r="B65" s="14" t="s">
        <v>49</v>
      </c>
      <c r="C65" s="16" t="s">
        <v>116</v>
      </c>
      <c r="D65" s="73" t="s">
        <v>68</v>
      </c>
      <c r="E65" s="18">
        <v>5</v>
      </c>
      <c r="F65" s="64">
        <v>5</v>
      </c>
      <c r="G65" s="13">
        <v>81.510000000000005</v>
      </c>
      <c r="H65" s="79">
        <f t="shared" si="5"/>
        <v>0.40755000000000002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/>
      <c r="B66" s="14" t="s">
        <v>50</v>
      </c>
      <c r="C66" s="16" t="s">
        <v>118</v>
      </c>
      <c r="D66" s="14" t="s">
        <v>56</v>
      </c>
      <c r="E66" s="48">
        <v>24123</v>
      </c>
      <c r="F66" s="13">
        <f>SUM(E66/100)</f>
        <v>241.23</v>
      </c>
      <c r="G66" s="13">
        <v>226.79</v>
      </c>
      <c r="H66" s="79">
        <f t="shared" si="5"/>
        <v>54.708551699999994</v>
      </c>
      <c r="I66" s="13">
        <f>F66*G66</f>
        <v>54708.551699999996</v>
      </c>
      <c r="J66" s="5"/>
      <c r="K66" s="5"/>
      <c r="L66" s="5"/>
      <c r="M66" s="5"/>
      <c r="N66" s="5"/>
      <c r="O66" s="5"/>
      <c r="P66" s="5"/>
      <c r="Q66" s="5"/>
      <c r="R66" s="178"/>
      <c r="S66" s="178"/>
      <c r="T66" s="178"/>
      <c r="U66" s="178"/>
    </row>
    <row r="67" spans="1:21" ht="15.75" hidden="1" customHeight="1">
      <c r="A67" s="29"/>
      <c r="B67" s="14" t="s">
        <v>51</v>
      </c>
      <c r="C67" s="16" t="s">
        <v>119</v>
      </c>
      <c r="D67" s="14"/>
      <c r="E67" s="48">
        <v>24123</v>
      </c>
      <c r="F67" s="13">
        <f>SUM(E67/1000)</f>
        <v>24.123000000000001</v>
      </c>
      <c r="G67" s="13">
        <v>176.61</v>
      </c>
      <c r="H67" s="79">
        <f t="shared" si="5"/>
        <v>4.2603630300000006</v>
      </c>
      <c r="I67" s="13">
        <f t="shared" ref="I67:I71" si="6">F67*G67</f>
        <v>4260.3630300000004</v>
      </c>
    </row>
    <row r="68" spans="1:21" ht="15.75" hidden="1" customHeight="1">
      <c r="A68" s="29"/>
      <c r="B68" s="14" t="s">
        <v>52</v>
      </c>
      <c r="C68" s="16" t="s">
        <v>78</v>
      </c>
      <c r="D68" s="14" t="s">
        <v>56</v>
      </c>
      <c r="E68" s="48">
        <v>2730</v>
      </c>
      <c r="F68" s="13">
        <f>SUM(E68/100)</f>
        <v>27.3</v>
      </c>
      <c r="G68" s="13">
        <v>2217.7800000000002</v>
      </c>
      <c r="H68" s="79">
        <f t="shared" si="5"/>
        <v>60.545394000000009</v>
      </c>
      <c r="I68" s="13">
        <f t="shared" si="6"/>
        <v>60545.394000000008</v>
      </c>
    </row>
    <row r="69" spans="1:21" ht="15.75" hidden="1" customHeight="1">
      <c r="A69" s="29"/>
      <c r="B69" s="80" t="s">
        <v>120</v>
      </c>
      <c r="C69" s="16" t="s">
        <v>33</v>
      </c>
      <c r="D69" s="14"/>
      <c r="E69" s="48">
        <v>23</v>
      </c>
      <c r="F69" s="13">
        <f>SUM(E69)</f>
        <v>23</v>
      </c>
      <c r="G69" s="13">
        <v>42.67</v>
      </c>
      <c r="H69" s="79">
        <f t="shared" si="5"/>
        <v>0.98141000000000012</v>
      </c>
      <c r="I69" s="13">
        <f t="shared" si="6"/>
        <v>981.41000000000008</v>
      </c>
    </row>
    <row r="70" spans="1:21" ht="15.75" hidden="1" customHeight="1">
      <c r="A70" s="29"/>
      <c r="B70" s="80" t="s">
        <v>121</v>
      </c>
      <c r="C70" s="16" t="s">
        <v>33</v>
      </c>
      <c r="D70" s="14"/>
      <c r="E70" s="48">
        <v>23</v>
      </c>
      <c r="F70" s="13">
        <f>SUM(E70)</f>
        <v>23</v>
      </c>
      <c r="G70" s="13">
        <v>39.81</v>
      </c>
      <c r="H70" s="79">
        <f t="shared" si="5"/>
        <v>0.91563000000000005</v>
      </c>
      <c r="I70" s="13">
        <f t="shared" si="6"/>
        <v>915.63000000000011</v>
      </c>
    </row>
    <row r="71" spans="1:21" ht="15.75" hidden="1" customHeight="1">
      <c r="A71" s="29"/>
      <c r="B71" s="14" t="s">
        <v>59</v>
      </c>
      <c r="C71" s="16" t="s">
        <v>60</v>
      </c>
      <c r="D71" s="14" t="s">
        <v>56</v>
      </c>
      <c r="E71" s="18">
        <v>10</v>
      </c>
      <c r="F71" s="64">
        <f>SUM(E71)</f>
        <v>10</v>
      </c>
      <c r="G71" s="13">
        <v>53.32</v>
      </c>
      <c r="H71" s="79">
        <f t="shared" si="5"/>
        <v>0.53320000000000001</v>
      </c>
      <c r="I71" s="13">
        <f t="shared" si="6"/>
        <v>533.20000000000005</v>
      </c>
    </row>
    <row r="72" spans="1:21" ht="15.75" customHeight="1">
      <c r="A72" s="29"/>
      <c r="B72" s="148" t="s">
        <v>182</v>
      </c>
      <c r="C72" s="16"/>
      <c r="D72" s="14"/>
      <c r="E72" s="18"/>
      <c r="F72" s="13"/>
      <c r="G72" s="13"/>
      <c r="H72" s="13"/>
      <c r="I72" s="13"/>
    </row>
    <row r="73" spans="1:21" ht="33" customHeight="1">
      <c r="A73" s="29">
        <v>16</v>
      </c>
      <c r="B73" s="97" t="s">
        <v>183</v>
      </c>
      <c r="C73" s="126" t="s">
        <v>184</v>
      </c>
      <c r="D73" s="127"/>
      <c r="E73" s="128">
        <v>4591.2</v>
      </c>
      <c r="F73" s="129">
        <f>E73*12</f>
        <v>55094.399999999994</v>
      </c>
      <c r="G73" s="129">
        <v>2.4900000000000002</v>
      </c>
      <c r="H73" s="13"/>
      <c r="I73" s="13">
        <f>G73*F73/12</f>
        <v>11432.088000000002</v>
      </c>
    </row>
    <row r="74" spans="1:21" ht="15.75" customHeight="1">
      <c r="A74" s="29"/>
      <c r="B74" s="54" t="s">
        <v>74</v>
      </c>
      <c r="C74" s="16"/>
      <c r="D74" s="14"/>
      <c r="E74" s="18"/>
      <c r="F74" s="13"/>
      <c r="G74" s="13"/>
      <c r="H74" s="79" t="s">
        <v>124</v>
      </c>
      <c r="I74" s="13"/>
    </row>
    <row r="75" spans="1:21" ht="15.75" hidden="1" customHeight="1">
      <c r="A75" s="29">
        <v>17</v>
      </c>
      <c r="B75" s="14" t="s">
        <v>75</v>
      </c>
      <c r="C75" s="16" t="s">
        <v>31</v>
      </c>
      <c r="D75" s="14"/>
      <c r="E75" s="18">
        <v>2</v>
      </c>
      <c r="F75" s="56">
        <v>0.2</v>
      </c>
      <c r="G75" s="112">
        <v>719.08</v>
      </c>
      <c r="H75" s="79">
        <v>0.251</v>
      </c>
      <c r="I75" s="13">
        <f>G75*0.7</f>
        <v>503.35599999999999</v>
      </c>
    </row>
    <row r="76" spans="1:21" ht="15.75" hidden="1" customHeight="1">
      <c r="A76" s="29"/>
      <c r="B76" s="14" t="s">
        <v>87</v>
      </c>
      <c r="C76" s="16" t="s">
        <v>30</v>
      </c>
      <c r="D76" s="14"/>
      <c r="E76" s="18">
        <v>1</v>
      </c>
      <c r="F76" s="64">
        <f>SUM(E76)</f>
        <v>1</v>
      </c>
      <c r="G76" s="13">
        <v>383.25</v>
      </c>
      <c r="H76" s="79">
        <f t="shared" si="5"/>
        <v>0.38324999999999998</v>
      </c>
      <c r="I76" s="13">
        <v>0</v>
      </c>
    </row>
    <row r="77" spans="1:21" ht="15.75" hidden="1" customHeight="1">
      <c r="A77" s="29"/>
      <c r="B77" s="14" t="s">
        <v>76</v>
      </c>
      <c r="C77" s="16" t="s">
        <v>30</v>
      </c>
      <c r="D77" s="14"/>
      <c r="E77" s="18">
        <v>2</v>
      </c>
      <c r="F77" s="13">
        <v>2</v>
      </c>
      <c r="G77" s="13">
        <v>911.85</v>
      </c>
      <c r="H77" s="79">
        <f>F77*G77/1000</f>
        <v>1.8237000000000001</v>
      </c>
      <c r="I77" s="13">
        <v>0</v>
      </c>
    </row>
    <row r="78" spans="1:21" ht="34.5" customHeight="1">
      <c r="A78" s="29">
        <v>17</v>
      </c>
      <c r="B78" s="97" t="s">
        <v>179</v>
      </c>
      <c r="C78" s="114" t="s">
        <v>30</v>
      </c>
      <c r="D78" s="97" t="s">
        <v>164</v>
      </c>
      <c r="E78" s="17">
        <v>2</v>
      </c>
      <c r="F78" s="34">
        <f>E78*12</f>
        <v>24</v>
      </c>
      <c r="G78" s="34">
        <v>404</v>
      </c>
      <c r="H78" s="79"/>
      <c r="I78" s="13">
        <f>G78*2</f>
        <v>808</v>
      </c>
    </row>
    <row r="79" spans="1:21" ht="15.75" hidden="1" customHeight="1">
      <c r="A79" s="29"/>
      <c r="B79" s="81" t="s">
        <v>77</v>
      </c>
      <c r="C79" s="16"/>
      <c r="D79" s="14"/>
      <c r="E79" s="18"/>
      <c r="F79" s="13"/>
      <c r="G79" s="13" t="s">
        <v>124</v>
      </c>
      <c r="H79" s="79" t="s">
        <v>124</v>
      </c>
      <c r="I79" s="13"/>
    </row>
    <row r="80" spans="1:21" ht="15.75" hidden="1" customHeight="1">
      <c r="A80" s="29"/>
      <c r="B80" s="44" t="s">
        <v>125</v>
      </c>
      <c r="C80" s="16" t="s">
        <v>78</v>
      </c>
      <c r="D80" s="14"/>
      <c r="E80" s="18"/>
      <c r="F80" s="13">
        <v>1.35</v>
      </c>
      <c r="G80" s="13">
        <v>2949.85</v>
      </c>
      <c r="H80" s="79">
        <f t="shared" si="5"/>
        <v>3.9822975</v>
      </c>
      <c r="I80" s="13">
        <v>0</v>
      </c>
    </row>
    <row r="81" spans="1:9" ht="15.75" hidden="1" customHeight="1">
      <c r="A81" s="29"/>
      <c r="B81" s="67" t="s">
        <v>122</v>
      </c>
      <c r="C81" s="81"/>
      <c r="D81" s="31"/>
      <c r="E81" s="32"/>
      <c r="F81" s="68"/>
      <c r="G81" s="68"/>
      <c r="H81" s="82">
        <f>SUM(H58:H80)</f>
        <v>3547.031882924</v>
      </c>
      <c r="I81" s="68"/>
    </row>
    <row r="82" spans="1:9" ht="15.75" hidden="1" customHeight="1">
      <c r="A82" s="29">
        <v>16</v>
      </c>
      <c r="B82" s="62" t="s">
        <v>123</v>
      </c>
      <c r="C82" s="16"/>
      <c r="D82" s="14"/>
      <c r="E82" s="57"/>
      <c r="F82" s="13">
        <v>1</v>
      </c>
      <c r="G82" s="35">
        <v>22218.400000000001</v>
      </c>
      <c r="H82" s="79">
        <f>G82*F82/1000</f>
        <v>22.218400000000003</v>
      </c>
      <c r="I82" s="13">
        <v>5810.4</v>
      </c>
    </row>
    <row r="83" spans="1:9" ht="15.75" customHeight="1">
      <c r="A83" s="191" t="s">
        <v>133</v>
      </c>
      <c r="B83" s="192"/>
      <c r="C83" s="192"/>
      <c r="D83" s="192"/>
      <c r="E83" s="192"/>
      <c r="F83" s="192"/>
      <c r="G83" s="192"/>
      <c r="H83" s="192"/>
      <c r="I83" s="193"/>
    </row>
    <row r="84" spans="1:9" ht="15.75" customHeight="1">
      <c r="A84" s="29">
        <v>18</v>
      </c>
      <c r="B84" s="97" t="s">
        <v>126</v>
      </c>
      <c r="C84" s="114" t="s">
        <v>57</v>
      </c>
      <c r="D84" s="130"/>
      <c r="E84" s="34">
        <v>4591.2</v>
      </c>
      <c r="F84" s="34">
        <f>SUM(E84*12)</f>
        <v>55094.399999999994</v>
      </c>
      <c r="G84" s="34">
        <v>3.38</v>
      </c>
      <c r="H84" s="79">
        <f>SUM(F84*G84/1000)</f>
        <v>186.21907199999998</v>
      </c>
      <c r="I84" s="13">
        <f>F84/12*G84</f>
        <v>15518.255999999999</v>
      </c>
    </row>
    <row r="85" spans="1:9" ht="31.5" customHeight="1">
      <c r="A85" s="29">
        <v>19</v>
      </c>
      <c r="B85" s="131" t="s">
        <v>180</v>
      </c>
      <c r="C85" s="132" t="s">
        <v>25</v>
      </c>
      <c r="D85" s="133"/>
      <c r="E85" s="134">
        <f>E84</f>
        <v>4591.2</v>
      </c>
      <c r="F85" s="119">
        <f>E85*12</f>
        <v>55094.399999999994</v>
      </c>
      <c r="G85" s="119">
        <v>3.05</v>
      </c>
      <c r="H85" s="79">
        <f>F85*G85/1000</f>
        <v>168.03791999999999</v>
      </c>
      <c r="I85" s="13">
        <f>F85/12*G85</f>
        <v>14003.159999999998</v>
      </c>
    </row>
    <row r="86" spans="1:9" ht="15.75" customHeight="1">
      <c r="A86" s="45"/>
      <c r="B86" s="36" t="s">
        <v>80</v>
      </c>
      <c r="C86" s="37"/>
      <c r="D86" s="15"/>
      <c r="E86" s="15"/>
      <c r="F86" s="15"/>
      <c r="G86" s="18"/>
      <c r="H86" s="18"/>
      <c r="I86" s="32">
        <f>I85+I84+I78+I73+I62+I59+I58+I51+I44+I41+I40+I38+I37+I26+I21+I20+I18+I17+I16</f>
        <v>95241.835241833323</v>
      </c>
    </row>
    <row r="87" spans="1:9" ht="15.75" customHeight="1">
      <c r="A87" s="188" t="s">
        <v>62</v>
      </c>
      <c r="B87" s="189"/>
      <c r="C87" s="189"/>
      <c r="D87" s="189"/>
      <c r="E87" s="189"/>
      <c r="F87" s="189"/>
      <c r="G87" s="189"/>
      <c r="H87" s="189"/>
      <c r="I87" s="190"/>
    </row>
    <row r="88" spans="1:9" ht="20.25" customHeight="1">
      <c r="A88" s="29">
        <v>20</v>
      </c>
      <c r="B88" s="95" t="s">
        <v>155</v>
      </c>
      <c r="C88" s="114" t="s">
        <v>159</v>
      </c>
      <c r="D88" s="95" t="s">
        <v>227</v>
      </c>
      <c r="E88" s="34"/>
      <c r="F88" s="34">
        <v>20</v>
      </c>
      <c r="G88" s="34">
        <v>295.36</v>
      </c>
      <c r="H88" s="94"/>
      <c r="I88" s="13">
        <v>0</v>
      </c>
    </row>
    <row r="89" spans="1:9" ht="32.25" customHeight="1">
      <c r="A89" s="29">
        <v>21</v>
      </c>
      <c r="B89" s="92" t="s">
        <v>208</v>
      </c>
      <c r="C89" s="93" t="s">
        <v>83</v>
      </c>
      <c r="D89" s="97" t="s">
        <v>228</v>
      </c>
      <c r="E89" s="34"/>
      <c r="F89" s="34">
        <v>2</v>
      </c>
      <c r="G89" s="34">
        <v>231.54</v>
      </c>
      <c r="H89" s="94"/>
      <c r="I89" s="13">
        <f>G89*1</f>
        <v>231.54</v>
      </c>
    </row>
    <row r="90" spans="1:9" ht="20.25" customHeight="1">
      <c r="A90" s="29">
        <v>22</v>
      </c>
      <c r="B90" s="92" t="s">
        <v>222</v>
      </c>
      <c r="C90" s="93"/>
      <c r="D90" s="95" t="s">
        <v>226</v>
      </c>
      <c r="E90" s="34"/>
      <c r="F90" s="34">
        <v>8</v>
      </c>
      <c r="G90" s="34">
        <v>1500</v>
      </c>
      <c r="H90" s="94"/>
      <c r="I90" s="13">
        <f>G90*8</f>
        <v>12000</v>
      </c>
    </row>
    <row r="91" spans="1:9" ht="31.5" customHeight="1">
      <c r="A91" s="29">
        <v>23</v>
      </c>
      <c r="B91" s="98" t="s">
        <v>223</v>
      </c>
      <c r="C91" s="37" t="s">
        <v>224</v>
      </c>
      <c r="D91" s="95" t="s">
        <v>225</v>
      </c>
      <c r="E91" s="34"/>
      <c r="F91" s="34">
        <v>1</v>
      </c>
      <c r="G91" s="34">
        <v>477.25</v>
      </c>
      <c r="H91" s="94"/>
      <c r="I91" s="13">
        <f>G91*1</f>
        <v>477.25</v>
      </c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SUM(I88:I91)</f>
        <v>12708.79</v>
      </c>
    </row>
    <row r="93" spans="1:9" ht="15.75" customHeight="1">
      <c r="A93" s="29"/>
      <c r="B93" s="44" t="s">
        <v>79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154</v>
      </c>
      <c r="C94" s="33"/>
      <c r="D94" s="33"/>
      <c r="E94" s="33"/>
      <c r="F94" s="33"/>
      <c r="G94" s="33"/>
      <c r="H94" s="33"/>
      <c r="I94" s="41">
        <f>I86+I92</f>
        <v>107950.62524183333</v>
      </c>
    </row>
    <row r="95" spans="1:9" ht="15.75" customHeight="1">
      <c r="A95" s="185" t="s">
        <v>229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55"/>
      <c r="B96" s="186" t="s">
        <v>230</v>
      </c>
      <c r="C96" s="186"/>
      <c r="D96" s="186"/>
      <c r="E96" s="186"/>
      <c r="F96" s="186"/>
      <c r="G96" s="186"/>
      <c r="H96" s="61"/>
      <c r="I96" s="3"/>
    </row>
    <row r="97" spans="1:9" ht="15.75" customHeight="1">
      <c r="A97" s="49"/>
      <c r="B97" s="176" t="s">
        <v>6</v>
      </c>
      <c r="C97" s="176"/>
      <c r="D97" s="176"/>
      <c r="E97" s="176"/>
      <c r="F97" s="176"/>
      <c r="G97" s="176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7" t="s">
        <v>7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187" t="s">
        <v>8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180" t="s">
        <v>63</v>
      </c>
      <c r="B101" s="180"/>
      <c r="C101" s="180"/>
      <c r="D101" s="180"/>
      <c r="E101" s="180"/>
      <c r="F101" s="180"/>
      <c r="G101" s="180"/>
      <c r="H101" s="180"/>
      <c r="I101" s="180"/>
    </row>
    <row r="102" spans="1:9" ht="15.75" customHeight="1">
      <c r="A102" s="11"/>
    </row>
    <row r="103" spans="1:9" ht="15.75" customHeight="1">
      <c r="A103" s="174" t="s">
        <v>9</v>
      </c>
      <c r="B103" s="174"/>
      <c r="C103" s="174"/>
      <c r="D103" s="174"/>
      <c r="E103" s="174"/>
      <c r="F103" s="174"/>
      <c r="G103" s="174"/>
      <c r="H103" s="174"/>
      <c r="I103" s="174"/>
    </row>
    <row r="104" spans="1:9" ht="15.75" customHeight="1">
      <c r="A104" s="4"/>
    </row>
    <row r="105" spans="1:9" ht="15.75" customHeight="1">
      <c r="B105" s="52" t="s">
        <v>10</v>
      </c>
      <c r="C105" s="175" t="s">
        <v>206</v>
      </c>
      <c r="D105" s="175"/>
      <c r="E105" s="175"/>
      <c r="F105" s="59"/>
      <c r="I105" s="51"/>
    </row>
    <row r="106" spans="1:9" ht="15.75" customHeight="1">
      <c r="A106" s="49"/>
      <c r="C106" s="176" t="s">
        <v>11</v>
      </c>
      <c r="D106" s="176"/>
      <c r="E106" s="176"/>
      <c r="F106" s="24"/>
      <c r="I106" s="50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52" t="s">
        <v>13</v>
      </c>
      <c r="C108" s="177"/>
      <c r="D108" s="177"/>
      <c r="E108" s="177"/>
      <c r="F108" s="60"/>
      <c r="I108" s="51"/>
    </row>
    <row r="109" spans="1:9" ht="15.75" customHeight="1">
      <c r="A109" s="49"/>
      <c r="C109" s="178" t="s">
        <v>11</v>
      </c>
      <c r="D109" s="178"/>
      <c r="E109" s="178"/>
      <c r="F109" s="49"/>
      <c r="I109" s="50" t="s">
        <v>12</v>
      </c>
    </row>
    <row r="110" spans="1:9" ht="15.75" customHeight="1">
      <c r="A110" s="4" t="s">
        <v>14</v>
      </c>
    </row>
    <row r="111" spans="1:9" ht="15.75" customHeight="1">
      <c r="A111" s="179" t="s">
        <v>15</v>
      </c>
      <c r="B111" s="179"/>
      <c r="C111" s="179"/>
      <c r="D111" s="179"/>
      <c r="E111" s="179"/>
      <c r="F111" s="179"/>
      <c r="G111" s="179"/>
      <c r="H111" s="179"/>
      <c r="I111" s="179"/>
    </row>
    <row r="112" spans="1:9" ht="45" customHeight="1">
      <c r="A112" s="173" t="s">
        <v>16</v>
      </c>
      <c r="B112" s="173"/>
      <c r="C112" s="173"/>
      <c r="D112" s="173"/>
      <c r="E112" s="173"/>
      <c r="F112" s="173"/>
      <c r="G112" s="173"/>
      <c r="H112" s="173"/>
      <c r="I112" s="173"/>
    </row>
    <row r="113" spans="1:9" ht="30" customHeight="1">
      <c r="A113" s="173" t="s">
        <v>17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30" customHeight="1">
      <c r="A114" s="173" t="s">
        <v>21</v>
      </c>
      <c r="B114" s="173"/>
      <c r="C114" s="173"/>
      <c r="D114" s="173"/>
      <c r="E114" s="173"/>
      <c r="F114" s="173"/>
      <c r="G114" s="173"/>
      <c r="H114" s="173"/>
      <c r="I114" s="173"/>
    </row>
    <row r="115" spans="1:9" ht="15" customHeight="1">
      <c r="A115" s="173" t="s">
        <v>20</v>
      </c>
      <c r="B115" s="173"/>
      <c r="C115" s="173"/>
      <c r="D115" s="173"/>
      <c r="E115" s="173"/>
      <c r="F115" s="173"/>
      <c r="G115" s="173"/>
      <c r="H115" s="173"/>
      <c r="I115" s="173"/>
    </row>
  </sheetData>
  <autoFilter ref="I12:I62"/>
  <mergeCells count="29">
    <mergeCell ref="R66:U66"/>
    <mergeCell ref="A83:I83"/>
    <mergeCell ref="A3:I3"/>
    <mergeCell ref="A4:I4"/>
    <mergeCell ref="A5:I5"/>
    <mergeCell ref="A8:I8"/>
    <mergeCell ref="A10:I10"/>
    <mergeCell ref="A14:I14"/>
    <mergeCell ref="A101:I101"/>
    <mergeCell ref="A15:I15"/>
    <mergeCell ref="A27:I27"/>
    <mergeCell ref="A45:I45"/>
    <mergeCell ref="A56:I56"/>
    <mergeCell ref="A95:I95"/>
    <mergeCell ref="B96:G96"/>
    <mergeCell ref="B97:G97"/>
    <mergeCell ref="A99:I99"/>
    <mergeCell ref="A100:I100"/>
    <mergeCell ref="A87:I87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9"/>
  <sheetViews>
    <sheetView topLeftCell="A86" workbookViewId="0">
      <selection activeCell="A104" sqref="A104:I104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140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231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44286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190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G16*F16/156*10</f>
        <v>3215.2781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F17/12*G17-2572.2</f>
        <v>8574.097413333333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81" t="s">
        <v>84</v>
      </c>
      <c r="B27" s="181"/>
      <c r="C27" s="181"/>
      <c r="D27" s="181"/>
      <c r="E27" s="181"/>
      <c r="F27" s="181"/>
      <c r="G27" s="181"/>
      <c r="H27" s="181"/>
      <c r="I27" s="181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62" t="s">
        <v>104</v>
      </c>
      <c r="C29" s="63" t="s">
        <v>105</v>
      </c>
      <c r="D29" s="62" t="s">
        <v>106</v>
      </c>
      <c r="E29" s="64">
        <v>844.95</v>
      </c>
      <c r="F29" s="64">
        <f>SUM(E29*52/1000)</f>
        <v>43.937400000000004</v>
      </c>
      <c r="G29" s="64">
        <v>166.65</v>
      </c>
      <c r="H29" s="65">
        <f>SUM(F29*G29/1000)</f>
        <v>7.3221677100000004</v>
      </c>
      <c r="I29" s="13">
        <f>F29/6*G29</f>
        <v>1220.3612850000002</v>
      </c>
      <c r="J29" s="22"/>
      <c r="K29" s="8"/>
      <c r="L29" s="8"/>
      <c r="M29" s="8"/>
    </row>
    <row r="30" spans="1:13" ht="31.5" hidden="1" customHeight="1">
      <c r="A30" s="29">
        <v>8</v>
      </c>
      <c r="B30" s="62" t="s">
        <v>137</v>
      </c>
      <c r="C30" s="63" t="s">
        <v>105</v>
      </c>
      <c r="D30" s="62" t="s">
        <v>107</v>
      </c>
      <c r="E30" s="64">
        <v>260.13</v>
      </c>
      <c r="F30" s="64">
        <f>SUM(E30*78/1000)</f>
        <v>20.290140000000001</v>
      </c>
      <c r="G30" s="64">
        <v>276.48</v>
      </c>
      <c r="H30" s="65">
        <f t="shared" ref="H30:H35" si="1">SUM(F30*G30/1000)</f>
        <v>5.6098179072000001</v>
      </c>
      <c r="I30" s="13">
        <f t="shared" ref="I30:I33" si="2">F30/6*G30</f>
        <v>934.96965120000016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105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hidden="1" customHeight="1">
      <c r="A32" s="29">
        <v>9</v>
      </c>
      <c r="B32" s="62" t="s">
        <v>135</v>
      </c>
      <c r="C32" s="63" t="s">
        <v>41</v>
      </c>
      <c r="D32" s="62" t="s">
        <v>65</v>
      </c>
      <c r="E32" s="64">
        <v>8</v>
      </c>
      <c r="F32" s="64">
        <v>12.4</v>
      </c>
      <c r="G32" s="64">
        <v>1391.86</v>
      </c>
      <c r="H32" s="65">
        <v>17.259</v>
      </c>
      <c r="I32" s="13">
        <f t="shared" si="2"/>
        <v>2876.5106666666666</v>
      </c>
      <c r="J32" s="22"/>
      <c r="K32" s="8"/>
      <c r="L32" s="8"/>
      <c r="M32" s="8"/>
    </row>
    <row r="33" spans="1:14" ht="15.75" hidden="1" customHeight="1">
      <c r="A33" s="29">
        <v>10</v>
      </c>
      <c r="B33" s="62" t="s">
        <v>108</v>
      </c>
      <c r="C33" s="63" t="s">
        <v>30</v>
      </c>
      <c r="D33" s="62" t="s">
        <v>65</v>
      </c>
      <c r="E33" s="69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3">
        <f t="shared" si="2"/>
        <v>521.83333333333337</v>
      </c>
      <c r="J33" s="22"/>
      <c r="K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si="1"/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1"/>
        <v>2.4294600000000002</v>
      </c>
      <c r="I35" s="13">
        <v>0</v>
      </c>
      <c r="J35" s="23"/>
    </row>
    <row r="36" spans="1:14" ht="15.75" customHeight="1">
      <c r="A36" s="29"/>
      <c r="B36" s="83" t="s">
        <v>5</v>
      </c>
      <c r="C36" s="63"/>
      <c r="D36" s="62"/>
      <c r="E36" s="48"/>
      <c r="F36" s="64"/>
      <c r="G36" s="64"/>
      <c r="H36" s="65" t="s">
        <v>124</v>
      </c>
      <c r="I36" s="13"/>
      <c r="J36" s="23"/>
    </row>
    <row r="37" spans="1:14" ht="15.75" customHeight="1">
      <c r="A37" s="29">
        <v>6</v>
      </c>
      <c r="B37" s="138" t="s">
        <v>26</v>
      </c>
      <c r="C37" s="116" t="s">
        <v>32</v>
      </c>
      <c r="D37" s="115" t="s">
        <v>240</v>
      </c>
      <c r="E37" s="120"/>
      <c r="F37" s="121">
        <v>6</v>
      </c>
      <c r="G37" s="121">
        <v>1855</v>
      </c>
      <c r="H37" s="65">
        <f t="shared" ref="H37:H41" si="3">SUM(F37*G37/1000)</f>
        <v>11.13</v>
      </c>
      <c r="I37" s="13">
        <f>G37*1.6</f>
        <v>2968</v>
      </c>
      <c r="J37" s="23"/>
    </row>
    <row r="38" spans="1:14" ht="15.75" customHeight="1">
      <c r="A38" s="29">
        <v>7</v>
      </c>
      <c r="B38" s="138" t="s">
        <v>186</v>
      </c>
      <c r="C38" s="139" t="s">
        <v>29</v>
      </c>
      <c r="D38" s="138" t="s">
        <v>172</v>
      </c>
      <c r="E38" s="141">
        <v>254.8</v>
      </c>
      <c r="F38" s="141">
        <f>SUM(E38*30/1000)</f>
        <v>7.6440000000000001</v>
      </c>
      <c r="G38" s="141">
        <v>3014.36</v>
      </c>
      <c r="H38" s="65">
        <f t="shared" si="3"/>
        <v>23.041767840000002</v>
      </c>
      <c r="I38" s="13">
        <f>F38/6*G38</f>
        <v>3840.2946400000001</v>
      </c>
      <c r="J38" s="23"/>
      <c r="L38" s="19"/>
      <c r="M38" s="20"/>
      <c r="N38" s="21"/>
    </row>
    <row r="39" spans="1:14" ht="15.75" hidden="1" customHeight="1">
      <c r="A39" s="29"/>
      <c r="B39" s="115" t="s">
        <v>91</v>
      </c>
      <c r="C39" s="116" t="s">
        <v>110</v>
      </c>
      <c r="D39" s="115" t="s">
        <v>162</v>
      </c>
      <c r="E39" s="120"/>
      <c r="F39" s="141">
        <v>26</v>
      </c>
      <c r="G39" s="121">
        <v>330</v>
      </c>
      <c r="H39" s="65">
        <f t="shared" si="3"/>
        <v>8.58</v>
      </c>
      <c r="I39" s="13">
        <v>0</v>
      </c>
      <c r="J39" s="23"/>
      <c r="L39" s="19"/>
      <c r="M39" s="20"/>
      <c r="N39" s="21"/>
    </row>
    <row r="40" spans="1:14" ht="15.75" customHeight="1">
      <c r="A40" s="29">
        <v>8</v>
      </c>
      <c r="B40" s="115" t="s">
        <v>69</v>
      </c>
      <c r="C40" s="116" t="s">
        <v>29</v>
      </c>
      <c r="D40" s="115" t="s">
        <v>173</v>
      </c>
      <c r="E40" s="121">
        <v>260.13</v>
      </c>
      <c r="F40" s="141">
        <f>SUM(E40*155/1000)</f>
        <v>40.320149999999998</v>
      </c>
      <c r="G40" s="121">
        <v>502.82</v>
      </c>
      <c r="H40" s="65">
        <f t="shared" si="3"/>
        <v>20.273777823</v>
      </c>
      <c r="I40" s="13">
        <f>F40/6*G40</f>
        <v>3378.9629704999998</v>
      </c>
      <c r="J40" s="23"/>
      <c r="L40" s="19"/>
      <c r="M40" s="20"/>
      <c r="N40" s="21"/>
    </row>
    <row r="41" spans="1:14" ht="47.25" customHeight="1">
      <c r="A41" s="29">
        <v>9</v>
      </c>
      <c r="B41" s="115" t="s">
        <v>82</v>
      </c>
      <c r="C41" s="116" t="s">
        <v>105</v>
      </c>
      <c r="D41" s="115" t="s">
        <v>178</v>
      </c>
      <c r="E41" s="121">
        <v>132.72999999999999</v>
      </c>
      <c r="F41" s="141">
        <f>SUM(E41*24/1000)</f>
        <v>3.1855199999999995</v>
      </c>
      <c r="G41" s="121">
        <v>8319.2999999999993</v>
      </c>
      <c r="H41" s="65">
        <f t="shared" si="3"/>
        <v>26.501296535999995</v>
      </c>
      <c r="I41" s="13">
        <f>F41/6*G41</f>
        <v>4416.8827559999991</v>
      </c>
      <c r="J41" s="23"/>
      <c r="L41" s="19"/>
      <c r="M41" s="20"/>
      <c r="N41" s="21"/>
    </row>
    <row r="42" spans="1:14" ht="15.75" hidden="1" customHeight="1">
      <c r="A42" s="29">
        <v>11</v>
      </c>
      <c r="B42" s="62" t="s">
        <v>113</v>
      </c>
      <c r="C42" s="63" t="s">
        <v>105</v>
      </c>
      <c r="D42" s="62" t="s">
        <v>175</v>
      </c>
      <c r="E42" s="64">
        <v>254.8</v>
      </c>
      <c r="F42" s="64">
        <f>SUM(E42*45/1000)</f>
        <v>11.465999999999999</v>
      </c>
      <c r="G42" s="64">
        <v>458.28</v>
      </c>
      <c r="H42" s="65">
        <f t="shared" ref="H42:H43" si="4">SUM(F42*G42/1000)</f>
        <v>5.2546384799999997</v>
      </c>
      <c r="I42" s="13">
        <f>(F42/7.5*1.5)*G42</f>
        <v>1050.9276959999997</v>
      </c>
      <c r="J42" s="23"/>
      <c r="L42" s="19"/>
      <c r="M42" s="20"/>
      <c r="N42" s="21"/>
    </row>
    <row r="43" spans="1:14" ht="15.75" hidden="1" customHeight="1">
      <c r="A43" s="29">
        <v>12</v>
      </c>
      <c r="B43" s="62" t="s">
        <v>71</v>
      </c>
      <c r="C43" s="63" t="s">
        <v>33</v>
      </c>
      <c r="D43" s="62"/>
      <c r="E43" s="48"/>
      <c r="F43" s="64">
        <v>0.9</v>
      </c>
      <c r="G43" s="64">
        <v>853.06</v>
      </c>
      <c r="H43" s="65">
        <f t="shared" si="4"/>
        <v>0.76775400000000005</v>
      </c>
      <c r="I43" s="13">
        <f>(F43/7.5*1.5)*G43</f>
        <v>153.55080000000001</v>
      </c>
      <c r="J43" s="23"/>
      <c r="L43" s="19"/>
      <c r="M43" s="20"/>
      <c r="N43" s="21"/>
    </row>
    <row r="44" spans="1:14" ht="32.25" customHeight="1">
      <c r="A44" s="136">
        <v>10</v>
      </c>
      <c r="B44" s="138" t="s">
        <v>185</v>
      </c>
      <c r="C44" s="139" t="s">
        <v>105</v>
      </c>
      <c r="D44" s="138" t="s">
        <v>187</v>
      </c>
      <c r="E44" s="140">
        <v>3.6</v>
      </c>
      <c r="F44" s="141">
        <f>E44*12/1000</f>
        <v>4.3200000000000002E-2</v>
      </c>
      <c r="G44" s="141">
        <v>19757.060000000001</v>
      </c>
      <c r="H44" s="56"/>
      <c r="I44" s="137">
        <f>G44*F44/6</f>
        <v>142.25083200000003</v>
      </c>
      <c r="J44" s="23"/>
      <c r="L44" s="19"/>
      <c r="M44" s="20"/>
      <c r="N44" s="21"/>
    </row>
    <row r="45" spans="1:14" ht="15.75" customHeight="1">
      <c r="A45" s="182" t="s">
        <v>131</v>
      </c>
      <c r="B45" s="183"/>
      <c r="C45" s="183"/>
      <c r="D45" s="183"/>
      <c r="E45" s="183"/>
      <c r="F45" s="183"/>
      <c r="G45" s="183"/>
      <c r="H45" s="183"/>
      <c r="I45" s="184"/>
      <c r="J45" s="23"/>
      <c r="L45" s="19"/>
      <c r="M45" s="20"/>
      <c r="N45" s="21"/>
    </row>
    <row r="46" spans="1:14" ht="15.75" hidden="1" customHeight="1">
      <c r="A46" s="29"/>
      <c r="B46" s="62" t="s">
        <v>128</v>
      </c>
      <c r="C46" s="63" t="s">
        <v>105</v>
      </c>
      <c r="D46" s="62" t="s">
        <v>43</v>
      </c>
      <c r="E46" s="48">
        <v>1795.9</v>
      </c>
      <c r="F46" s="64">
        <f>SUM(E46*2/1000)</f>
        <v>3.5918000000000001</v>
      </c>
      <c r="G46" s="13">
        <v>865.61</v>
      </c>
      <c r="H46" s="65">
        <f t="shared" ref="H46:H55" si="5">SUM(F46*G46/1000)</f>
        <v>3.1090979980000002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36</v>
      </c>
      <c r="C47" s="63" t="s">
        <v>105</v>
      </c>
      <c r="D47" s="62" t="s">
        <v>43</v>
      </c>
      <c r="E47" s="48">
        <v>104</v>
      </c>
      <c r="F47" s="64">
        <f>SUM(E47*2/1000)</f>
        <v>0.20799999999999999</v>
      </c>
      <c r="G47" s="13">
        <v>619.46</v>
      </c>
      <c r="H47" s="65">
        <f t="shared" si="5"/>
        <v>0.12884767999999999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37</v>
      </c>
      <c r="C48" s="63" t="s">
        <v>105</v>
      </c>
      <c r="D48" s="62" t="s">
        <v>43</v>
      </c>
      <c r="E48" s="48">
        <v>1996.87</v>
      </c>
      <c r="F48" s="64">
        <f>SUM(E48*2/1000)</f>
        <v>3.9937399999999998</v>
      </c>
      <c r="G48" s="13">
        <v>619.46</v>
      </c>
      <c r="H48" s="65">
        <f t="shared" si="5"/>
        <v>2.4739621804</v>
      </c>
      <c r="I48" s="13">
        <v>0</v>
      </c>
      <c r="J48" s="23"/>
      <c r="L48" s="19"/>
      <c r="M48" s="20"/>
      <c r="N48" s="21"/>
    </row>
    <row r="49" spans="1:14" ht="15.75" hidden="1" customHeight="1">
      <c r="A49" s="29"/>
      <c r="B49" s="62" t="s">
        <v>38</v>
      </c>
      <c r="C49" s="63" t="s">
        <v>105</v>
      </c>
      <c r="D49" s="62" t="s">
        <v>43</v>
      </c>
      <c r="E49" s="48">
        <v>2630.35</v>
      </c>
      <c r="F49" s="64">
        <f>SUM(E49*2/1000)</f>
        <v>5.2606999999999999</v>
      </c>
      <c r="G49" s="13">
        <v>648.64</v>
      </c>
      <c r="H49" s="65">
        <f t="shared" si="5"/>
        <v>3.4123004479999999</v>
      </c>
      <c r="I49" s="13">
        <v>0</v>
      </c>
      <c r="J49" s="23"/>
      <c r="L49" s="19"/>
      <c r="M49" s="20"/>
      <c r="N49" s="21"/>
    </row>
    <row r="50" spans="1:14" ht="15.75" hidden="1" customHeight="1">
      <c r="A50" s="29"/>
      <c r="B50" s="62" t="s">
        <v>34</v>
      </c>
      <c r="C50" s="63" t="s">
        <v>35</v>
      </c>
      <c r="D50" s="62" t="s">
        <v>43</v>
      </c>
      <c r="E50" s="48">
        <v>131.47</v>
      </c>
      <c r="F50" s="64">
        <f>SUM(E50*2/100)</f>
        <v>2.6294</v>
      </c>
      <c r="G50" s="13">
        <v>77.84</v>
      </c>
      <c r="H50" s="65">
        <f t="shared" si="5"/>
        <v>0.20467249599999998</v>
      </c>
      <c r="I50" s="13">
        <v>0</v>
      </c>
      <c r="J50" s="23"/>
      <c r="L50" s="19"/>
      <c r="M50" s="20"/>
      <c r="N50" s="21"/>
    </row>
    <row r="51" spans="1:14" ht="15.75" hidden="1" customHeight="1">
      <c r="A51" s="29">
        <v>14</v>
      </c>
      <c r="B51" s="62" t="s">
        <v>58</v>
      </c>
      <c r="C51" s="63" t="s">
        <v>105</v>
      </c>
      <c r="D51" s="62" t="s">
        <v>138</v>
      </c>
      <c r="E51" s="48">
        <v>2872.4</v>
      </c>
      <c r="F51" s="64">
        <f>SUM(E51*5/1000)</f>
        <v>14.362</v>
      </c>
      <c r="G51" s="13">
        <v>1297.28</v>
      </c>
      <c r="H51" s="65">
        <f t="shared" si="5"/>
        <v>18.631535359999997</v>
      </c>
      <c r="I51" s="13">
        <f>F51/5*G51</f>
        <v>3726.3070719999996</v>
      </c>
      <c r="J51" s="23"/>
      <c r="L51" s="19"/>
      <c r="M51" s="20"/>
      <c r="N51" s="21"/>
    </row>
    <row r="52" spans="1:14" ht="31.5" hidden="1" customHeight="1">
      <c r="A52" s="29"/>
      <c r="B52" s="62" t="s">
        <v>114</v>
      </c>
      <c r="C52" s="63" t="s">
        <v>105</v>
      </c>
      <c r="D52" s="62" t="s">
        <v>43</v>
      </c>
      <c r="E52" s="48">
        <v>2872.4</v>
      </c>
      <c r="F52" s="64">
        <f>SUM(E52*2/1000)</f>
        <v>5.7448000000000006</v>
      </c>
      <c r="G52" s="13">
        <v>1297.28</v>
      </c>
      <c r="H52" s="65">
        <f t="shared" si="5"/>
        <v>7.4526141440000009</v>
      </c>
      <c r="I52" s="13">
        <v>0</v>
      </c>
      <c r="J52" s="23"/>
      <c r="L52" s="19"/>
      <c r="M52" s="20"/>
      <c r="N52" s="21"/>
    </row>
    <row r="53" spans="1:14" ht="31.5" hidden="1" customHeight="1">
      <c r="A53" s="29"/>
      <c r="B53" s="62" t="s">
        <v>115</v>
      </c>
      <c r="C53" s="63" t="s">
        <v>39</v>
      </c>
      <c r="D53" s="62" t="s">
        <v>43</v>
      </c>
      <c r="E53" s="48">
        <v>40</v>
      </c>
      <c r="F53" s="64">
        <f>SUM(E53*2/100)</f>
        <v>0.8</v>
      </c>
      <c r="G53" s="13">
        <v>2918.89</v>
      </c>
      <c r="H53" s="65">
        <f t="shared" si="5"/>
        <v>2.3351120000000001</v>
      </c>
      <c r="I53" s="13">
        <v>0</v>
      </c>
      <c r="J53" s="23"/>
      <c r="L53" s="19"/>
      <c r="M53" s="20"/>
      <c r="N53" s="21"/>
    </row>
    <row r="54" spans="1:14" ht="15.75" hidden="1" customHeight="1">
      <c r="A54" s="29"/>
      <c r="B54" s="62" t="s">
        <v>40</v>
      </c>
      <c r="C54" s="63" t="s">
        <v>41</v>
      </c>
      <c r="D54" s="62" t="s">
        <v>43</v>
      </c>
      <c r="E54" s="48">
        <v>1</v>
      </c>
      <c r="F54" s="64">
        <v>0.02</v>
      </c>
      <c r="G54" s="13">
        <v>6042.12</v>
      </c>
      <c r="H54" s="65">
        <f t="shared" si="5"/>
        <v>0.1208424</v>
      </c>
      <c r="I54" s="13">
        <v>0</v>
      </c>
      <c r="J54" s="23"/>
      <c r="L54" s="19"/>
      <c r="M54" s="20"/>
      <c r="N54" s="21"/>
    </row>
    <row r="55" spans="1:14" ht="15.75" customHeight="1">
      <c r="A55" s="29">
        <v>11</v>
      </c>
      <c r="B55" s="62" t="s">
        <v>42</v>
      </c>
      <c r="C55" s="63" t="s">
        <v>30</v>
      </c>
      <c r="D55" s="123">
        <v>44274</v>
      </c>
      <c r="E55" s="48">
        <v>160</v>
      </c>
      <c r="F55" s="64">
        <f>SUM(E55)*3</f>
        <v>480</v>
      </c>
      <c r="G55" s="146">
        <v>87.32</v>
      </c>
      <c r="H55" s="65">
        <f t="shared" si="5"/>
        <v>41.913599999999995</v>
      </c>
      <c r="I55" s="13">
        <f>E55*G55</f>
        <v>13971.199999999999</v>
      </c>
      <c r="J55" s="23"/>
      <c r="L55" s="19"/>
      <c r="M55" s="20"/>
      <c r="N55" s="21"/>
    </row>
    <row r="56" spans="1:14" ht="15.75" customHeight="1">
      <c r="A56" s="136"/>
      <c r="B56" s="19"/>
      <c r="C56" s="150"/>
      <c r="D56" s="19"/>
      <c r="E56" s="57"/>
      <c r="F56" s="56"/>
      <c r="G56" s="151"/>
      <c r="H56" s="56"/>
      <c r="I56" s="137"/>
      <c r="J56" s="23"/>
      <c r="L56" s="19"/>
      <c r="M56" s="20"/>
      <c r="N56" s="21"/>
    </row>
    <row r="57" spans="1:14" ht="15.75" customHeight="1">
      <c r="A57" s="182" t="s">
        <v>132</v>
      </c>
      <c r="B57" s="183"/>
      <c r="C57" s="183"/>
      <c r="D57" s="183"/>
      <c r="E57" s="183"/>
      <c r="F57" s="183"/>
      <c r="G57" s="183"/>
      <c r="H57" s="183"/>
      <c r="I57" s="184"/>
      <c r="J57" s="23"/>
      <c r="L57" s="19"/>
      <c r="M57" s="20"/>
      <c r="N57" s="21"/>
    </row>
    <row r="58" spans="1:14" ht="15.75" customHeight="1">
      <c r="A58" s="29"/>
      <c r="B58" s="83" t="s">
        <v>44</v>
      </c>
      <c r="C58" s="63"/>
      <c r="D58" s="62"/>
      <c r="E58" s="48"/>
      <c r="F58" s="64"/>
      <c r="G58" s="64"/>
      <c r="H58" s="65"/>
      <c r="I58" s="13"/>
      <c r="J58" s="23"/>
      <c r="L58" s="19"/>
      <c r="M58" s="20"/>
      <c r="N58" s="21"/>
    </row>
    <row r="59" spans="1:14" ht="31.5" customHeight="1">
      <c r="A59" s="29">
        <v>12</v>
      </c>
      <c r="B59" s="62" t="s">
        <v>117</v>
      </c>
      <c r="C59" s="63" t="s">
        <v>98</v>
      </c>
      <c r="D59" s="62"/>
      <c r="E59" s="48">
        <v>239.59</v>
      </c>
      <c r="F59" s="64">
        <f>E59*6/100</f>
        <v>14.375399999999999</v>
      </c>
      <c r="G59" s="145">
        <v>2218.11</v>
      </c>
      <c r="H59" s="65">
        <f>F59*G59/1000</f>
        <v>31.886218494000001</v>
      </c>
      <c r="I59" s="13">
        <f>G59*2.48</f>
        <v>5500.9128000000001</v>
      </c>
      <c r="J59" s="23"/>
      <c r="L59" s="19"/>
      <c r="M59" s="20"/>
      <c r="N59" s="21"/>
    </row>
    <row r="60" spans="1:14" ht="18.75" customHeight="1">
      <c r="A60" s="29">
        <v>13</v>
      </c>
      <c r="B60" s="44" t="s">
        <v>86</v>
      </c>
      <c r="C60" s="16" t="s">
        <v>95</v>
      </c>
      <c r="D60" s="73" t="s">
        <v>233</v>
      </c>
      <c r="E60" s="74"/>
      <c r="F60" s="76"/>
      <c r="G60" s="106">
        <v>1730</v>
      </c>
      <c r="H60" s="78"/>
      <c r="I60" s="13">
        <f>G60*7</f>
        <v>12110</v>
      </c>
      <c r="J60" s="23"/>
      <c r="L60" s="19"/>
      <c r="M60" s="20"/>
      <c r="N60" s="21"/>
    </row>
    <row r="61" spans="1:14" ht="15.75" customHeight="1">
      <c r="A61" s="29"/>
      <c r="B61" s="84" t="s">
        <v>45</v>
      </c>
      <c r="C61" s="72"/>
      <c r="D61" s="73"/>
      <c r="E61" s="74"/>
      <c r="F61" s="76"/>
      <c r="G61" s="13"/>
      <c r="H61" s="78"/>
      <c r="I61" s="13"/>
      <c r="J61" s="23"/>
      <c r="L61" s="19"/>
      <c r="M61" s="20"/>
      <c r="N61" s="21"/>
    </row>
    <row r="62" spans="1:14" ht="17.25" customHeight="1">
      <c r="A62" s="29">
        <v>14</v>
      </c>
      <c r="B62" s="99" t="s">
        <v>46</v>
      </c>
      <c r="C62" s="100" t="s">
        <v>55</v>
      </c>
      <c r="D62" s="99" t="s">
        <v>232</v>
      </c>
      <c r="E62" s="101">
        <v>1436.7</v>
      </c>
      <c r="F62" s="102">
        <f>E62/100</f>
        <v>14.367000000000001</v>
      </c>
      <c r="G62" s="171">
        <v>1137.68</v>
      </c>
      <c r="H62" s="78">
        <f>G62*F62/1000</f>
        <v>16.345048560000002</v>
      </c>
      <c r="I62" s="13">
        <f>G62*F62</f>
        <v>16345.048560000001</v>
      </c>
      <c r="J62" s="23"/>
      <c r="L62" s="19"/>
    </row>
    <row r="63" spans="1:14" ht="15.75" customHeight="1">
      <c r="A63" s="29">
        <v>15</v>
      </c>
      <c r="B63" s="73" t="s">
        <v>92</v>
      </c>
      <c r="C63" s="72" t="s">
        <v>25</v>
      </c>
      <c r="D63" s="73" t="s">
        <v>164</v>
      </c>
      <c r="E63" s="74">
        <v>343</v>
      </c>
      <c r="F63" s="76">
        <v>2400</v>
      </c>
      <c r="G63" s="13">
        <v>1.4</v>
      </c>
      <c r="H63" s="78">
        <f>F63*G63</f>
        <v>3360</v>
      </c>
      <c r="I63" s="13">
        <f>F63/12*G63</f>
        <v>280</v>
      </c>
    </row>
    <row r="64" spans="1:14" ht="15.75" hidden="1" customHeight="1">
      <c r="A64" s="29"/>
      <c r="B64" s="84" t="s">
        <v>129</v>
      </c>
      <c r="C64" s="72"/>
      <c r="D64" s="73"/>
      <c r="E64" s="74"/>
      <c r="F64" s="76"/>
      <c r="G64" s="13"/>
      <c r="H64" s="78"/>
      <c r="I64" s="13"/>
    </row>
    <row r="65" spans="1:22" ht="15.75" hidden="1" customHeight="1">
      <c r="A65" s="29"/>
      <c r="B65" s="73" t="s">
        <v>130</v>
      </c>
      <c r="C65" s="72" t="s">
        <v>30</v>
      </c>
      <c r="D65" s="73" t="s">
        <v>68</v>
      </c>
      <c r="E65" s="74">
        <v>3</v>
      </c>
      <c r="F65" s="75">
        <v>3</v>
      </c>
      <c r="G65" s="77">
        <v>254.16</v>
      </c>
      <c r="H65" s="76">
        <v>0.76200000000000001</v>
      </c>
      <c r="I65" s="13">
        <v>0</v>
      </c>
    </row>
    <row r="66" spans="1:22" ht="15.75" customHeight="1">
      <c r="A66" s="29"/>
      <c r="B66" s="84" t="s">
        <v>47</v>
      </c>
      <c r="C66" s="72"/>
      <c r="D66" s="73"/>
      <c r="E66" s="74"/>
      <c r="F66" s="75"/>
      <c r="G66" s="75"/>
      <c r="H66" s="76" t="s">
        <v>124</v>
      </c>
      <c r="I66" s="1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4.25" customHeight="1">
      <c r="A67" s="29">
        <v>16</v>
      </c>
      <c r="B67" s="14" t="s">
        <v>48</v>
      </c>
      <c r="C67" s="16" t="s">
        <v>116</v>
      </c>
      <c r="D67" s="73" t="s">
        <v>207</v>
      </c>
      <c r="E67" s="18">
        <v>15</v>
      </c>
      <c r="F67" s="64">
        <v>15</v>
      </c>
      <c r="G67" s="112">
        <v>318.82</v>
      </c>
      <c r="H67" s="79">
        <f t="shared" ref="H67:H83" si="6">SUM(F67*G67/1000)</f>
        <v>4.7823000000000002</v>
      </c>
      <c r="I67" s="13">
        <f>G67*3</f>
        <v>956.46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21" hidden="1" customHeight="1">
      <c r="A68" s="29"/>
      <c r="B68" s="14" t="s">
        <v>49</v>
      </c>
      <c r="C68" s="16" t="s">
        <v>116</v>
      </c>
      <c r="D68" s="73" t="s">
        <v>68</v>
      </c>
      <c r="E68" s="18">
        <v>5</v>
      </c>
      <c r="F68" s="64">
        <v>5</v>
      </c>
      <c r="G68" s="13">
        <v>81.510000000000005</v>
      </c>
      <c r="H68" s="79">
        <f t="shared" si="6"/>
        <v>0.40755000000000002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22.5" hidden="1" customHeight="1">
      <c r="A69" s="29"/>
      <c r="B69" s="14" t="s">
        <v>50</v>
      </c>
      <c r="C69" s="16" t="s">
        <v>118</v>
      </c>
      <c r="D69" s="14" t="s">
        <v>56</v>
      </c>
      <c r="E69" s="48">
        <v>24123</v>
      </c>
      <c r="F69" s="13">
        <f>SUM(E69/100)</f>
        <v>241.23</v>
      </c>
      <c r="G69" s="13">
        <v>226.79</v>
      </c>
      <c r="H69" s="79">
        <f t="shared" si="6"/>
        <v>54.708551699999994</v>
      </c>
      <c r="I69" s="13">
        <f>F69*G69</f>
        <v>54708.551699999996</v>
      </c>
      <c r="J69" s="5"/>
      <c r="K69" s="5"/>
      <c r="L69" s="5"/>
      <c r="M69" s="5"/>
      <c r="N69" s="5"/>
      <c r="O69" s="5"/>
      <c r="P69" s="5"/>
      <c r="Q69" s="5"/>
      <c r="R69" s="178"/>
      <c r="S69" s="178"/>
      <c r="T69" s="178"/>
      <c r="U69" s="178"/>
    </row>
    <row r="70" spans="1:22" ht="24" hidden="1" customHeight="1">
      <c r="A70" s="29"/>
      <c r="B70" s="14" t="s">
        <v>51</v>
      </c>
      <c r="C70" s="16" t="s">
        <v>119</v>
      </c>
      <c r="D70" s="14"/>
      <c r="E70" s="48">
        <v>24123</v>
      </c>
      <c r="F70" s="13">
        <f>SUM(E70/1000)</f>
        <v>24.123000000000001</v>
      </c>
      <c r="G70" s="13">
        <v>176.61</v>
      </c>
      <c r="H70" s="79">
        <f t="shared" si="6"/>
        <v>4.2603630300000006</v>
      </c>
      <c r="I70" s="13">
        <f t="shared" ref="I70:I74" si="7">F70*G70</f>
        <v>4260.3630300000004</v>
      </c>
    </row>
    <row r="71" spans="1:22" ht="24" hidden="1" customHeight="1">
      <c r="A71" s="29"/>
      <c r="B71" s="14" t="s">
        <v>52</v>
      </c>
      <c r="C71" s="16" t="s">
        <v>78</v>
      </c>
      <c r="D71" s="14" t="s">
        <v>56</v>
      </c>
      <c r="E71" s="48">
        <v>2730</v>
      </c>
      <c r="F71" s="13">
        <f>SUM(E71/100)</f>
        <v>27.3</v>
      </c>
      <c r="G71" s="13">
        <v>2217.7800000000002</v>
      </c>
      <c r="H71" s="79">
        <f t="shared" si="6"/>
        <v>60.545394000000009</v>
      </c>
      <c r="I71" s="13">
        <f t="shared" si="7"/>
        <v>60545.394000000008</v>
      </c>
    </row>
    <row r="72" spans="1:22" ht="26.25" hidden="1" customHeight="1">
      <c r="A72" s="29"/>
      <c r="B72" s="80" t="s">
        <v>120</v>
      </c>
      <c r="C72" s="16" t="s">
        <v>33</v>
      </c>
      <c r="D72" s="14"/>
      <c r="E72" s="48">
        <v>23</v>
      </c>
      <c r="F72" s="13">
        <f>SUM(E72)</f>
        <v>23</v>
      </c>
      <c r="G72" s="13">
        <v>42.67</v>
      </c>
      <c r="H72" s="79">
        <f t="shared" si="6"/>
        <v>0.98141000000000012</v>
      </c>
      <c r="I72" s="13">
        <f t="shared" si="7"/>
        <v>981.41000000000008</v>
      </c>
    </row>
    <row r="73" spans="1:22" ht="27" hidden="1" customHeight="1">
      <c r="A73" s="29"/>
      <c r="B73" s="80" t="s">
        <v>121</v>
      </c>
      <c r="C73" s="16" t="s">
        <v>33</v>
      </c>
      <c r="D73" s="14"/>
      <c r="E73" s="48">
        <v>23</v>
      </c>
      <c r="F73" s="13">
        <f>SUM(E73)</f>
        <v>23</v>
      </c>
      <c r="G73" s="13">
        <v>39.81</v>
      </c>
      <c r="H73" s="79">
        <f t="shared" si="6"/>
        <v>0.91563000000000005</v>
      </c>
      <c r="I73" s="13">
        <f t="shared" si="7"/>
        <v>915.63000000000011</v>
      </c>
    </row>
    <row r="74" spans="1:22" ht="23.25" hidden="1" customHeight="1">
      <c r="A74" s="29"/>
      <c r="B74" s="14" t="s">
        <v>59</v>
      </c>
      <c r="C74" s="16" t="s">
        <v>60</v>
      </c>
      <c r="D74" s="14" t="s">
        <v>56</v>
      </c>
      <c r="E74" s="18">
        <v>10</v>
      </c>
      <c r="F74" s="64">
        <f>SUM(E74)</f>
        <v>10</v>
      </c>
      <c r="G74" s="13">
        <v>53.32</v>
      </c>
      <c r="H74" s="79">
        <f t="shared" si="6"/>
        <v>0.53320000000000001</v>
      </c>
      <c r="I74" s="13">
        <f t="shared" si="7"/>
        <v>533.20000000000005</v>
      </c>
    </row>
    <row r="75" spans="1:22" ht="16.5" customHeight="1">
      <c r="A75" s="29"/>
      <c r="B75" s="149" t="s">
        <v>182</v>
      </c>
      <c r="C75" s="16"/>
      <c r="D75" s="14"/>
      <c r="E75" s="18"/>
      <c r="F75" s="13"/>
      <c r="G75" s="13"/>
      <c r="H75" s="13"/>
      <c r="I75" s="13"/>
    </row>
    <row r="76" spans="1:22" ht="35.25" customHeight="1">
      <c r="A76" s="29">
        <v>17</v>
      </c>
      <c r="B76" s="97" t="s">
        <v>183</v>
      </c>
      <c r="C76" s="126" t="s">
        <v>184</v>
      </c>
      <c r="D76" s="127"/>
      <c r="E76" s="128">
        <v>4591.2</v>
      </c>
      <c r="F76" s="129">
        <f>E76*12</f>
        <v>55094.399999999994</v>
      </c>
      <c r="G76" s="129">
        <v>2.4900000000000002</v>
      </c>
      <c r="H76" s="13"/>
      <c r="I76" s="13">
        <f>G76*F76/12</f>
        <v>11432.088000000002</v>
      </c>
    </row>
    <row r="77" spans="1:22" ht="16.5" customHeight="1">
      <c r="A77" s="29"/>
      <c r="B77" s="54" t="s">
        <v>74</v>
      </c>
      <c r="C77" s="16"/>
      <c r="D77" s="14"/>
      <c r="E77" s="18"/>
      <c r="F77" s="13"/>
      <c r="G77" s="13"/>
      <c r="H77" s="79" t="s">
        <v>124</v>
      </c>
      <c r="I77" s="13"/>
    </row>
    <row r="78" spans="1:22" ht="27" hidden="1" customHeight="1">
      <c r="A78" s="29"/>
      <c r="B78" s="14" t="s">
        <v>75</v>
      </c>
      <c r="C78" s="16" t="s">
        <v>31</v>
      </c>
      <c r="D78" s="14"/>
      <c r="E78" s="18">
        <v>2</v>
      </c>
      <c r="F78" s="56">
        <v>0.2</v>
      </c>
      <c r="G78" s="13">
        <v>536.23</v>
      </c>
      <c r="H78" s="79">
        <v>0.251</v>
      </c>
      <c r="I78" s="13">
        <v>0</v>
      </c>
    </row>
    <row r="79" spans="1:22" ht="27" hidden="1" customHeight="1">
      <c r="A79" s="29"/>
      <c r="B79" s="14" t="s">
        <v>87</v>
      </c>
      <c r="C79" s="16" t="s">
        <v>30</v>
      </c>
      <c r="D79" s="14"/>
      <c r="E79" s="18">
        <v>1</v>
      </c>
      <c r="F79" s="64">
        <f>SUM(E79)</f>
        <v>1</v>
      </c>
      <c r="G79" s="13">
        <v>383.25</v>
      </c>
      <c r="H79" s="79">
        <f t="shared" si="6"/>
        <v>0.38324999999999998</v>
      </c>
      <c r="I79" s="13">
        <v>0</v>
      </c>
    </row>
    <row r="80" spans="1:22" ht="27.75" hidden="1" customHeight="1">
      <c r="A80" s="29"/>
      <c r="B80" s="14" t="s">
        <v>76</v>
      </c>
      <c r="C80" s="16" t="s">
        <v>30</v>
      </c>
      <c r="D80" s="14"/>
      <c r="E80" s="18">
        <v>2</v>
      </c>
      <c r="F80" s="13">
        <v>2</v>
      </c>
      <c r="G80" s="13">
        <v>911.85</v>
      </c>
      <c r="H80" s="79">
        <f>F80*G80/1000</f>
        <v>1.8237000000000001</v>
      </c>
      <c r="I80" s="13">
        <v>0</v>
      </c>
    </row>
    <row r="81" spans="1:9" ht="27.75" customHeight="1">
      <c r="A81" s="29">
        <v>18</v>
      </c>
      <c r="B81" s="97" t="s">
        <v>179</v>
      </c>
      <c r="C81" s="114" t="s">
        <v>30</v>
      </c>
      <c r="D81" s="97" t="s">
        <v>164</v>
      </c>
      <c r="E81" s="17">
        <v>2</v>
      </c>
      <c r="F81" s="34">
        <f>E81*12</f>
        <v>24</v>
      </c>
      <c r="G81" s="34">
        <v>404</v>
      </c>
      <c r="H81" s="79"/>
      <c r="I81" s="13">
        <f>G81*2</f>
        <v>808</v>
      </c>
    </row>
    <row r="82" spans="1:9" ht="23.25" hidden="1" customHeight="1">
      <c r="A82" s="29"/>
      <c r="B82" s="81" t="s">
        <v>77</v>
      </c>
      <c r="C82" s="16"/>
      <c r="D82" s="14"/>
      <c r="E82" s="18"/>
      <c r="F82" s="13"/>
      <c r="G82" s="13" t="s">
        <v>124</v>
      </c>
      <c r="H82" s="79" t="s">
        <v>124</v>
      </c>
      <c r="I82" s="13"/>
    </row>
    <row r="83" spans="1:9" ht="21" hidden="1" customHeight="1">
      <c r="A83" s="29"/>
      <c r="B83" s="44" t="s">
        <v>125</v>
      </c>
      <c r="C83" s="16" t="s">
        <v>78</v>
      </c>
      <c r="D83" s="14"/>
      <c r="E83" s="18"/>
      <c r="F83" s="13">
        <v>1.35</v>
      </c>
      <c r="G83" s="13">
        <v>2949.85</v>
      </c>
      <c r="H83" s="79">
        <f t="shared" si="6"/>
        <v>3.9822975</v>
      </c>
      <c r="I83" s="13">
        <v>0</v>
      </c>
    </row>
    <row r="84" spans="1:9" ht="18" hidden="1" customHeight="1">
      <c r="A84" s="29"/>
      <c r="B84" s="67" t="s">
        <v>122</v>
      </c>
      <c r="C84" s="81"/>
      <c r="D84" s="31"/>
      <c r="E84" s="32"/>
      <c r="F84" s="68"/>
      <c r="G84" s="68"/>
      <c r="H84" s="82">
        <f>SUM(H59:H83)</f>
        <v>3542.567913284</v>
      </c>
      <c r="I84" s="68"/>
    </row>
    <row r="85" spans="1:9" ht="17.25" hidden="1" customHeight="1">
      <c r="A85" s="29"/>
      <c r="B85" s="62" t="s">
        <v>123</v>
      </c>
      <c r="C85" s="16"/>
      <c r="D85" s="14"/>
      <c r="E85" s="57"/>
      <c r="F85" s="13">
        <v>1</v>
      </c>
      <c r="G85" s="13">
        <v>19342.2</v>
      </c>
      <c r="H85" s="79">
        <f>G85*F85/1000</f>
        <v>19.342200000000002</v>
      </c>
      <c r="I85" s="13">
        <v>0</v>
      </c>
    </row>
    <row r="86" spans="1:9" ht="15.75" customHeight="1">
      <c r="A86" s="191" t="s">
        <v>133</v>
      </c>
      <c r="B86" s="192"/>
      <c r="C86" s="192"/>
      <c r="D86" s="192"/>
      <c r="E86" s="192"/>
      <c r="F86" s="192"/>
      <c r="G86" s="192"/>
      <c r="H86" s="192"/>
      <c r="I86" s="193"/>
    </row>
    <row r="87" spans="1:9" ht="15.75" customHeight="1">
      <c r="A87" s="29">
        <v>19</v>
      </c>
      <c r="B87" s="97" t="s">
        <v>126</v>
      </c>
      <c r="C87" s="114" t="s">
        <v>57</v>
      </c>
      <c r="D87" s="130"/>
      <c r="E87" s="34">
        <v>4591.2</v>
      </c>
      <c r="F87" s="34">
        <f>SUM(E87*12)</f>
        <v>55094.399999999994</v>
      </c>
      <c r="G87" s="34">
        <v>3.38</v>
      </c>
      <c r="H87" s="79">
        <f>SUM(F87*G87/1000)</f>
        <v>186.21907199999998</v>
      </c>
      <c r="I87" s="13">
        <f>F87/12*G87</f>
        <v>15518.255999999999</v>
      </c>
    </row>
    <row r="88" spans="1:9" ht="31.5" customHeight="1">
      <c r="A88" s="29">
        <v>20</v>
      </c>
      <c r="B88" s="131" t="s">
        <v>180</v>
      </c>
      <c r="C88" s="132" t="s">
        <v>25</v>
      </c>
      <c r="D88" s="133"/>
      <c r="E88" s="134">
        <f>E87</f>
        <v>4591.2</v>
      </c>
      <c r="F88" s="119">
        <f>E88*12</f>
        <v>55094.399999999994</v>
      </c>
      <c r="G88" s="119">
        <v>3.05</v>
      </c>
      <c r="H88" s="79">
        <f>F88*G88/1000</f>
        <v>168.03791999999999</v>
      </c>
      <c r="I88" s="13">
        <f>F88/12*G88</f>
        <v>14003.159999999998</v>
      </c>
    </row>
    <row r="89" spans="1:9" ht="15.75" customHeight="1">
      <c r="A89" s="45"/>
      <c r="B89" s="36" t="s">
        <v>80</v>
      </c>
      <c r="C89" s="37"/>
      <c r="D89" s="15"/>
      <c r="E89" s="15"/>
      <c r="F89" s="15"/>
      <c r="G89" s="18"/>
      <c r="H89" s="18"/>
      <c r="I89" s="32">
        <f>I88+I87+I81+I76+I63+I62+I60+I59+I55+I44+I41+I40+I38+I37+I21+I20+I18+I17+I16+I67</f>
        <v>122296.49106983336</v>
      </c>
    </row>
    <row r="90" spans="1:9" ht="15.75" customHeight="1">
      <c r="A90" s="188" t="s">
        <v>62</v>
      </c>
      <c r="B90" s="189"/>
      <c r="C90" s="189"/>
      <c r="D90" s="189"/>
      <c r="E90" s="189"/>
      <c r="F90" s="189"/>
      <c r="G90" s="189"/>
      <c r="H90" s="189"/>
      <c r="I90" s="190"/>
    </row>
    <row r="91" spans="1:9" ht="18.75" customHeight="1">
      <c r="A91" s="29">
        <v>21</v>
      </c>
      <c r="B91" s="118" t="s">
        <v>234</v>
      </c>
      <c r="C91" s="93" t="s">
        <v>116</v>
      </c>
      <c r="D91" s="95" t="s">
        <v>239</v>
      </c>
      <c r="E91" s="34"/>
      <c r="F91" s="34">
        <v>2</v>
      </c>
      <c r="G91" s="34">
        <v>224.24</v>
      </c>
      <c r="H91" s="79"/>
      <c r="I91" s="13">
        <f>G91*2</f>
        <v>448.48</v>
      </c>
    </row>
    <row r="92" spans="1:9" ht="16.5" customHeight="1">
      <c r="A92" s="29">
        <v>22</v>
      </c>
      <c r="B92" s="92" t="s">
        <v>235</v>
      </c>
      <c r="C92" s="93" t="s">
        <v>55</v>
      </c>
      <c r="D92" s="95" t="s">
        <v>238</v>
      </c>
      <c r="E92" s="34"/>
      <c r="F92" s="34">
        <v>0.02</v>
      </c>
      <c r="G92" s="34">
        <v>38574.639999999999</v>
      </c>
      <c r="H92" s="79"/>
      <c r="I92" s="13">
        <f>G92*0.02</f>
        <v>771.49279999999999</v>
      </c>
    </row>
    <row r="93" spans="1:9" ht="16.5" customHeight="1">
      <c r="A93" s="29">
        <v>23</v>
      </c>
      <c r="B93" s="92" t="s">
        <v>236</v>
      </c>
      <c r="C93" s="93" t="s">
        <v>55</v>
      </c>
      <c r="D93" s="95"/>
      <c r="E93" s="34"/>
      <c r="F93" s="34">
        <v>0.1</v>
      </c>
      <c r="G93" s="34">
        <v>2399.1</v>
      </c>
      <c r="H93" s="79"/>
      <c r="I93" s="13">
        <f>G93*0.1</f>
        <v>239.91</v>
      </c>
    </row>
    <row r="94" spans="1:9" ht="30" customHeight="1">
      <c r="A94" s="29">
        <v>24</v>
      </c>
      <c r="B94" s="92" t="s">
        <v>216</v>
      </c>
      <c r="C94" s="93" t="s">
        <v>39</v>
      </c>
      <c r="D94" s="95" t="s">
        <v>170</v>
      </c>
      <c r="E94" s="34"/>
      <c r="F94" s="34">
        <v>0.02</v>
      </c>
      <c r="G94" s="34">
        <v>4233.72</v>
      </c>
      <c r="H94" s="79"/>
      <c r="I94" s="13">
        <v>0</v>
      </c>
    </row>
    <row r="95" spans="1:9" ht="18" customHeight="1">
      <c r="A95" s="29">
        <v>25</v>
      </c>
      <c r="B95" s="95" t="s">
        <v>155</v>
      </c>
      <c r="C95" s="114" t="s">
        <v>159</v>
      </c>
      <c r="D95" s="95" t="s">
        <v>237</v>
      </c>
      <c r="E95" s="34"/>
      <c r="F95" s="34">
        <v>35</v>
      </c>
      <c r="G95" s="34">
        <v>295.36</v>
      </c>
      <c r="H95" s="79"/>
      <c r="I95" s="13">
        <v>0</v>
      </c>
    </row>
    <row r="96" spans="1:9" ht="15.75" customHeight="1">
      <c r="A96" s="29"/>
      <c r="B96" s="42" t="s">
        <v>53</v>
      </c>
      <c r="C96" s="38"/>
      <c r="D96" s="46"/>
      <c r="E96" s="38">
        <v>1</v>
      </c>
      <c r="F96" s="38"/>
      <c r="G96" s="38"/>
      <c r="H96" s="38"/>
      <c r="I96" s="32">
        <f>SUM(I91:I95)</f>
        <v>1459.8828000000001</v>
      </c>
    </row>
    <row r="97" spans="1:9" ht="15.75" customHeight="1">
      <c r="A97" s="29"/>
      <c r="B97" s="44" t="s">
        <v>79</v>
      </c>
      <c r="C97" s="15"/>
      <c r="D97" s="15"/>
      <c r="E97" s="39"/>
      <c r="F97" s="39"/>
      <c r="G97" s="40"/>
      <c r="H97" s="40"/>
      <c r="I97" s="17">
        <v>0</v>
      </c>
    </row>
    <row r="98" spans="1:9" ht="15.75" customHeight="1">
      <c r="A98" s="47"/>
      <c r="B98" s="43" t="s">
        <v>150</v>
      </c>
      <c r="C98" s="33"/>
      <c r="D98" s="33"/>
      <c r="E98" s="33"/>
      <c r="F98" s="33"/>
      <c r="G98" s="33"/>
      <c r="H98" s="33"/>
      <c r="I98" s="41">
        <f>I89+I96</f>
        <v>123756.37386983336</v>
      </c>
    </row>
    <row r="99" spans="1:9" ht="15.75" customHeight="1">
      <c r="A99" s="185" t="s">
        <v>241</v>
      </c>
      <c r="B99" s="185"/>
      <c r="C99" s="185"/>
      <c r="D99" s="185"/>
      <c r="E99" s="185"/>
      <c r="F99" s="185"/>
      <c r="G99" s="185"/>
      <c r="H99" s="185"/>
      <c r="I99" s="185"/>
    </row>
    <row r="100" spans="1:9" ht="15.75" customHeight="1">
      <c r="A100" s="55"/>
      <c r="B100" s="186" t="s">
        <v>242</v>
      </c>
      <c r="C100" s="186"/>
      <c r="D100" s="186"/>
      <c r="E100" s="186"/>
      <c r="F100" s="186"/>
      <c r="G100" s="186"/>
      <c r="H100" s="61"/>
      <c r="I100" s="3"/>
    </row>
    <row r="101" spans="1:9" ht="15.75" customHeight="1">
      <c r="A101" s="49"/>
      <c r="B101" s="176" t="s">
        <v>6</v>
      </c>
      <c r="C101" s="176"/>
      <c r="D101" s="176"/>
      <c r="E101" s="176"/>
      <c r="F101" s="176"/>
      <c r="G101" s="176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87" t="s">
        <v>7</v>
      </c>
      <c r="B103" s="187"/>
      <c r="C103" s="187"/>
      <c r="D103" s="187"/>
      <c r="E103" s="187"/>
      <c r="F103" s="187"/>
      <c r="G103" s="187"/>
      <c r="H103" s="187"/>
      <c r="I103" s="187"/>
    </row>
    <row r="104" spans="1:9" ht="15.75" customHeight="1">
      <c r="A104" s="187" t="s">
        <v>8</v>
      </c>
      <c r="B104" s="187"/>
      <c r="C104" s="187"/>
      <c r="D104" s="187"/>
      <c r="E104" s="187"/>
      <c r="F104" s="187"/>
      <c r="G104" s="187"/>
      <c r="H104" s="187"/>
      <c r="I104" s="187"/>
    </row>
    <row r="105" spans="1:9" ht="15.75" customHeight="1">
      <c r="A105" s="180" t="s">
        <v>63</v>
      </c>
      <c r="B105" s="180"/>
      <c r="C105" s="180"/>
      <c r="D105" s="180"/>
      <c r="E105" s="180"/>
      <c r="F105" s="180"/>
      <c r="G105" s="180"/>
      <c r="H105" s="180"/>
      <c r="I105" s="180"/>
    </row>
    <row r="106" spans="1:9" ht="15.75" customHeight="1">
      <c r="A106" s="11"/>
    </row>
    <row r="107" spans="1:9" ht="15.75" customHeight="1">
      <c r="A107" s="174" t="s">
        <v>9</v>
      </c>
      <c r="B107" s="174"/>
      <c r="C107" s="174"/>
      <c r="D107" s="174"/>
      <c r="E107" s="174"/>
      <c r="F107" s="174"/>
      <c r="G107" s="174"/>
      <c r="H107" s="174"/>
      <c r="I107" s="174"/>
    </row>
    <row r="108" spans="1:9" ht="15.75" customHeight="1">
      <c r="A108" s="4"/>
    </row>
    <row r="109" spans="1:9" ht="15.75" customHeight="1">
      <c r="B109" s="52" t="s">
        <v>10</v>
      </c>
      <c r="C109" s="175" t="s">
        <v>206</v>
      </c>
      <c r="D109" s="175"/>
      <c r="E109" s="175"/>
      <c r="F109" s="59"/>
      <c r="I109" s="51"/>
    </row>
    <row r="110" spans="1:9" ht="15.75" customHeight="1">
      <c r="A110" s="49"/>
      <c r="C110" s="176" t="s">
        <v>11</v>
      </c>
      <c r="D110" s="176"/>
      <c r="E110" s="176"/>
      <c r="F110" s="24"/>
      <c r="I110" s="50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52" t="s">
        <v>13</v>
      </c>
      <c r="C112" s="177"/>
      <c r="D112" s="177"/>
      <c r="E112" s="177"/>
      <c r="F112" s="60"/>
      <c r="I112" s="51"/>
    </row>
    <row r="113" spans="1:9" ht="15.75" customHeight="1">
      <c r="A113" s="49"/>
      <c r="C113" s="178" t="s">
        <v>11</v>
      </c>
      <c r="D113" s="178"/>
      <c r="E113" s="178"/>
      <c r="F113" s="49"/>
      <c r="I113" s="50" t="s">
        <v>12</v>
      </c>
    </row>
    <row r="114" spans="1:9" ht="15.75" customHeight="1">
      <c r="A114" s="4" t="s">
        <v>14</v>
      </c>
    </row>
    <row r="115" spans="1:9" ht="15.75" customHeight="1">
      <c r="A115" s="179" t="s">
        <v>15</v>
      </c>
      <c r="B115" s="179"/>
      <c r="C115" s="179"/>
      <c r="D115" s="179"/>
      <c r="E115" s="179"/>
      <c r="F115" s="179"/>
      <c r="G115" s="179"/>
      <c r="H115" s="179"/>
      <c r="I115" s="179"/>
    </row>
    <row r="116" spans="1:9" ht="45" customHeight="1">
      <c r="A116" s="173" t="s">
        <v>16</v>
      </c>
      <c r="B116" s="173"/>
      <c r="C116" s="173"/>
      <c r="D116" s="173"/>
      <c r="E116" s="173"/>
      <c r="F116" s="173"/>
      <c r="G116" s="173"/>
      <c r="H116" s="173"/>
      <c r="I116" s="173"/>
    </row>
    <row r="117" spans="1:9" ht="30" customHeight="1">
      <c r="A117" s="173" t="s">
        <v>17</v>
      </c>
      <c r="B117" s="173"/>
      <c r="C117" s="173"/>
      <c r="D117" s="173"/>
      <c r="E117" s="173"/>
      <c r="F117" s="173"/>
      <c r="G117" s="173"/>
      <c r="H117" s="173"/>
      <c r="I117" s="173"/>
    </row>
    <row r="118" spans="1:9" ht="30" customHeight="1">
      <c r="A118" s="173" t="s">
        <v>21</v>
      </c>
      <c r="B118" s="173"/>
      <c r="C118" s="173"/>
      <c r="D118" s="173"/>
      <c r="E118" s="173"/>
      <c r="F118" s="173"/>
      <c r="G118" s="173"/>
      <c r="H118" s="173"/>
      <c r="I118" s="173"/>
    </row>
    <row r="119" spans="1:9" ht="15" customHeight="1">
      <c r="A119" s="173" t="s">
        <v>20</v>
      </c>
      <c r="B119" s="173"/>
      <c r="C119" s="173"/>
      <c r="D119" s="173"/>
      <c r="E119" s="173"/>
      <c r="F119" s="173"/>
      <c r="G119" s="173"/>
      <c r="H119" s="173"/>
      <c r="I119" s="173"/>
    </row>
  </sheetData>
  <autoFilter ref="I12:I64"/>
  <mergeCells count="29">
    <mergeCell ref="R69:U69"/>
    <mergeCell ref="A86:I86"/>
    <mergeCell ref="A3:I3"/>
    <mergeCell ref="A4:I4"/>
    <mergeCell ref="A5:I5"/>
    <mergeCell ref="A8:I8"/>
    <mergeCell ref="A10:I10"/>
    <mergeCell ref="A14:I14"/>
    <mergeCell ref="A105:I105"/>
    <mergeCell ref="A15:I15"/>
    <mergeCell ref="A27:I27"/>
    <mergeCell ref="A45:I45"/>
    <mergeCell ref="A57:I57"/>
    <mergeCell ref="A99:I99"/>
    <mergeCell ref="B100:G100"/>
    <mergeCell ref="B101:G101"/>
    <mergeCell ref="A103:I103"/>
    <mergeCell ref="A104:I104"/>
    <mergeCell ref="A90:I90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1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0"/>
  <sheetViews>
    <sheetView topLeftCell="A86" workbookViewId="0">
      <selection activeCell="J102" sqref="J10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143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243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44316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170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81" t="s">
        <v>84</v>
      </c>
      <c r="B27" s="181"/>
      <c r="C27" s="181"/>
      <c r="D27" s="181"/>
      <c r="E27" s="181"/>
      <c r="F27" s="181"/>
      <c r="G27" s="181"/>
      <c r="H27" s="181"/>
      <c r="I27" s="181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62" t="s">
        <v>104</v>
      </c>
      <c r="C29" s="63" t="s">
        <v>105</v>
      </c>
      <c r="D29" s="62" t="s">
        <v>106</v>
      </c>
      <c r="E29" s="64">
        <v>844.95</v>
      </c>
      <c r="F29" s="64">
        <f>SUM(E29*52/1000)</f>
        <v>43.937400000000004</v>
      </c>
      <c r="G29" s="64">
        <v>166.65</v>
      </c>
      <c r="H29" s="65">
        <f>SUM(F29*G29/1000)</f>
        <v>7.3221677100000004</v>
      </c>
      <c r="I29" s="13">
        <f>F29/6*G29</f>
        <v>1220.3612850000002</v>
      </c>
      <c r="J29" s="22"/>
      <c r="K29" s="8"/>
      <c r="L29" s="8"/>
      <c r="M29" s="8"/>
    </row>
    <row r="30" spans="1:13" ht="31.5" hidden="1" customHeight="1">
      <c r="A30" s="29">
        <v>8</v>
      </c>
      <c r="B30" s="62" t="s">
        <v>137</v>
      </c>
      <c r="C30" s="63" t="s">
        <v>105</v>
      </c>
      <c r="D30" s="62" t="s">
        <v>107</v>
      </c>
      <c r="E30" s="64">
        <v>260.13</v>
      </c>
      <c r="F30" s="64">
        <f>SUM(E30*78/1000)</f>
        <v>20.290140000000001</v>
      </c>
      <c r="G30" s="64">
        <v>276.48</v>
      </c>
      <c r="H30" s="65">
        <f t="shared" ref="H30:H35" si="1">SUM(F30*G30/1000)</f>
        <v>5.6098179072000001</v>
      </c>
      <c r="I30" s="13">
        <f t="shared" ref="I30:I33" si="2">F30/6*G30</f>
        <v>934.96965120000016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105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hidden="1" customHeight="1">
      <c r="A32" s="29">
        <v>9</v>
      </c>
      <c r="B32" s="62" t="s">
        <v>135</v>
      </c>
      <c r="C32" s="63" t="s">
        <v>41</v>
      </c>
      <c r="D32" s="62" t="s">
        <v>65</v>
      </c>
      <c r="E32" s="64">
        <v>8</v>
      </c>
      <c r="F32" s="64">
        <v>12.4</v>
      </c>
      <c r="G32" s="64">
        <v>1391.86</v>
      </c>
      <c r="H32" s="65">
        <v>17.259</v>
      </c>
      <c r="I32" s="13">
        <f t="shared" si="2"/>
        <v>2876.5106666666666</v>
      </c>
      <c r="J32" s="22"/>
      <c r="K32" s="8"/>
      <c r="L32" s="8"/>
      <c r="M32" s="8"/>
    </row>
    <row r="33" spans="1:14" ht="15.75" hidden="1" customHeight="1">
      <c r="A33" s="29">
        <v>10</v>
      </c>
      <c r="B33" s="62" t="s">
        <v>108</v>
      </c>
      <c r="C33" s="63" t="s">
        <v>30</v>
      </c>
      <c r="D33" s="62" t="s">
        <v>65</v>
      </c>
      <c r="E33" s="69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3">
        <f t="shared" si="2"/>
        <v>521.83333333333337</v>
      </c>
      <c r="J33" s="22"/>
      <c r="K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si="1"/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1"/>
        <v>2.4294600000000002</v>
      </c>
      <c r="I35" s="13">
        <v>0</v>
      </c>
      <c r="J35" s="23"/>
    </row>
    <row r="36" spans="1:14" ht="15.75" customHeight="1">
      <c r="A36" s="29"/>
      <c r="B36" s="83" t="s">
        <v>5</v>
      </c>
      <c r="C36" s="63"/>
      <c r="D36" s="62"/>
      <c r="E36" s="48"/>
      <c r="F36" s="64"/>
      <c r="G36" s="64"/>
      <c r="H36" s="65" t="s">
        <v>124</v>
      </c>
      <c r="I36" s="13"/>
      <c r="J36" s="23"/>
    </row>
    <row r="37" spans="1:14" ht="15.75" hidden="1" customHeight="1">
      <c r="A37" s="29">
        <v>7</v>
      </c>
      <c r="B37" s="138" t="s">
        <v>26</v>
      </c>
      <c r="C37" s="116" t="s">
        <v>32</v>
      </c>
      <c r="D37" s="115" t="s">
        <v>189</v>
      </c>
      <c r="E37" s="120"/>
      <c r="F37" s="121">
        <v>6</v>
      </c>
      <c r="G37" s="121">
        <v>1855</v>
      </c>
      <c r="H37" s="65">
        <f t="shared" ref="H37:H43" si="3">SUM(F37*G37/1000)</f>
        <v>11.13</v>
      </c>
      <c r="I37" s="13">
        <f>G37*1.5</f>
        <v>2782.5</v>
      </c>
      <c r="J37" s="23"/>
    </row>
    <row r="38" spans="1:14" ht="15.75" customHeight="1">
      <c r="A38" s="29">
        <v>6</v>
      </c>
      <c r="B38" s="138" t="s">
        <v>186</v>
      </c>
      <c r="C38" s="139" t="s">
        <v>29</v>
      </c>
      <c r="D38" s="138" t="s">
        <v>172</v>
      </c>
      <c r="E38" s="141">
        <v>254.8</v>
      </c>
      <c r="F38" s="141">
        <f>SUM(E38*30/1000)</f>
        <v>7.6440000000000001</v>
      </c>
      <c r="G38" s="141">
        <v>3014.36</v>
      </c>
      <c r="H38" s="65">
        <f t="shared" si="3"/>
        <v>23.041767840000002</v>
      </c>
      <c r="I38" s="13">
        <f>F38/6*G38</f>
        <v>3840.2946400000001</v>
      </c>
      <c r="J38" s="23"/>
      <c r="L38" s="19"/>
      <c r="M38" s="20"/>
      <c r="N38" s="21"/>
    </row>
    <row r="39" spans="1:14" ht="15.75" hidden="1" customHeight="1">
      <c r="A39" s="29"/>
      <c r="B39" s="115" t="s">
        <v>91</v>
      </c>
      <c r="C39" s="116" t="s">
        <v>110</v>
      </c>
      <c r="D39" s="115" t="s">
        <v>162</v>
      </c>
      <c r="E39" s="120"/>
      <c r="F39" s="141">
        <v>26</v>
      </c>
      <c r="G39" s="121">
        <v>330</v>
      </c>
      <c r="H39" s="65">
        <f t="shared" si="3"/>
        <v>8.58</v>
      </c>
      <c r="I39" s="13">
        <v>0</v>
      </c>
      <c r="J39" s="23"/>
      <c r="L39" s="19"/>
      <c r="M39" s="20"/>
      <c r="N39" s="21"/>
    </row>
    <row r="40" spans="1:14" ht="15.75" customHeight="1">
      <c r="A40" s="29">
        <v>7</v>
      </c>
      <c r="B40" s="115" t="s">
        <v>69</v>
      </c>
      <c r="C40" s="116" t="s">
        <v>29</v>
      </c>
      <c r="D40" s="115" t="s">
        <v>173</v>
      </c>
      <c r="E40" s="121">
        <v>260.13</v>
      </c>
      <c r="F40" s="141">
        <f>SUM(E40*155/1000)</f>
        <v>40.320149999999998</v>
      </c>
      <c r="G40" s="121">
        <v>502.82</v>
      </c>
      <c r="H40" s="65">
        <f t="shared" si="3"/>
        <v>20.273777823</v>
      </c>
      <c r="I40" s="13">
        <f>F40/6*G40</f>
        <v>3378.9629704999998</v>
      </c>
      <c r="J40" s="23"/>
      <c r="L40" s="19"/>
      <c r="M40" s="20"/>
      <c r="N40" s="21"/>
    </row>
    <row r="41" spans="1:14" ht="47.25" customHeight="1">
      <c r="A41" s="29">
        <v>8</v>
      </c>
      <c r="B41" s="115" t="s">
        <v>82</v>
      </c>
      <c r="C41" s="116" t="s">
        <v>105</v>
      </c>
      <c r="D41" s="115" t="s">
        <v>178</v>
      </c>
      <c r="E41" s="121">
        <v>132.72999999999999</v>
      </c>
      <c r="F41" s="141">
        <f>SUM(E41*24/1000)</f>
        <v>3.1855199999999995</v>
      </c>
      <c r="G41" s="121">
        <v>8319.2999999999993</v>
      </c>
      <c r="H41" s="65">
        <f t="shared" si="3"/>
        <v>26.501296535999995</v>
      </c>
      <c r="I41" s="13">
        <f>F41/6*G41</f>
        <v>4416.8827559999991</v>
      </c>
      <c r="J41" s="23"/>
      <c r="L41" s="19"/>
      <c r="M41" s="20"/>
      <c r="N41" s="21"/>
    </row>
    <row r="42" spans="1:14" ht="15.75" hidden="1" customHeight="1">
      <c r="A42" s="29">
        <v>11</v>
      </c>
      <c r="B42" s="62" t="s">
        <v>113</v>
      </c>
      <c r="C42" s="63" t="s">
        <v>105</v>
      </c>
      <c r="D42" s="62" t="s">
        <v>175</v>
      </c>
      <c r="E42" s="64">
        <v>254.8</v>
      </c>
      <c r="F42" s="64">
        <f>SUM(E42*45/1000)</f>
        <v>11.465999999999999</v>
      </c>
      <c r="G42" s="64">
        <v>458.28</v>
      </c>
      <c r="H42" s="65">
        <f t="shared" si="3"/>
        <v>5.2546384799999997</v>
      </c>
      <c r="I42" s="13">
        <f>(F42/7.5*1.5)*G42</f>
        <v>1050.9276959999997</v>
      </c>
      <c r="J42" s="23"/>
      <c r="L42" s="19"/>
      <c r="M42" s="20"/>
      <c r="N42" s="21"/>
    </row>
    <row r="43" spans="1:14" ht="15.75" hidden="1" customHeight="1">
      <c r="A43" s="29">
        <v>12</v>
      </c>
      <c r="B43" s="62" t="s">
        <v>71</v>
      </c>
      <c r="C43" s="63" t="s">
        <v>33</v>
      </c>
      <c r="D43" s="62"/>
      <c r="E43" s="48"/>
      <c r="F43" s="64">
        <v>0.9</v>
      </c>
      <c r="G43" s="64">
        <v>853.06</v>
      </c>
      <c r="H43" s="65">
        <f t="shared" si="3"/>
        <v>0.76775400000000005</v>
      </c>
      <c r="I43" s="13">
        <f>(F43/7.5*1.5)*G43</f>
        <v>153.55080000000001</v>
      </c>
      <c r="J43" s="23"/>
      <c r="L43" s="19"/>
      <c r="M43" s="20"/>
      <c r="N43" s="21"/>
    </row>
    <row r="44" spans="1:14" ht="30.75" customHeight="1">
      <c r="A44" s="136">
        <v>9</v>
      </c>
      <c r="B44" s="138" t="s">
        <v>185</v>
      </c>
      <c r="C44" s="139" t="s">
        <v>105</v>
      </c>
      <c r="D44" s="138" t="s">
        <v>187</v>
      </c>
      <c r="E44" s="140">
        <v>3.6</v>
      </c>
      <c r="F44" s="141">
        <f>E44*12/1000</f>
        <v>4.3200000000000002E-2</v>
      </c>
      <c r="G44" s="141">
        <v>19757.060000000001</v>
      </c>
      <c r="H44" s="56"/>
      <c r="I44" s="137">
        <f>G44*F44/6</f>
        <v>142.25083200000003</v>
      </c>
      <c r="J44" s="23"/>
      <c r="L44" s="19"/>
      <c r="M44" s="20"/>
      <c r="N44" s="21"/>
    </row>
    <row r="45" spans="1:14" ht="15.75" hidden="1" customHeight="1">
      <c r="A45" s="182" t="s">
        <v>131</v>
      </c>
      <c r="B45" s="183"/>
      <c r="C45" s="183"/>
      <c r="D45" s="183"/>
      <c r="E45" s="183"/>
      <c r="F45" s="183"/>
      <c r="G45" s="183"/>
      <c r="H45" s="183"/>
      <c r="I45" s="184"/>
      <c r="J45" s="23"/>
      <c r="L45" s="19"/>
      <c r="M45" s="20"/>
      <c r="N45" s="21"/>
    </row>
    <row r="46" spans="1:14" ht="15.75" hidden="1" customHeight="1">
      <c r="A46" s="29"/>
      <c r="B46" s="62" t="s">
        <v>128</v>
      </c>
      <c r="C46" s="63" t="s">
        <v>105</v>
      </c>
      <c r="D46" s="62" t="s">
        <v>43</v>
      </c>
      <c r="E46" s="48">
        <v>1795.9</v>
      </c>
      <c r="F46" s="64">
        <f>SUM(E46*2/1000)</f>
        <v>3.5918000000000001</v>
      </c>
      <c r="G46" s="13">
        <v>865.61</v>
      </c>
      <c r="H46" s="65">
        <f t="shared" ref="H46:H55" si="4">SUM(F46*G46/1000)</f>
        <v>3.1090979980000002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36</v>
      </c>
      <c r="C47" s="63" t="s">
        <v>105</v>
      </c>
      <c r="D47" s="62" t="s">
        <v>43</v>
      </c>
      <c r="E47" s="48">
        <v>104</v>
      </c>
      <c r="F47" s="64">
        <f>SUM(E47*2/1000)</f>
        <v>0.20799999999999999</v>
      </c>
      <c r="G47" s="13">
        <v>619.46</v>
      </c>
      <c r="H47" s="65">
        <f t="shared" si="4"/>
        <v>0.12884767999999999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37</v>
      </c>
      <c r="C48" s="63" t="s">
        <v>105</v>
      </c>
      <c r="D48" s="62" t="s">
        <v>43</v>
      </c>
      <c r="E48" s="48">
        <v>1996.87</v>
      </c>
      <c r="F48" s="64">
        <f>SUM(E48*2/1000)</f>
        <v>3.9937399999999998</v>
      </c>
      <c r="G48" s="13">
        <v>619.46</v>
      </c>
      <c r="H48" s="65">
        <f t="shared" si="4"/>
        <v>2.4739621804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38</v>
      </c>
      <c r="C49" s="63" t="s">
        <v>105</v>
      </c>
      <c r="D49" s="62" t="s">
        <v>43</v>
      </c>
      <c r="E49" s="48">
        <v>2630.35</v>
      </c>
      <c r="F49" s="64">
        <f>SUM(E49*2/1000)</f>
        <v>5.2606999999999999</v>
      </c>
      <c r="G49" s="13">
        <v>648.64</v>
      </c>
      <c r="H49" s="65">
        <f t="shared" si="4"/>
        <v>3.4123004479999999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2" t="s">
        <v>34</v>
      </c>
      <c r="C50" s="63" t="s">
        <v>35</v>
      </c>
      <c r="D50" s="62" t="s">
        <v>43</v>
      </c>
      <c r="E50" s="48">
        <v>131.47</v>
      </c>
      <c r="F50" s="64">
        <f>SUM(E50*2/100)</f>
        <v>2.6294</v>
      </c>
      <c r="G50" s="13">
        <v>77.84</v>
      </c>
      <c r="H50" s="65">
        <f t="shared" si="4"/>
        <v>0.20467249599999998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14</v>
      </c>
      <c r="B51" s="62" t="s">
        <v>58</v>
      </c>
      <c r="C51" s="63" t="s">
        <v>105</v>
      </c>
      <c r="D51" s="62" t="s">
        <v>138</v>
      </c>
      <c r="E51" s="48">
        <v>2872.4</v>
      </c>
      <c r="F51" s="64">
        <f>SUM(E51*5/1000)</f>
        <v>14.362</v>
      </c>
      <c r="G51" s="13">
        <v>1297.28</v>
      </c>
      <c r="H51" s="65">
        <f t="shared" si="4"/>
        <v>18.631535359999997</v>
      </c>
      <c r="I51" s="13">
        <f>F51/5*G51</f>
        <v>3726.3070719999996</v>
      </c>
      <c r="J51" s="23"/>
      <c r="L51" s="19"/>
      <c r="M51" s="20"/>
      <c r="N51" s="21"/>
    </row>
    <row r="52" spans="1:22" ht="31.5" hidden="1" customHeight="1">
      <c r="A52" s="29"/>
      <c r="B52" s="62" t="s">
        <v>114</v>
      </c>
      <c r="C52" s="63" t="s">
        <v>105</v>
      </c>
      <c r="D52" s="62" t="s">
        <v>43</v>
      </c>
      <c r="E52" s="48">
        <v>2872.4</v>
      </c>
      <c r="F52" s="64">
        <f>SUM(E52*2/1000)</f>
        <v>5.7448000000000006</v>
      </c>
      <c r="G52" s="13">
        <v>1297.28</v>
      </c>
      <c r="H52" s="65">
        <f t="shared" si="4"/>
        <v>7.4526141440000009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2" t="s">
        <v>115</v>
      </c>
      <c r="C53" s="63" t="s">
        <v>39</v>
      </c>
      <c r="D53" s="62" t="s">
        <v>43</v>
      </c>
      <c r="E53" s="48">
        <v>40</v>
      </c>
      <c r="F53" s="64">
        <f>SUM(E53*2/100)</f>
        <v>0.8</v>
      </c>
      <c r="G53" s="13">
        <v>2918.89</v>
      </c>
      <c r="H53" s="65">
        <f t="shared" si="4"/>
        <v>2.3351120000000001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/>
      <c r="B54" s="62" t="s">
        <v>40</v>
      </c>
      <c r="C54" s="63" t="s">
        <v>41</v>
      </c>
      <c r="D54" s="62" t="s">
        <v>43</v>
      </c>
      <c r="E54" s="48">
        <v>1</v>
      </c>
      <c r="F54" s="64">
        <v>0.02</v>
      </c>
      <c r="G54" s="13">
        <v>6042.12</v>
      </c>
      <c r="H54" s="65">
        <f t="shared" si="4"/>
        <v>0.1208424</v>
      </c>
      <c r="I54" s="13">
        <v>0</v>
      </c>
      <c r="J54" s="23"/>
      <c r="L54" s="19"/>
      <c r="M54" s="20"/>
      <c r="N54" s="21"/>
    </row>
    <row r="55" spans="1:22" ht="15.75" hidden="1" customHeight="1">
      <c r="A55" s="29">
        <v>15</v>
      </c>
      <c r="B55" s="62" t="s">
        <v>42</v>
      </c>
      <c r="C55" s="63" t="s">
        <v>30</v>
      </c>
      <c r="D55" s="62" t="s">
        <v>72</v>
      </c>
      <c r="E55" s="48">
        <v>160</v>
      </c>
      <c r="F55" s="64">
        <f>SUM(E55)*3</f>
        <v>480</v>
      </c>
      <c r="G55" s="13">
        <v>70.209999999999994</v>
      </c>
      <c r="H55" s="65">
        <f t="shared" si="4"/>
        <v>33.700799999999994</v>
      </c>
      <c r="I55" s="13">
        <f>E55*G55</f>
        <v>11233.599999999999</v>
      </c>
      <c r="J55" s="23"/>
      <c r="L55" s="19"/>
      <c r="M55" s="20"/>
      <c r="N55" s="21"/>
    </row>
    <row r="56" spans="1:22" ht="15.75" customHeight="1">
      <c r="A56" s="182" t="s">
        <v>141</v>
      </c>
      <c r="B56" s="183"/>
      <c r="C56" s="183"/>
      <c r="D56" s="183"/>
      <c r="E56" s="183"/>
      <c r="F56" s="183"/>
      <c r="G56" s="183"/>
      <c r="H56" s="183"/>
      <c r="I56" s="184"/>
      <c r="J56" s="23"/>
      <c r="L56" s="19"/>
      <c r="M56" s="20"/>
      <c r="N56" s="21"/>
    </row>
    <row r="57" spans="1:22" ht="15.75" hidden="1" customHeight="1">
      <c r="A57" s="29"/>
      <c r="B57" s="83" t="s">
        <v>44</v>
      </c>
      <c r="C57" s="63"/>
      <c r="D57" s="62"/>
      <c r="E57" s="48"/>
      <c r="F57" s="64"/>
      <c r="G57" s="64"/>
      <c r="H57" s="65"/>
      <c r="I57" s="13"/>
      <c r="J57" s="23"/>
      <c r="L57" s="19"/>
      <c r="M57" s="20"/>
      <c r="N57" s="21"/>
    </row>
    <row r="58" spans="1:22" ht="31.5" hidden="1" customHeight="1">
      <c r="A58" s="29">
        <v>11</v>
      </c>
      <c r="B58" s="115" t="s">
        <v>117</v>
      </c>
      <c r="C58" s="116" t="s">
        <v>98</v>
      </c>
      <c r="D58" s="115"/>
      <c r="E58" s="120">
        <v>106.3</v>
      </c>
      <c r="F58" s="121">
        <f>E58*6/100</f>
        <v>6.3779999999999992</v>
      </c>
      <c r="G58" s="153">
        <v>2218.11</v>
      </c>
      <c r="H58" s="65">
        <f>F58*G58/1000</f>
        <v>14.14710558</v>
      </c>
      <c r="I58" s="13">
        <f>G58*0.5315</f>
        <v>1178.925465</v>
      </c>
      <c r="J58" s="23"/>
      <c r="L58" s="19"/>
      <c r="M58" s="20"/>
      <c r="N58" s="21"/>
    </row>
    <row r="59" spans="1:22" ht="15" hidden="1" customHeight="1">
      <c r="A59" s="29">
        <v>12</v>
      </c>
      <c r="B59" s="99" t="s">
        <v>86</v>
      </c>
      <c r="C59" s="100" t="s">
        <v>156</v>
      </c>
      <c r="D59" s="154">
        <v>43934</v>
      </c>
      <c r="E59" s="101"/>
      <c r="F59" s="102">
        <v>8</v>
      </c>
      <c r="G59" s="107">
        <v>1730</v>
      </c>
      <c r="H59" s="78"/>
      <c r="I59" s="13">
        <f>G59*4</f>
        <v>6920</v>
      </c>
      <c r="J59" s="23"/>
      <c r="L59" s="19"/>
      <c r="M59" s="20"/>
      <c r="N59" s="21"/>
    </row>
    <row r="60" spans="1:22" ht="15.75" customHeight="1">
      <c r="A60" s="29"/>
      <c r="B60" s="84" t="s">
        <v>45</v>
      </c>
      <c r="C60" s="72"/>
      <c r="D60" s="73"/>
      <c r="E60" s="74"/>
      <c r="F60" s="76"/>
      <c r="G60" s="13"/>
      <c r="H60" s="78"/>
      <c r="I60" s="13"/>
      <c r="J60" s="23"/>
      <c r="L60" s="19"/>
      <c r="M60" s="20"/>
      <c r="N60" s="21"/>
    </row>
    <row r="61" spans="1:22" ht="15.75" hidden="1" customHeight="1">
      <c r="A61" s="29"/>
      <c r="B61" s="73" t="s">
        <v>46</v>
      </c>
      <c r="C61" s="72" t="s">
        <v>55</v>
      </c>
      <c r="D61" s="73" t="s">
        <v>56</v>
      </c>
      <c r="E61" s="74">
        <v>2686</v>
      </c>
      <c r="F61" s="76">
        <f>E61/100</f>
        <v>26.86</v>
      </c>
      <c r="G61" s="13">
        <v>848.37</v>
      </c>
      <c r="H61" s="78">
        <f>G61*F61/1000</f>
        <v>22.787218199999998</v>
      </c>
      <c r="I61" s="13">
        <v>0</v>
      </c>
      <c r="J61" s="23"/>
      <c r="L61" s="19"/>
    </row>
    <row r="62" spans="1:22" ht="15.75" customHeight="1">
      <c r="A62" s="29">
        <v>10</v>
      </c>
      <c r="B62" s="73" t="s">
        <v>92</v>
      </c>
      <c r="C62" s="72" t="s">
        <v>25</v>
      </c>
      <c r="D62" s="73" t="s">
        <v>164</v>
      </c>
      <c r="E62" s="74">
        <v>343</v>
      </c>
      <c r="F62" s="76">
        <v>2400</v>
      </c>
      <c r="G62" s="13">
        <v>1.4</v>
      </c>
      <c r="H62" s="78">
        <f>F62*G62</f>
        <v>3360</v>
      </c>
      <c r="I62" s="13">
        <f>F62/12*G62</f>
        <v>280</v>
      </c>
    </row>
    <row r="63" spans="1:22" ht="15.75" hidden="1" customHeight="1">
      <c r="A63" s="29"/>
      <c r="B63" s="84" t="s">
        <v>47</v>
      </c>
      <c r="C63" s="72"/>
      <c r="D63" s="73"/>
      <c r="E63" s="74"/>
      <c r="F63" s="75"/>
      <c r="G63" s="75"/>
      <c r="H63" s="76" t="s">
        <v>124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29"/>
      <c r="B64" s="14" t="s">
        <v>48</v>
      </c>
      <c r="C64" s="16" t="s">
        <v>116</v>
      </c>
      <c r="D64" s="73" t="s">
        <v>68</v>
      </c>
      <c r="E64" s="18">
        <v>15</v>
      </c>
      <c r="F64" s="64">
        <v>15</v>
      </c>
      <c r="G64" s="13">
        <v>237.74</v>
      </c>
      <c r="H64" s="79">
        <f t="shared" ref="H64:H80" si="5">SUM(F64*G64/1000)</f>
        <v>3.5661000000000005</v>
      </c>
      <c r="I64" s="13">
        <v>0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29"/>
      <c r="B65" s="14" t="s">
        <v>49</v>
      </c>
      <c r="C65" s="16" t="s">
        <v>116</v>
      </c>
      <c r="D65" s="73" t="s">
        <v>68</v>
      </c>
      <c r="E65" s="18">
        <v>5</v>
      </c>
      <c r="F65" s="64">
        <v>5</v>
      </c>
      <c r="G65" s="13">
        <v>81.510000000000005</v>
      </c>
      <c r="H65" s="79">
        <f t="shared" si="5"/>
        <v>0.40755000000000002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/>
      <c r="B66" s="14" t="s">
        <v>50</v>
      </c>
      <c r="C66" s="16" t="s">
        <v>118</v>
      </c>
      <c r="D66" s="14" t="s">
        <v>56</v>
      </c>
      <c r="E66" s="48">
        <v>24123</v>
      </c>
      <c r="F66" s="13">
        <f>SUM(E66/100)</f>
        <v>241.23</v>
      </c>
      <c r="G66" s="13">
        <v>226.79</v>
      </c>
      <c r="H66" s="79">
        <f t="shared" si="5"/>
        <v>54.708551699999994</v>
      </c>
      <c r="I66" s="13">
        <f>F66*G66</f>
        <v>54708.551699999996</v>
      </c>
      <c r="J66" s="5"/>
      <c r="K66" s="5"/>
      <c r="L66" s="5"/>
      <c r="M66" s="5"/>
      <c r="N66" s="5"/>
      <c r="O66" s="5"/>
      <c r="P66" s="5"/>
      <c r="Q66" s="5"/>
      <c r="R66" s="178"/>
      <c r="S66" s="178"/>
      <c r="T66" s="178"/>
      <c r="U66" s="178"/>
    </row>
    <row r="67" spans="1:21" ht="15.75" hidden="1" customHeight="1">
      <c r="A67" s="29"/>
      <c r="B67" s="14" t="s">
        <v>51</v>
      </c>
      <c r="C67" s="16" t="s">
        <v>119</v>
      </c>
      <c r="D67" s="14"/>
      <c r="E67" s="48">
        <v>24123</v>
      </c>
      <c r="F67" s="13">
        <f>SUM(E67/1000)</f>
        <v>24.123000000000001</v>
      </c>
      <c r="G67" s="13">
        <v>176.61</v>
      </c>
      <c r="H67" s="79">
        <f t="shared" si="5"/>
        <v>4.2603630300000006</v>
      </c>
      <c r="I67" s="13">
        <f t="shared" ref="I67:I71" si="6">F67*G67</f>
        <v>4260.3630300000004</v>
      </c>
    </row>
    <row r="68" spans="1:21" ht="15.75" hidden="1" customHeight="1">
      <c r="A68" s="29"/>
      <c r="B68" s="14" t="s">
        <v>52</v>
      </c>
      <c r="C68" s="16" t="s">
        <v>78</v>
      </c>
      <c r="D68" s="14" t="s">
        <v>56</v>
      </c>
      <c r="E68" s="48">
        <v>2730</v>
      </c>
      <c r="F68" s="13">
        <f>SUM(E68/100)</f>
        <v>27.3</v>
      </c>
      <c r="G68" s="13">
        <v>2217.7800000000002</v>
      </c>
      <c r="H68" s="79">
        <f t="shared" si="5"/>
        <v>60.545394000000009</v>
      </c>
      <c r="I68" s="13">
        <f t="shared" si="6"/>
        <v>60545.394000000008</v>
      </c>
    </row>
    <row r="69" spans="1:21" ht="15.75" hidden="1" customHeight="1">
      <c r="A69" s="29"/>
      <c r="B69" s="80" t="s">
        <v>120</v>
      </c>
      <c r="C69" s="16" t="s">
        <v>33</v>
      </c>
      <c r="D69" s="14"/>
      <c r="E69" s="48">
        <v>23</v>
      </c>
      <c r="F69" s="13">
        <f>SUM(E69)</f>
        <v>23</v>
      </c>
      <c r="G69" s="13">
        <v>42.67</v>
      </c>
      <c r="H69" s="79">
        <f t="shared" si="5"/>
        <v>0.98141000000000012</v>
      </c>
      <c r="I69" s="13">
        <f t="shared" si="6"/>
        <v>981.41000000000008</v>
      </c>
    </row>
    <row r="70" spans="1:21" ht="15.75" hidden="1" customHeight="1">
      <c r="A70" s="29"/>
      <c r="B70" s="80" t="s">
        <v>121</v>
      </c>
      <c r="C70" s="16" t="s">
        <v>33</v>
      </c>
      <c r="D70" s="14"/>
      <c r="E70" s="48">
        <v>23</v>
      </c>
      <c r="F70" s="13">
        <f>SUM(E70)</f>
        <v>23</v>
      </c>
      <c r="G70" s="13">
        <v>39.81</v>
      </c>
      <c r="H70" s="79">
        <f t="shared" si="5"/>
        <v>0.91563000000000005</v>
      </c>
      <c r="I70" s="13">
        <f t="shared" si="6"/>
        <v>915.63000000000011</v>
      </c>
    </row>
    <row r="71" spans="1:21" ht="15.75" hidden="1" customHeight="1">
      <c r="A71" s="29"/>
      <c r="B71" s="14" t="s">
        <v>59</v>
      </c>
      <c r="C71" s="16" t="s">
        <v>60</v>
      </c>
      <c r="D71" s="14" t="s">
        <v>56</v>
      </c>
      <c r="E71" s="18">
        <v>10</v>
      </c>
      <c r="F71" s="64">
        <f>SUM(E71)</f>
        <v>10</v>
      </c>
      <c r="G71" s="13">
        <v>53.32</v>
      </c>
      <c r="H71" s="79">
        <f t="shared" si="5"/>
        <v>0.53320000000000001</v>
      </c>
      <c r="I71" s="13">
        <f t="shared" si="6"/>
        <v>533.20000000000005</v>
      </c>
    </row>
    <row r="72" spans="1:21" ht="15.75" customHeight="1">
      <c r="A72" s="29"/>
      <c r="B72" s="152" t="s">
        <v>182</v>
      </c>
      <c r="C72" s="16"/>
      <c r="D72" s="14"/>
      <c r="E72" s="18"/>
      <c r="F72" s="13"/>
      <c r="G72" s="13"/>
      <c r="H72" s="13"/>
      <c r="I72" s="13"/>
    </row>
    <row r="73" spans="1:21" ht="29.25" customHeight="1">
      <c r="A73" s="29">
        <v>11</v>
      </c>
      <c r="B73" s="97" t="s">
        <v>183</v>
      </c>
      <c r="C73" s="126" t="s">
        <v>184</v>
      </c>
      <c r="D73" s="127"/>
      <c r="E73" s="128">
        <v>4591.2</v>
      </c>
      <c r="F73" s="129">
        <f>E73*12</f>
        <v>55094.399999999994</v>
      </c>
      <c r="G73" s="129">
        <v>2.4900000000000002</v>
      </c>
      <c r="H73" s="13"/>
      <c r="I73" s="13">
        <f>G73*F73/12</f>
        <v>11432.088000000002</v>
      </c>
    </row>
    <row r="74" spans="1:21" ht="15.75" customHeight="1">
      <c r="A74" s="29"/>
      <c r="B74" s="54" t="s">
        <v>74</v>
      </c>
      <c r="C74" s="16"/>
      <c r="D74" s="14"/>
      <c r="E74" s="18"/>
      <c r="F74" s="13"/>
      <c r="G74" s="13"/>
      <c r="H74" s="79" t="s">
        <v>124</v>
      </c>
      <c r="I74" s="13"/>
    </row>
    <row r="75" spans="1:21" ht="15.75" customHeight="1">
      <c r="A75" s="29">
        <v>12</v>
      </c>
      <c r="B75" s="14" t="s">
        <v>75</v>
      </c>
      <c r="C75" s="16" t="s">
        <v>31</v>
      </c>
      <c r="D75" s="14" t="s">
        <v>244</v>
      </c>
      <c r="E75" s="18">
        <v>2</v>
      </c>
      <c r="F75" s="56">
        <v>0.2</v>
      </c>
      <c r="G75" s="112">
        <v>719.08</v>
      </c>
      <c r="H75" s="79">
        <v>0.251</v>
      </c>
      <c r="I75" s="13">
        <f>G75*0.5</f>
        <v>359.54</v>
      </c>
    </row>
    <row r="76" spans="1:21" ht="15.75" hidden="1" customHeight="1">
      <c r="A76" s="29"/>
      <c r="B76" s="14" t="s">
        <v>87</v>
      </c>
      <c r="C76" s="16" t="s">
        <v>30</v>
      </c>
      <c r="D76" s="14"/>
      <c r="E76" s="18">
        <v>1</v>
      </c>
      <c r="F76" s="64">
        <f>SUM(E76)</f>
        <v>1</v>
      </c>
      <c r="G76" s="13">
        <v>383.25</v>
      </c>
      <c r="H76" s="79">
        <f t="shared" si="5"/>
        <v>0.38324999999999998</v>
      </c>
      <c r="I76" s="13">
        <v>0</v>
      </c>
    </row>
    <row r="77" spans="1:21" ht="15.75" hidden="1" customHeight="1">
      <c r="A77" s="29"/>
      <c r="B77" s="14" t="s">
        <v>76</v>
      </c>
      <c r="C77" s="16" t="s">
        <v>30</v>
      </c>
      <c r="D77" s="14"/>
      <c r="E77" s="18">
        <v>2</v>
      </c>
      <c r="F77" s="13">
        <v>2</v>
      </c>
      <c r="G77" s="13">
        <v>911.85</v>
      </c>
      <c r="H77" s="79">
        <f>F77*G77/1000</f>
        <v>1.8237000000000001</v>
      </c>
      <c r="I77" s="13">
        <v>0</v>
      </c>
    </row>
    <row r="78" spans="1:21" ht="30" customHeight="1">
      <c r="A78" s="29">
        <v>13</v>
      </c>
      <c r="B78" s="97" t="s">
        <v>179</v>
      </c>
      <c r="C78" s="114" t="s">
        <v>30</v>
      </c>
      <c r="D78" s="97" t="s">
        <v>164</v>
      </c>
      <c r="E78" s="17">
        <v>2</v>
      </c>
      <c r="F78" s="34">
        <f>E78*12</f>
        <v>24</v>
      </c>
      <c r="G78" s="34">
        <v>404</v>
      </c>
      <c r="H78" s="79"/>
      <c r="I78" s="13">
        <f>G78*2</f>
        <v>808</v>
      </c>
    </row>
    <row r="79" spans="1:21" ht="15.75" hidden="1" customHeight="1">
      <c r="A79" s="29"/>
      <c r="B79" s="81" t="s">
        <v>77</v>
      </c>
      <c r="C79" s="16"/>
      <c r="D79" s="14"/>
      <c r="E79" s="18"/>
      <c r="F79" s="13"/>
      <c r="G79" s="13" t="s">
        <v>124</v>
      </c>
      <c r="H79" s="79" t="s">
        <v>124</v>
      </c>
      <c r="I79" s="13"/>
    </row>
    <row r="80" spans="1:21" ht="15.75" hidden="1" customHeight="1">
      <c r="A80" s="29"/>
      <c r="B80" s="44" t="s">
        <v>125</v>
      </c>
      <c r="C80" s="16" t="s">
        <v>78</v>
      </c>
      <c r="D80" s="14"/>
      <c r="E80" s="18"/>
      <c r="F80" s="13">
        <v>1.35</v>
      </c>
      <c r="G80" s="13">
        <v>2949.85</v>
      </c>
      <c r="H80" s="79">
        <f t="shared" si="5"/>
        <v>3.9822975</v>
      </c>
      <c r="I80" s="13">
        <v>0</v>
      </c>
    </row>
    <row r="81" spans="1:9" ht="15.75" hidden="1" customHeight="1">
      <c r="A81" s="29"/>
      <c r="B81" s="67" t="s">
        <v>122</v>
      </c>
      <c r="C81" s="81"/>
      <c r="D81" s="31"/>
      <c r="E81" s="32"/>
      <c r="F81" s="68"/>
      <c r="G81" s="68"/>
      <c r="H81" s="82">
        <f>SUM(H58:H80)</f>
        <v>3529.2927700099999</v>
      </c>
      <c r="I81" s="68"/>
    </row>
    <row r="82" spans="1:9" ht="15.75" hidden="1" customHeight="1">
      <c r="A82" s="108"/>
      <c r="B82" s="73" t="s">
        <v>123</v>
      </c>
      <c r="C82" s="109"/>
      <c r="D82" s="110"/>
      <c r="E82" s="57"/>
      <c r="F82" s="105">
        <v>1</v>
      </c>
      <c r="G82" s="105">
        <v>19342.2</v>
      </c>
      <c r="H82" s="111">
        <f>G82*F82/1000</f>
        <v>19.342200000000002</v>
      </c>
      <c r="I82" s="105">
        <v>0</v>
      </c>
    </row>
    <row r="83" spans="1:9" ht="15.75" customHeight="1">
      <c r="A83" s="191" t="s">
        <v>142</v>
      </c>
      <c r="B83" s="192"/>
      <c r="C83" s="192"/>
      <c r="D83" s="192"/>
      <c r="E83" s="192"/>
      <c r="F83" s="192"/>
      <c r="G83" s="192"/>
      <c r="H83" s="192"/>
      <c r="I83" s="193"/>
    </row>
    <row r="84" spans="1:9" ht="15.75" customHeight="1">
      <c r="A84" s="29">
        <v>14</v>
      </c>
      <c r="B84" s="97" t="s">
        <v>126</v>
      </c>
      <c r="C84" s="114" t="s">
        <v>57</v>
      </c>
      <c r="D84" s="130"/>
      <c r="E84" s="34">
        <v>4591.2</v>
      </c>
      <c r="F84" s="34">
        <f>SUM(E84*12)</f>
        <v>55094.399999999994</v>
      </c>
      <c r="G84" s="34">
        <v>3.38</v>
      </c>
      <c r="H84" s="79">
        <f>SUM(F84*G84/1000)</f>
        <v>186.21907199999998</v>
      </c>
      <c r="I84" s="13">
        <f>F84/12*G84</f>
        <v>15518.255999999999</v>
      </c>
    </row>
    <row r="85" spans="1:9" ht="31.5" customHeight="1">
      <c r="A85" s="29">
        <v>15</v>
      </c>
      <c r="B85" s="131" t="s">
        <v>180</v>
      </c>
      <c r="C85" s="132" t="s">
        <v>25</v>
      </c>
      <c r="D85" s="133"/>
      <c r="E85" s="134">
        <f>E84</f>
        <v>4591.2</v>
      </c>
      <c r="F85" s="119">
        <f>E85*12</f>
        <v>55094.399999999994</v>
      </c>
      <c r="G85" s="119">
        <v>3.05</v>
      </c>
      <c r="H85" s="79">
        <f>F85*G85/1000</f>
        <v>168.03791999999999</v>
      </c>
      <c r="I85" s="13">
        <f>F85/12*G85</f>
        <v>14003.159999999998</v>
      </c>
    </row>
    <row r="86" spans="1:9" ht="15.75" customHeight="1">
      <c r="A86" s="45"/>
      <c r="B86" s="36" t="s">
        <v>80</v>
      </c>
      <c r="C86" s="37"/>
      <c r="D86" s="15"/>
      <c r="E86" s="15"/>
      <c r="F86" s="15"/>
      <c r="G86" s="18"/>
      <c r="H86" s="18"/>
      <c r="I86" s="32">
        <f>I85+I84+I78+I75+I73+I62+I44+I41+I40+I38+I21+I20+I18+I17+I16</f>
        <v>74341.193139833325</v>
      </c>
    </row>
    <row r="87" spans="1:9" ht="15.75" customHeight="1">
      <c r="A87" s="188" t="s">
        <v>62</v>
      </c>
      <c r="B87" s="189"/>
      <c r="C87" s="189"/>
      <c r="D87" s="189"/>
      <c r="E87" s="189"/>
      <c r="F87" s="189"/>
      <c r="G87" s="189"/>
      <c r="H87" s="189"/>
      <c r="I87" s="190"/>
    </row>
    <row r="88" spans="1:9" ht="30" customHeight="1">
      <c r="A88" s="29">
        <v>16</v>
      </c>
      <c r="B88" s="92" t="s">
        <v>216</v>
      </c>
      <c r="C88" s="93" t="s">
        <v>39</v>
      </c>
      <c r="D88" s="95" t="s">
        <v>169</v>
      </c>
      <c r="E88" s="34"/>
      <c r="F88" s="34">
        <v>0.05</v>
      </c>
      <c r="G88" s="34">
        <v>4233.72</v>
      </c>
      <c r="H88" s="94"/>
      <c r="I88" s="13">
        <v>0</v>
      </c>
    </row>
    <row r="89" spans="1:9" ht="15.75" customHeight="1">
      <c r="A89" s="29">
        <v>17</v>
      </c>
      <c r="B89" s="92" t="s">
        <v>217</v>
      </c>
      <c r="C89" s="93" t="s">
        <v>116</v>
      </c>
      <c r="D89" s="95"/>
      <c r="E89" s="34"/>
      <c r="F89" s="34">
        <v>3</v>
      </c>
      <c r="G89" s="34">
        <v>725.12</v>
      </c>
      <c r="H89" s="94"/>
      <c r="I89" s="13">
        <f>G89*2</f>
        <v>1450.24</v>
      </c>
    </row>
    <row r="90" spans="1:9" ht="15.75" customHeight="1">
      <c r="A90" s="29">
        <v>18</v>
      </c>
      <c r="B90" s="92" t="s">
        <v>245</v>
      </c>
      <c r="C90" s="93" t="s">
        <v>116</v>
      </c>
      <c r="D90" s="95"/>
      <c r="E90" s="34"/>
      <c r="F90" s="34">
        <v>1</v>
      </c>
      <c r="G90" s="34">
        <v>603.92999999999995</v>
      </c>
      <c r="H90" s="94"/>
      <c r="I90" s="13">
        <f>G90*1</f>
        <v>603.92999999999995</v>
      </c>
    </row>
    <row r="91" spans="1:9" ht="15.75" customHeight="1">
      <c r="A91" s="29">
        <v>19</v>
      </c>
      <c r="B91" s="92" t="s">
        <v>246</v>
      </c>
      <c r="C91" s="93" t="s">
        <v>159</v>
      </c>
      <c r="D91" s="95"/>
      <c r="E91" s="34"/>
      <c r="F91" s="34">
        <v>3</v>
      </c>
      <c r="G91" s="34">
        <v>104.2</v>
      </c>
      <c r="H91" s="94"/>
      <c r="I91" s="13">
        <f>G91*3</f>
        <v>312.60000000000002</v>
      </c>
    </row>
    <row r="92" spans="1:9" ht="15.75" customHeight="1">
      <c r="A92" s="29">
        <v>20</v>
      </c>
      <c r="B92" s="118" t="s">
        <v>247</v>
      </c>
      <c r="C92" s="96" t="s">
        <v>116</v>
      </c>
      <c r="D92" s="95" t="s">
        <v>249</v>
      </c>
      <c r="E92" s="34"/>
      <c r="F92" s="34">
        <v>2</v>
      </c>
      <c r="G92" s="34">
        <v>149.94</v>
      </c>
      <c r="H92" s="94"/>
      <c r="I92" s="13">
        <f>G92*2</f>
        <v>299.88</v>
      </c>
    </row>
    <row r="93" spans="1:9" ht="33.75" customHeight="1">
      <c r="A93" s="29">
        <v>21</v>
      </c>
      <c r="B93" s="92" t="s">
        <v>191</v>
      </c>
      <c r="C93" s="93" t="s">
        <v>192</v>
      </c>
      <c r="D93" s="95" t="s">
        <v>248</v>
      </c>
      <c r="E93" s="34"/>
      <c r="F93" s="34">
        <v>1</v>
      </c>
      <c r="G93" s="34">
        <v>64.040000000000006</v>
      </c>
      <c r="H93" s="94"/>
      <c r="I93" s="13">
        <v>0</v>
      </c>
    </row>
    <row r="94" spans="1:9" ht="17.25" customHeight="1">
      <c r="A94" s="29">
        <v>22</v>
      </c>
      <c r="B94" s="95" t="s">
        <v>155</v>
      </c>
      <c r="C94" s="114" t="s">
        <v>159</v>
      </c>
      <c r="D94" s="95" t="s">
        <v>250</v>
      </c>
      <c r="E94" s="34"/>
      <c r="F94" s="34">
        <v>58</v>
      </c>
      <c r="G94" s="34">
        <v>295.36</v>
      </c>
      <c r="H94" s="94"/>
      <c r="I94" s="13">
        <v>0</v>
      </c>
    </row>
    <row r="95" spans="1:9" ht="17.25" customHeight="1">
      <c r="A95" s="29">
        <v>23</v>
      </c>
      <c r="B95" s="118" t="s">
        <v>251</v>
      </c>
      <c r="C95" s="93" t="s">
        <v>252</v>
      </c>
      <c r="D95" s="95"/>
      <c r="E95" s="34"/>
      <c r="F95" s="34">
        <v>0.02</v>
      </c>
      <c r="G95" s="34">
        <v>21693.84</v>
      </c>
      <c r="H95" s="94"/>
      <c r="I95" s="13">
        <f>G95*0.02</f>
        <v>433.8768</v>
      </c>
    </row>
    <row r="96" spans="1:9" ht="17.25" customHeight="1">
      <c r="A96" s="29">
        <v>24</v>
      </c>
      <c r="B96" s="92" t="s">
        <v>268</v>
      </c>
      <c r="C96" s="93" t="s">
        <v>29</v>
      </c>
      <c r="D96" s="95"/>
      <c r="E96" s="34"/>
      <c r="F96" s="34">
        <v>0.502</v>
      </c>
      <c r="G96" s="34">
        <v>241.69</v>
      </c>
      <c r="H96" s="94"/>
      <c r="I96" s="13">
        <f>G96*0.502</f>
        <v>121.32838</v>
      </c>
    </row>
    <row r="97" spans="1:9" ht="15.75" customHeight="1">
      <c r="A97" s="29"/>
      <c r="B97" s="42" t="s">
        <v>53</v>
      </c>
      <c r="C97" s="38"/>
      <c r="D97" s="46"/>
      <c r="E97" s="38">
        <v>1</v>
      </c>
      <c r="F97" s="38"/>
      <c r="G97" s="38"/>
      <c r="H97" s="38"/>
      <c r="I97" s="32">
        <f>SUM(I88:I96)</f>
        <v>3221.85518</v>
      </c>
    </row>
    <row r="98" spans="1:9" ht="15.75" customHeight="1">
      <c r="A98" s="29"/>
      <c r="B98" s="44" t="s">
        <v>79</v>
      </c>
      <c r="C98" s="15"/>
      <c r="D98" s="15"/>
      <c r="E98" s="39"/>
      <c r="F98" s="39"/>
      <c r="G98" s="40"/>
      <c r="H98" s="40"/>
      <c r="I98" s="17">
        <v>0</v>
      </c>
    </row>
    <row r="99" spans="1:9" ht="15.75" customHeight="1">
      <c r="A99" s="47"/>
      <c r="B99" s="43" t="s">
        <v>150</v>
      </c>
      <c r="C99" s="33"/>
      <c r="D99" s="33"/>
      <c r="E99" s="33"/>
      <c r="F99" s="33"/>
      <c r="G99" s="33"/>
      <c r="H99" s="33"/>
      <c r="I99" s="41">
        <f>I86+I97</f>
        <v>77563.048319833324</v>
      </c>
    </row>
    <row r="100" spans="1:9" ht="15.75" customHeight="1">
      <c r="A100" s="185" t="s">
        <v>269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55"/>
      <c r="B101" s="186" t="s">
        <v>270</v>
      </c>
      <c r="C101" s="186"/>
      <c r="D101" s="186"/>
      <c r="E101" s="186"/>
      <c r="F101" s="186"/>
      <c r="G101" s="186"/>
      <c r="H101" s="61"/>
      <c r="I101" s="3"/>
    </row>
    <row r="102" spans="1:9" ht="15.75" customHeight="1">
      <c r="A102" s="49"/>
      <c r="B102" s="176" t="s">
        <v>6</v>
      </c>
      <c r="C102" s="176"/>
      <c r="D102" s="176"/>
      <c r="E102" s="176"/>
      <c r="F102" s="176"/>
      <c r="G102" s="176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87" t="s">
        <v>7</v>
      </c>
      <c r="B104" s="187"/>
      <c r="C104" s="187"/>
      <c r="D104" s="187"/>
      <c r="E104" s="187"/>
      <c r="F104" s="187"/>
      <c r="G104" s="187"/>
      <c r="H104" s="187"/>
      <c r="I104" s="187"/>
    </row>
    <row r="105" spans="1:9" ht="15.75" customHeight="1">
      <c r="A105" s="187" t="s">
        <v>8</v>
      </c>
      <c r="B105" s="187"/>
      <c r="C105" s="187"/>
      <c r="D105" s="187"/>
      <c r="E105" s="187"/>
      <c r="F105" s="187"/>
      <c r="G105" s="187"/>
      <c r="H105" s="187"/>
      <c r="I105" s="187"/>
    </row>
    <row r="106" spans="1:9" ht="15.75" customHeight="1">
      <c r="A106" s="180" t="s">
        <v>63</v>
      </c>
      <c r="B106" s="180"/>
      <c r="C106" s="180"/>
      <c r="D106" s="180"/>
      <c r="E106" s="180"/>
      <c r="F106" s="180"/>
      <c r="G106" s="180"/>
      <c r="H106" s="180"/>
      <c r="I106" s="180"/>
    </row>
    <row r="107" spans="1:9" ht="15.75" customHeight="1">
      <c r="A107" s="11"/>
    </row>
    <row r="108" spans="1:9" ht="15.75" customHeight="1">
      <c r="A108" s="174" t="s">
        <v>9</v>
      </c>
      <c r="B108" s="174"/>
      <c r="C108" s="174"/>
      <c r="D108" s="174"/>
      <c r="E108" s="174"/>
      <c r="F108" s="174"/>
      <c r="G108" s="174"/>
      <c r="H108" s="174"/>
      <c r="I108" s="174"/>
    </row>
    <row r="109" spans="1:9" ht="15.75" customHeight="1">
      <c r="A109" s="4"/>
    </row>
    <row r="110" spans="1:9" ht="15.75" customHeight="1">
      <c r="B110" s="52" t="s">
        <v>10</v>
      </c>
      <c r="C110" s="175" t="s">
        <v>206</v>
      </c>
      <c r="D110" s="175"/>
      <c r="E110" s="175"/>
      <c r="F110" s="59"/>
      <c r="I110" s="51"/>
    </row>
    <row r="111" spans="1:9" ht="15.75" customHeight="1">
      <c r="A111" s="49"/>
      <c r="C111" s="176" t="s">
        <v>11</v>
      </c>
      <c r="D111" s="176"/>
      <c r="E111" s="176"/>
      <c r="F111" s="24"/>
      <c r="I111" s="50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52" t="s">
        <v>13</v>
      </c>
      <c r="C113" s="177"/>
      <c r="D113" s="177"/>
      <c r="E113" s="177"/>
      <c r="F113" s="60"/>
      <c r="I113" s="51"/>
    </row>
    <row r="114" spans="1:9" ht="15.75" customHeight="1">
      <c r="A114" s="49"/>
      <c r="C114" s="178" t="s">
        <v>11</v>
      </c>
      <c r="D114" s="178"/>
      <c r="E114" s="178"/>
      <c r="F114" s="49"/>
      <c r="I114" s="50" t="s">
        <v>12</v>
      </c>
    </row>
    <row r="115" spans="1:9" ht="15.75" customHeight="1">
      <c r="A115" s="4" t="s">
        <v>14</v>
      </c>
    </row>
    <row r="116" spans="1:9" ht="15.75" customHeight="1">
      <c r="A116" s="179" t="s">
        <v>15</v>
      </c>
      <c r="B116" s="179"/>
      <c r="C116" s="179"/>
      <c r="D116" s="179"/>
      <c r="E116" s="179"/>
      <c r="F116" s="179"/>
      <c r="G116" s="179"/>
      <c r="H116" s="179"/>
      <c r="I116" s="179"/>
    </row>
    <row r="117" spans="1:9" ht="45" customHeight="1">
      <c r="A117" s="173" t="s">
        <v>16</v>
      </c>
      <c r="B117" s="173"/>
      <c r="C117" s="173"/>
      <c r="D117" s="173"/>
      <c r="E117" s="173"/>
      <c r="F117" s="173"/>
      <c r="G117" s="173"/>
      <c r="H117" s="173"/>
      <c r="I117" s="173"/>
    </row>
    <row r="118" spans="1:9" ht="30" customHeight="1">
      <c r="A118" s="173" t="s">
        <v>17</v>
      </c>
      <c r="B118" s="173"/>
      <c r="C118" s="173"/>
      <c r="D118" s="173"/>
      <c r="E118" s="173"/>
      <c r="F118" s="173"/>
      <c r="G118" s="173"/>
      <c r="H118" s="173"/>
      <c r="I118" s="173"/>
    </row>
    <row r="119" spans="1:9" ht="30" customHeight="1">
      <c r="A119" s="173" t="s">
        <v>21</v>
      </c>
      <c r="B119" s="173"/>
      <c r="C119" s="173"/>
      <c r="D119" s="173"/>
      <c r="E119" s="173"/>
      <c r="F119" s="173"/>
      <c r="G119" s="173"/>
      <c r="H119" s="173"/>
      <c r="I119" s="173"/>
    </row>
    <row r="120" spans="1:9" ht="15" customHeight="1">
      <c r="A120" s="173" t="s">
        <v>20</v>
      </c>
      <c r="B120" s="173"/>
      <c r="C120" s="173"/>
      <c r="D120" s="173"/>
      <c r="E120" s="173"/>
      <c r="F120" s="173"/>
      <c r="G120" s="173"/>
      <c r="H120" s="173"/>
      <c r="I120" s="173"/>
    </row>
  </sheetData>
  <autoFilter ref="I12:I62"/>
  <mergeCells count="29">
    <mergeCell ref="R66:U66"/>
    <mergeCell ref="A83:I83"/>
    <mergeCell ref="A3:I3"/>
    <mergeCell ref="A4:I4"/>
    <mergeCell ref="A5:I5"/>
    <mergeCell ref="A8:I8"/>
    <mergeCell ref="A10:I10"/>
    <mergeCell ref="A14:I14"/>
    <mergeCell ref="A106:I106"/>
    <mergeCell ref="A15:I15"/>
    <mergeCell ref="A27:I27"/>
    <mergeCell ref="A56:I56"/>
    <mergeCell ref="A100:I100"/>
    <mergeCell ref="B101:G101"/>
    <mergeCell ref="B102:G102"/>
    <mergeCell ref="A104:I104"/>
    <mergeCell ref="A105:I105"/>
    <mergeCell ref="A87:I87"/>
    <mergeCell ref="A45:I4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I111" sqref="I11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144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253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44347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>
        <v>4</v>
      </c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>
        <v>7</v>
      </c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81" t="s">
        <v>84</v>
      </c>
      <c r="B27" s="181"/>
      <c r="C27" s="181"/>
      <c r="D27" s="181"/>
      <c r="E27" s="181"/>
      <c r="F27" s="181"/>
      <c r="G27" s="181"/>
      <c r="H27" s="181"/>
      <c r="I27" s="181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6</v>
      </c>
      <c r="B29" s="115" t="s">
        <v>104</v>
      </c>
      <c r="C29" s="116" t="s">
        <v>105</v>
      </c>
      <c r="D29" s="115" t="s">
        <v>178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7</v>
      </c>
      <c r="B30" s="115" t="s">
        <v>137</v>
      </c>
      <c r="C30" s="116" t="s">
        <v>105</v>
      </c>
      <c r="D30" s="115" t="s">
        <v>168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4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customHeight="1">
      <c r="A31" s="29">
        <v>8</v>
      </c>
      <c r="B31" s="115" t="s">
        <v>27</v>
      </c>
      <c r="C31" s="116" t="s">
        <v>105</v>
      </c>
      <c r="D31" s="115" t="s">
        <v>164</v>
      </c>
      <c r="E31" s="121">
        <v>844.95</v>
      </c>
      <c r="F31" s="121">
        <f>SUM(E31/1000)</f>
        <v>0.84495000000000009</v>
      </c>
      <c r="G31" s="121">
        <v>4329.78</v>
      </c>
      <c r="H31" s="65">
        <f t="shared" si="1"/>
        <v>3.6584476110000002</v>
      </c>
      <c r="I31" s="13">
        <f>F31*G31</f>
        <v>3658.4476110000001</v>
      </c>
      <c r="J31" s="22"/>
      <c r="K31" s="8"/>
      <c r="L31" s="8"/>
      <c r="M31" s="8"/>
    </row>
    <row r="32" spans="1:13" ht="15.75" customHeight="1">
      <c r="A32" s="29">
        <v>9</v>
      </c>
      <c r="B32" s="115" t="s">
        <v>135</v>
      </c>
      <c r="C32" s="116" t="s">
        <v>41</v>
      </c>
      <c r="D32" s="115" t="s">
        <v>173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156" t="s">
        <v>166</v>
      </c>
      <c r="C33" s="157" t="s">
        <v>25</v>
      </c>
      <c r="D33" s="156" t="s">
        <v>193</v>
      </c>
      <c r="E33" s="159">
        <v>6.28</v>
      </c>
      <c r="F33" s="158">
        <f>E33*258</f>
        <v>1620.24</v>
      </c>
      <c r="G33" s="158">
        <v>10.39</v>
      </c>
      <c r="H33" s="65">
        <f t="shared" si="1"/>
        <v>16.834293600000002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1"/>
        <v>2.4294600000000002</v>
      </c>
      <c r="I34" s="13">
        <v>0</v>
      </c>
      <c r="J34" s="23"/>
    </row>
    <row r="35" spans="1:14" ht="22.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124</v>
      </c>
      <c r="I35" s="13"/>
      <c r="J35" s="23"/>
    </row>
    <row r="36" spans="1:14" ht="18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3">SUM(F36*G36/1000)</f>
        <v>16.326000000000001</v>
      </c>
      <c r="I36" s="13">
        <f>F36/6*G36</f>
        <v>2721</v>
      </c>
      <c r="J36" s="23"/>
    </row>
    <row r="37" spans="1:14" ht="27" hidden="1" customHeight="1">
      <c r="A37" s="29">
        <v>9</v>
      </c>
      <c r="B37" s="62" t="s">
        <v>136</v>
      </c>
      <c r="C37" s="63" t="s">
        <v>29</v>
      </c>
      <c r="D37" s="62" t="s">
        <v>109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3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22.5" hidden="1" customHeight="1">
      <c r="A38" s="29">
        <v>18</v>
      </c>
      <c r="B38" s="62" t="s">
        <v>91</v>
      </c>
      <c r="C38" s="63" t="s">
        <v>110</v>
      </c>
      <c r="D38" s="62" t="s">
        <v>68</v>
      </c>
      <c r="E38" s="48"/>
      <c r="F38" s="64">
        <v>40</v>
      </c>
      <c r="G38" s="64">
        <v>213.2</v>
      </c>
      <c r="H38" s="65">
        <f t="shared" si="3"/>
        <v>8.5280000000000005</v>
      </c>
      <c r="I38" s="13">
        <f>G38*6</f>
        <v>1279.1999999999998</v>
      </c>
      <c r="J38" s="23"/>
      <c r="L38" s="19"/>
      <c r="M38" s="20"/>
      <c r="N38" s="21"/>
    </row>
    <row r="39" spans="1:14" ht="27" hidden="1" customHeight="1">
      <c r="A39" s="29">
        <v>10</v>
      </c>
      <c r="B39" s="62" t="s">
        <v>69</v>
      </c>
      <c r="C39" s="63" t="s">
        <v>29</v>
      </c>
      <c r="D39" s="62" t="s">
        <v>111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3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27" hidden="1" customHeight="1">
      <c r="A40" s="29">
        <v>11</v>
      </c>
      <c r="B40" s="62" t="s">
        <v>82</v>
      </c>
      <c r="C40" s="63" t="s">
        <v>105</v>
      </c>
      <c r="D40" s="62" t="s">
        <v>112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3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27" hidden="1" customHeight="1">
      <c r="A41" s="29">
        <v>12</v>
      </c>
      <c r="B41" s="62" t="s">
        <v>113</v>
      </c>
      <c r="C41" s="63" t="s">
        <v>105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3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26.2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3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15.75" customHeight="1">
      <c r="A43" s="182" t="s">
        <v>131</v>
      </c>
      <c r="B43" s="183"/>
      <c r="C43" s="183"/>
      <c r="D43" s="183"/>
      <c r="E43" s="183"/>
      <c r="F43" s="183"/>
      <c r="G43" s="183"/>
      <c r="H43" s="183"/>
      <c r="I43" s="184"/>
      <c r="J43" s="23"/>
      <c r="L43" s="19"/>
      <c r="M43" s="20"/>
      <c r="N43" s="21"/>
    </row>
    <row r="44" spans="1:14" ht="15.75" customHeight="1">
      <c r="A44" s="29">
        <v>10</v>
      </c>
      <c r="B44" s="62" t="s">
        <v>128</v>
      </c>
      <c r="C44" s="63" t="s">
        <v>105</v>
      </c>
      <c r="D44" s="62" t="s">
        <v>170</v>
      </c>
      <c r="E44" s="48">
        <v>1795.9</v>
      </c>
      <c r="F44" s="64">
        <f>SUM(E44*2/1000)</f>
        <v>3.5918000000000001</v>
      </c>
      <c r="G44" s="112">
        <v>1160.81</v>
      </c>
      <c r="H44" s="65">
        <f t="shared" ref="H44:H53" si="4">SUM(F44*G44/1000)</f>
        <v>4.1693973580000003</v>
      </c>
      <c r="I44" s="13">
        <f t="shared" ref="I44:I47" si="5">F44/2*G44</f>
        <v>2084.6986790000001</v>
      </c>
      <c r="J44" s="23"/>
      <c r="L44" s="19"/>
      <c r="M44" s="20"/>
      <c r="N44" s="21"/>
    </row>
    <row r="45" spans="1:14" ht="15.75" customHeight="1">
      <c r="A45" s="29">
        <v>11</v>
      </c>
      <c r="B45" s="62" t="s">
        <v>36</v>
      </c>
      <c r="C45" s="63" t="s">
        <v>105</v>
      </c>
      <c r="D45" s="62" t="s">
        <v>170</v>
      </c>
      <c r="E45" s="48">
        <v>104</v>
      </c>
      <c r="F45" s="64">
        <f>SUM(E45*2/1000)</f>
        <v>0.20799999999999999</v>
      </c>
      <c r="G45" s="112">
        <v>830.69</v>
      </c>
      <c r="H45" s="65">
        <f t="shared" si="4"/>
        <v>0.17278352000000002</v>
      </c>
      <c r="I45" s="13">
        <f t="shared" si="5"/>
        <v>86.391760000000005</v>
      </c>
      <c r="J45" s="23"/>
      <c r="L45" s="19"/>
      <c r="M45" s="20"/>
      <c r="N45" s="21"/>
    </row>
    <row r="46" spans="1:14" ht="15.75" customHeight="1">
      <c r="A46" s="29">
        <v>12</v>
      </c>
      <c r="B46" s="62" t="s">
        <v>37</v>
      </c>
      <c r="C46" s="63" t="s">
        <v>105</v>
      </c>
      <c r="D46" s="62" t="s">
        <v>170</v>
      </c>
      <c r="E46" s="48">
        <v>1996.87</v>
      </c>
      <c r="F46" s="64">
        <f>SUM(E46*2/1000)</f>
        <v>3.9937399999999998</v>
      </c>
      <c r="G46" s="112">
        <v>830.69</v>
      </c>
      <c r="H46" s="65">
        <f t="shared" si="4"/>
        <v>3.3175598806000002</v>
      </c>
      <c r="I46" s="13">
        <f t="shared" si="5"/>
        <v>1658.7799403000001</v>
      </c>
      <c r="J46" s="23"/>
      <c r="L46" s="19"/>
      <c r="M46" s="20"/>
      <c r="N46" s="21"/>
    </row>
    <row r="47" spans="1:14" ht="15.75" customHeight="1">
      <c r="A47" s="29">
        <v>13</v>
      </c>
      <c r="B47" s="62" t="s">
        <v>38</v>
      </c>
      <c r="C47" s="63" t="s">
        <v>105</v>
      </c>
      <c r="D47" s="62" t="s">
        <v>170</v>
      </c>
      <c r="E47" s="48">
        <v>2630.35</v>
      </c>
      <c r="F47" s="64">
        <f>SUM(E47*2/1000)</f>
        <v>5.2606999999999999</v>
      </c>
      <c r="G47" s="112">
        <v>869.86</v>
      </c>
      <c r="H47" s="65">
        <f t="shared" si="4"/>
        <v>4.5760725019999997</v>
      </c>
      <c r="I47" s="13">
        <f t="shared" si="5"/>
        <v>2288.036251</v>
      </c>
      <c r="J47" s="23"/>
      <c r="L47" s="19"/>
      <c r="M47" s="20"/>
      <c r="N47" s="21"/>
    </row>
    <row r="48" spans="1:14" ht="15.75" customHeight="1">
      <c r="A48" s="29">
        <v>14</v>
      </c>
      <c r="B48" s="62" t="s">
        <v>34</v>
      </c>
      <c r="C48" s="63" t="s">
        <v>35</v>
      </c>
      <c r="D48" s="62" t="s">
        <v>170</v>
      </c>
      <c r="E48" s="48">
        <v>131.47</v>
      </c>
      <c r="F48" s="64">
        <f>SUM(E48*2/100)</f>
        <v>2.6294</v>
      </c>
      <c r="G48" s="112">
        <v>104.38</v>
      </c>
      <c r="H48" s="65">
        <f t="shared" si="4"/>
        <v>0.27445677200000002</v>
      </c>
      <c r="I48" s="13">
        <f>F48/2*G48</f>
        <v>137.228386</v>
      </c>
      <c r="J48" s="23"/>
      <c r="L48" s="19"/>
      <c r="M48" s="20"/>
      <c r="N48" s="21"/>
    </row>
    <row r="49" spans="1:22" ht="15.75" customHeight="1">
      <c r="A49" s="29">
        <v>15</v>
      </c>
      <c r="B49" s="62" t="s">
        <v>58</v>
      </c>
      <c r="C49" s="63" t="s">
        <v>105</v>
      </c>
      <c r="D49" s="62" t="s">
        <v>170</v>
      </c>
      <c r="E49" s="48">
        <v>2872.4</v>
      </c>
      <c r="F49" s="64">
        <f>SUM(E49*5/1000)</f>
        <v>14.362</v>
      </c>
      <c r="G49" s="112">
        <v>1739.68</v>
      </c>
      <c r="H49" s="65">
        <f t="shared" si="4"/>
        <v>24.985284160000003</v>
      </c>
      <c r="I49" s="13">
        <f>F49/5*G49</f>
        <v>4997.0568320000002</v>
      </c>
      <c r="J49" s="23"/>
      <c r="L49" s="19"/>
      <c r="M49" s="20"/>
      <c r="N49" s="21"/>
    </row>
    <row r="50" spans="1:22" ht="30" customHeight="1">
      <c r="A50" s="29">
        <v>16</v>
      </c>
      <c r="B50" s="62" t="s">
        <v>114</v>
      </c>
      <c r="C50" s="63" t="s">
        <v>105</v>
      </c>
      <c r="D50" s="62" t="s">
        <v>170</v>
      </c>
      <c r="E50" s="48">
        <v>2872.4</v>
      </c>
      <c r="F50" s="64">
        <f>SUM(E50*2/1000)</f>
        <v>5.7448000000000006</v>
      </c>
      <c r="G50" s="112">
        <v>1739.68</v>
      </c>
      <c r="H50" s="65">
        <f t="shared" si="4"/>
        <v>9.9941136640000021</v>
      </c>
      <c r="I50" s="13">
        <f>F50/2*G50</f>
        <v>4997.0568320000011</v>
      </c>
      <c r="J50" s="23"/>
      <c r="L50" s="19"/>
      <c r="M50" s="20"/>
      <c r="N50" s="21"/>
    </row>
    <row r="51" spans="1:22" ht="28.5" customHeight="1">
      <c r="A51" s="29">
        <v>17</v>
      </c>
      <c r="B51" s="62" t="s">
        <v>115</v>
      </c>
      <c r="C51" s="63" t="s">
        <v>39</v>
      </c>
      <c r="D51" s="62" t="s">
        <v>170</v>
      </c>
      <c r="E51" s="48">
        <v>40</v>
      </c>
      <c r="F51" s="64">
        <f>SUM(E51*2/100)</f>
        <v>0.8</v>
      </c>
      <c r="G51" s="112">
        <v>3914.31</v>
      </c>
      <c r="H51" s="65">
        <f t="shared" si="4"/>
        <v>3.1314480000000002</v>
      </c>
      <c r="I51" s="13">
        <f t="shared" ref="I51:I52" si="6">F51/2*G51</f>
        <v>1565.7240000000002</v>
      </c>
      <c r="J51" s="23"/>
      <c r="L51" s="19"/>
      <c r="M51" s="20"/>
      <c r="N51" s="21"/>
    </row>
    <row r="52" spans="1:22" ht="19.5" customHeight="1">
      <c r="A52" s="29">
        <v>18</v>
      </c>
      <c r="B52" s="62" t="s">
        <v>40</v>
      </c>
      <c r="C52" s="63" t="s">
        <v>41</v>
      </c>
      <c r="D52" s="62" t="s">
        <v>170</v>
      </c>
      <c r="E52" s="48">
        <v>1</v>
      </c>
      <c r="F52" s="64">
        <v>0.02</v>
      </c>
      <c r="G52" s="112">
        <v>8102.62</v>
      </c>
      <c r="H52" s="65">
        <f t="shared" si="4"/>
        <v>0.16205240000000001</v>
      </c>
      <c r="I52" s="13">
        <f t="shared" si="6"/>
        <v>81.026200000000003</v>
      </c>
      <c r="J52" s="23"/>
      <c r="L52" s="19"/>
      <c r="M52" s="20"/>
      <c r="N52" s="21"/>
    </row>
    <row r="53" spans="1:22" ht="18" hidden="1" customHeight="1">
      <c r="A53" s="29">
        <v>15</v>
      </c>
      <c r="B53" s="62" t="s">
        <v>42</v>
      </c>
      <c r="C53" s="63" t="s">
        <v>30</v>
      </c>
      <c r="D53" s="62" t="s">
        <v>72</v>
      </c>
      <c r="E53" s="48">
        <v>160</v>
      </c>
      <c r="F53" s="64">
        <f>SUM(E53)*3</f>
        <v>480</v>
      </c>
      <c r="G53" s="13">
        <v>70.209999999999994</v>
      </c>
      <c r="H53" s="65">
        <f t="shared" si="4"/>
        <v>33.700799999999994</v>
      </c>
      <c r="I53" s="13">
        <f>E53*G53</f>
        <v>11233.599999999999</v>
      </c>
      <c r="J53" s="23"/>
      <c r="L53" s="19"/>
      <c r="M53" s="20"/>
      <c r="N53" s="21"/>
    </row>
    <row r="54" spans="1:22" ht="15.75" customHeight="1">
      <c r="A54" s="182" t="s">
        <v>132</v>
      </c>
      <c r="B54" s="183"/>
      <c r="C54" s="183"/>
      <c r="D54" s="183"/>
      <c r="E54" s="183"/>
      <c r="F54" s="183"/>
      <c r="G54" s="183"/>
      <c r="H54" s="183"/>
      <c r="I54" s="184"/>
      <c r="J54" s="23"/>
      <c r="L54" s="19"/>
      <c r="M54" s="20"/>
      <c r="N54" s="21"/>
    </row>
    <row r="55" spans="1:22" ht="16.5" hidden="1" customHeight="1">
      <c r="A55" s="29"/>
      <c r="B55" s="83" t="s">
        <v>44</v>
      </c>
      <c r="C55" s="63"/>
      <c r="D55" s="62"/>
      <c r="E55" s="48"/>
      <c r="F55" s="64"/>
      <c r="G55" s="64"/>
      <c r="H55" s="65"/>
      <c r="I55" s="13"/>
      <c r="J55" s="23"/>
      <c r="L55" s="19"/>
      <c r="M55" s="20"/>
      <c r="N55" s="21"/>
    </row>
    <row r="56" spans="1:22" ht="18" hidden="1" customHeight="1">
      <c r="A56" s="29">
        <v>27</v>
      </c>
      <c r="B56" s="62" t="s">
        <v>117</v>
      </c>
      <c r="C56" s="63" t="s">
        <v>98</v>
      </c>
      <c r="D56" s="62" t="s">
        <v>73</v>
      </c>
      <c r="E56" s="48">
        <v>239.59</v>
      </c>
      <c r="F56" s="64">
        <f>E56*6/100</f>
        <v>14.375399999999999</v>
      </c>
      <c r="G56" s="71">
        <v>1654.04</v>
      </c>
      <c r="H56" s="65">
        <f>F56*G56/1000</f>
        <v>23.777486615999997</v>
      </c>
      <c r="I56" s="13">
        <f>F56/6*G56</f>
        <v>3962.9144359999996</v>
      </c>
      <c r="J56" s="23"/>
      <c r="L56" s="19"/>
      <c r="M56" s="20"/>
      <c r="N56" s="21"/>
    </row>
    <row r="57" spans="1:22" ht="18" hidden="1" customHeight="1">
      <c r="A57" s="29">
        <v>25</v>
      </c>
      <c r="B57" s="73" t="s">
        <v>86</v>
      </c>
      <c r="C57" s="72" t="s">
        <v>157</v>
      </c>
      <c r="D57" s="117" t="s">
        <v>158</v>
      </c>
      <c r="E57" s="74"/>
      <c r="F57" s="76"/>
      <c r="G57" s="106">
        <v>1501</v>
      </c>
      <c r="H57" s="78"/>
      <c r="I57" s="13">
        <f>G57*2</f>
        <v>3002</v>
      </c>
      <c r="J57" s="23"/>
      <c r="L57" s="19"/>
      <c r="M57" s="20"/>
      <c r="N57" s="21"/>
    </row>
    <row r="58" spans="1:22" ht="15.75" customHeight="1">
      <c r="A58" s="29"/>
      <c r="B58" s="84" t="s">
        <v>45</v>
      </c>
      <c r="C58" s="72"/>
      <c r="D58" s="73"/>
      <c r="E58" s="74"/>
      <c r="F58" s="76"/>
      <c r="G58" s="13"/>
      <c r="H58" s="78"/>
      <c r="I58" s="13"/>
      <c r="J58" s="23"/>
      <c r="L58" s="19"/>
      <c r="M58" s="20"/>
      <c r="N58" s="21"/>
    </row>
    <row r="59" spans="1:22" ht="15.75" hidden="1" customHeight="1">
      <c r="A59" s="29"/>
      <c r="B59" s="73" t="s">
        <v>46</v>
      </c>
      <c r="C59" s="72" t="s">
        <v>55</v>
      </c>
      <c r="D59" s="73" t="s">
        <v>56</v>
      </c>
      <c r="E59" s="74">
        <v>2686</v>
      </c>
      <c r="F59" s="76">
        <f>E59/100</f>
        <v>26.86</v>
      </c>
      <c r="G59" s="13">
        <v>848.37</v>
      </c>
      <c r="H59" s="78">
        <f>G59*F59/1000</f>
        <v>22.787218199999998</v>
      </c>
      <c r="I59" s="13">
        <v>0</v>
      </c>
      <c r="J59" s="23"/>
      <c r="L59" s="19"/>
    </row>
    <row r="60" spans="1:22" ht="15.75" customHeight="1">
      <c r="A60" s="29">
        <v>19</v>
      </c>
      <c r="B60" s="73" t="s">
        <v>92</v>
      </c>
      <c r="C60" s="72" t="s">
        <v>25</v>
      </c>
      <c r="D60" s="73" t="s">
        <v>164</v>
      </c>
      <c r="E60" s="74">
        <v>343</v>
      </c>
      <c r="F60" s="76">
        <v>2400</v>
      </c>
      <c r="G60" s="13">
        <v>1.4</v>
      </c>
      <c r="H60" s="78">
        <f>F60*G60</f>
        <v>3360</v>
      </c>
      <c r="I60" s="13">
        <f>F60/12*G60</f>
        <v>280</v>
      </c>
    </row>
    <row r="61" spans="1:22" ht="15.75" hidden="1" customHeight="1">
      <c r="A61" s="29"/>
      <c r="B61" s="84" t="s">
        <v>47</v>
      </c>
      <c r="C61" s="72"/>
      <c r="D61" s="73"/>
      <c r="E61" s="74"/>
      <c r="F61" s="75"/>
      <c r="G61" s="75"/>
      <c r="H61" s="76" t="s">
        <v>124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/>
      <c r="B62" s="14" t="s">
        <v>48</v>
      </c>
      <c r="C62" s="16" t="s">
        <v>116</v>
      </c>
      <c r="D62" s="73" t="s">
        <v>68</v>
      </c>
      <c r="E62" s="18">
        <v>15</v>
      </c>
      <c r="F62" s="64">
        <v>15</v>
      </c>
      <c r="G62" s="13">
        <v>237.74</v>
      </c>
      <c r="H62" s="79">
        <f t="shared" ref="H62:H78" si="7">SUM(F62*G62/1000)</f>
        <v>3.5661000000000005</v>
      </c>
      <c r="I62" s="13">
        <v>0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49</v>
      </c>
      <c r="C63" s="16" t="s">
        <v>116</v>
      </c>
      <c r="D63" s="73" t="s">
        <v>68</v>
      </c>
      <c r="E63" s="18">
        <v>5</v>
      </c>
      <c r="F63" s="64">
        <v>5</v>
      </c>
      <c r="G63" s="13">
        <v>81.510000000000005</v>
      </c>
      <c r="H63" s="79">
        <f t="shared" si="7"/>
        <v>0.40755000000000002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>
        <v>27</v>
      </c>
      <c r="B64" s="14" t="s">
        <v>50</v>
      </c>
      <c r="C64" s="16" t="s">
        <v>118</v>
      </c>
      <c r="D64" s="14" t="s">
        <v>56</v>
      </c>
      <c r="E64" s="48">
        <v>24123</v>
      </c>
      <c r="F64" s="13">
        <f>SUM(E64/100)</f>
        <v>241.23</v>
      </c>
      <c r="G64" s="13">
        <v>226.79</v>
      </c>
      <c r="H64" s="79">
        <f t="shared" si="7"/>
        <v>54.708551699999994</v>
      </c>
      <c r="I64" s="13">
        <f>F64*G64</f>
        <v>54708.551699999996</v>
      </c>
      <c r="J64" s="5"/>
      <c r="K64" s="5"/>
      <c r="L64" s="5"/>
      <c r="M64" s="5"/>
      <c r="N64" s="5"/>
      <c r="O64" s="5"/>
      <c r="P64" s="5"/>
      <c r="Q64" s="5"/>
      <c r="R64" s="178"/>
      <c r="S64" s="178"/>
      <c r="T64" s="178"/>
      <c r="U64" s="178"/>
    </row>
    <row r="65" spans="1:9" ht="15.75" hidden="1" customHeight="1">
      <c r="A65" s="29">
        <v>28</v>
      </c>
      <c r="B65" s="14" t="s">
        <v>51</v>
      </c>
      <c r="C65" s="16" t="s">
        <v>119</v>
      </c>
      <c r="D65" s="14"/>
      <c r="E65" s="48">
        <v>24123</v>
      </c>
      <c r="F65" s="13">
        <f>SUM(E65/1000)</f>
        <v>24.123000000000001</v>
      </c>
      <c r="G65" s="13">
        <v>176.61</v>
      </c>
      <c r="H65" s="79">
        <f t="shared" si="7"/>
        <v>4.2603630300000006</v>
      </c>
      <c r="I65" s="13">
        <f t="shared" ref="I65:I69" si="8">F65*G65</f>
        <v>4260.3630300000004</v>
      </c>
    </row>
    <row r="66" spans="1:9" ht="15.75" hidden="1" customHeight="1">
      <c r="A66" s="29">
        <v>29</v>
      </c>
      <c r="B66" s="14" t="s">
        <v>52</v>
      </c>
      <c r="C66" s="16" t="s">
        <v>78</v>
      </c>
      <c r="D66" s="14" t="s">
        <v>56</v>
      </c>
      <c r="E66" s="48">
        <v>2730</v>
      </c>
      <c r="F66" s="13">
        <f>SUM(E66/100)</f>
        <v>27.3</v>
      </c>
      <c r="G66" s="13">
        <v>2217.7800000000002</v>
      </c>
      <c r="H66" s="79">
        <f t="shared" si="7"/>
        <v>60.545394000000009</v>
      </c>
      <c r="I66" s="13">
        <f t="shared" si="8"/>
        <v>60545.394000000008</v>
      </c>
    </row>
    <row r="67" spans="1:9" ht="15.75" hidden="1" customHeight="1">
      <c r="A67" s="29">
        <v>30</v>
      </c>
      <c r="B67" s="80" t="s">
        <v>120</v>
      </c>
      <c r="C67" s="16" t="s">
        <v>33</v>
      </c>
      <c r="D67" s="14"/>
      <c r="E67" s="48">
        <v>23</v>
      </c>
      <c r="F67" s="13">
        <f>SUM(E67)</f>
        <v>23</v>
      </c>
      <c r="G67" s="13">
        <v>42.67</v>
      </c>
      <c r="H67" s="79">
        <f t="shared" si="7"/>
        <v>0.98141000000000012</v>
      </c>
      <c r="I67" s="13">
        <f t="shared" si="8"/>
        <v>981.41000000000008</v>
      </c>
    </row>
    <row r="68" spans="1:9" ht="15.75" hidden="1" customHeight="1">
      <c r="A68" s="29">
        <v>31</v>
      </c>
      <c r="B68" s="80" t="s">
        <v>121</v>
      </c>
      <c r="C68" s="16" t="s">
        <v>33</v>
      </c>
      <c r="D68" s="14"/>
      <c r="E68" s="48">
        <v>23</v>
      </c>
      <c r="F68" s="13">
        <f>SUM(E68)</f>
        <v>23</v>
      </c>
      <c r="G68" s="13">
        <v>39.81</v>
      </c>
      <c r="H68" s="79">
        <f t="shared" si="7"/>
        <v>0.91563000000000005</v>
      </c>
      <c r="I68" s="13">
        <f t="shared" si="8"/>
        <v>915.63000000000011</v>
      </c>
    </row>
    <row r="69" spans="1:9" ht="15.75" hidden="1" customHeight="1">
      <c r="A69" s="29"/>
      <c r="B69" s="14" t="s">
        <v>59</v>
      </c>
      <c r="C69" s="16" t="s">
        <v>60</v>
      </c>
      <c r="D69" s="14" t="s">
        <v>56</v>
      </c>
      <c r="E69" s="18">
        <v>10</v>
      </c>
      <c r="F69" s="64">
        <f>SUM(E69)</f>
        <v>10</v>
      </c>
      <c r="G69" s="13">
        <v>53.32</v>
      </c>
      <c r="H69" s="79">
        <f t="shared" si="7"/>
        <v>0.53320000000000001</v>
      </c>
      <c r="I69" s="13">
        <f t="shared" si="8"/>
        <v>533.20000000000005</v>
      </c>
    </row>
    <row r="70" spans="1:9" ht="15.75" customHeight="1">
      <c r="A70" s="29"/>
      <c r="B70" s="155" t="s">
        <v>182</v>
      </c>
      <c r="C70" s="16"/>
      <c r="D70" s="14"/>
      <c r="E70" s="18"/>
      <c r="F70" s="13"/>
      <c r="G70" s="13"/>
      <c r="H70" s="13"/>
      <c r="I70" s="13"/>
    </row>
    <row r="71" spans="1:9" ht="30.75" customHeight="1">
      <c r="A71" s="29">
        <v>20</v>
      </c>
      <c r="B71" s="97" t="s">
        <v>183</v>
      </c>
      <c r="C71" s="126" t="s">
        <v>184</v>
      </c>
      <c r="D71" s="127"/>
      <c r="E71" s="128">
        <v>4591.2</v>
      </c>
      <c r="F71" s="129">
        <f>E71*12</f>
        <v>55094.399999999994</v>
      </c>
      <c r="G71" s="129">
        <v>2.4900000000000002</v>
      </c>
      <c r="H71" s="13"/>
      <c r="I71" s="13">
        <f>G71*F71/12</f>
        <v>11432.088000000002</v>
      </c>
    </row>
    <row r="72" spans="1:9" ht="15.75" customHeight="1">
      <c r="A72" s="29"/>
      <c r="B72" s="54" t="s">
        <v>74</v>
      </c>
      <c r="C72" s="16"/>
      <c r="D72" s="14"/>
      <c r="E72" s="18"/>
      <c r="F72" s="13"/>
      <c r="G72" s="13"/>
      <c r="H72" s="79" t="s">
        <v>124</v>
      </c>
      <c r="I72" s="13"/>
    </row>
    <row r="73" spans="1:9" ht="15.75" hidden="1" customHeight="1">
      <c r="A73" s="29"/>
      <c r="B73" s="14" t="s">
        <v>75</v>
      </c>
      <c r="C73" s="16" t="s">
        <v>31</v>
      </c>
      <c r="D73" s="14"/>
      <c r="E73" s="18">
        <v>2</v>
      </c>
      <c r="F73" s="56">
        <v>0.2</v>
      </c>
      <c r="G73" s="13">
        <v>536.23</v>
      </c>
      <c r="H73" s="79">
        <v>0.251</v>
      </c>
      <c r="I73" s="13">
        <v>0</v>
      </c>
    </row>
    <row r="74" spans="1:9" ht="15.75" hidden="1" customHeight="1">
      <c r="A74" s="29"/>
      <c r="B74" s="14" t="s">
        <v>87</v>
      </c>
      <c r="C74" s="16" t="s">
        <v>30</v>
      </c>
      <c r="D74" s="14"/>
      <c r="E74" s="18">
        <v>1</v>
      </c>
      <c r="F74" s="64">
        <f>SUM(E74)</f>
        <v>1</v>
      </c>
      <c r="G74" s="13">
        <v>383.25</v>
      </c>
      <c r="H74" s="79">
        <f t="shared" si="7"/>
        <v>0.38324999999999998</v>
      </c>
      <c r="I74" s="13">
        <v>0</v>
      </c>
    </row>
    <row r="75" spans="1:9" ht="15.75" hidden="1" customHeight="1">
      <c r="A75" s="29"/>
      <c r="B75" s="14" t="s">
        <v>76</v>
      </c>
      <c r="C75" s="16" t="s">
        <v>30</v>
      </c>
      <c r="D75" s="14"/>
      <c r="E75" s="18">
        <v>2</v>
      </c>
      <c r="F75" s="13">
        <v>2</v>
      </c>
      <c r="G75" s="13">
        <v>911.85</v>
      </c>
      <c r="H75" s="79">
        <f>F75*G75/1000</f>
        <v>1.8237000000000001</v>
      </c>
      <c r="I75" s="13">
        <v>0</v>
      </c>
    </row>
    <row r="76" spans="1:9" ht="31.5" customHeight="1">
      <c r="A76" s="29">
        <v>21</v>
      </c>
      <c r="B76" s="97" t="s">
        <v>179</v>
      </c>
      <c r="C76" s="114" t="s">
        <v>30</v>
      </c>
      <c r="D76" s="97" t="s">
        <v>164</v>
      </c>
      <c r="E76" s="17">
        <v>2</v>
      </c>
      <c r="F76" s="34">
        <f>E76*12</f>
        <v>24</v>
      </c>
      <c r="G76" s="34">
        <v>404</v>
      </c>
      <c r="H76" s="79"/>
      <c r="I76" s="13">
        <f>G76*2</f>
        <v>808</v>
      </c>
    </row>
    <row r="77" spans="1:9" ht="15.75" hidden="1" customHeight="1">
      <c r="A77" s="29"/>
      <c r="B77" s="81" t="s">
        <v>77</v>
      </c>
      <c r="C77" s="16"/>
      <c r="D77" s="14"/>
      <c r="E77" s="18"/>
      <c r="F77" s="13"/>
      <c r="G77" s="13" t="s">
        <v>124</v>
      </c>
      <c r="H77" s="79" t="s">
        <v>124</v>
      </c>
      <c r="I77" s="13"/>
    </row>
    <row r="78" spans="1:9" ht="15.75" hidden="1" customHeight="1">
      <c r="A78" s="29"/>
      <c r="B78" s="44" t="s">
        <v>125</v>
      </c>
      <c r="C78" s="16" t="s">
        <v>78</v>
      </c>
      <c r="D78" s="14"/>
      <c r="E78" s="18"/>
      <c r="F78" s="13">
        <v>1.35</v>
      </c>
      <c r="G78" s="13">
        <v>2949.85</v>
      </c>
      <c r="H78" s="79">
        <f t="shared" si="7"/>
        <v>3.9822975</v>
      </c>
      <c r="I78" s="13">
        <v>0</v>
      </c>
    </row>
    <row r="79" spans="1:9" ht="15.75" hidden="1" customHeight="1">
      <c r="A79" s="29"/>
      <c r="B79" s="67" t="s">
        <v>122</v>
      </c>
      <c r="C79" s="81"/>
      <c r="D79" s="31"/>
      <c r="E79" s="32"/>
      <c r="F79" s="68"/>
      <c r="G79" s="68"/>
      <c r="H79" s="82">
        <f>SUM(H56:H78)</f>
        <v>3538.9231510459999</v>
      </c>
      <c r="I79" s="68"/>
    </row>
    <row r="80" spans="1:9" ht="15.75" hidden="1" customHeight="1">
      <c r="A80" s="29"/>
      <c r="B80" s="62" t="s">
        <v>123</v>
      </c>
      <c r="C80" s="16"/>
      <c r="D80" s="14"/>
      <c r="E80" s="57"/>
      <c r="F80" s="13">
        <v>1</v>
      </c>
      <c r="G80" s="13">
        <v>19342.2</v>
      </c>
      <c r="H80" s="79">
        <f>G80*F80/1000</f>
        <v>19.342200000000002</v>
      </c>
      <c r="I80" s="13">
        <v>0</v>
      </c>
    </row>
    <row r="81" spans="1:9" ht="15.75" customHeight="1">
      <c r="A81" s="191" t="s">
        <v>133</v>
      </c>
      <c r="B81" s="192"/>
      <c r="C81" s="192"/>
      <c r="D81" s="192"/>
      <c r="E81" s="192"/>
      <c r="F81" s="192"/>
      <c r="G81" s="192"/>
      <c r="H81" s="192"/>
      <c r="I81" s="193"/>
    </row>
    <row r="82" spans="1:9" ht="15.75" customHeight="1">
      <c r="A82" s="29">
        <v>22</v>
      </c>
      <c r="B82" s="97" t="s">
        <v>126</v>
      </c>
      <c r="C82" s="114" t="s">
        <v>57</v>
      </c>
      <c r="D82" s="130"/>
      <c r="E82" s="34">
        <v>4591.2</v>
      </c>
      <c r="F82" s="34">
        <f>SUM(E82*12)</f>
        <v>55094.399999999994</v>
      </c>
      <c r="G82" s="34">
        <v>3.38</v>
      </c>
      <c r="H82" s="79">
        <f>SUM(F82*G82/1000)</f>
        <v>186.21907199999998</v>
      </c>
      <c r="I82" s="13">
        <f>F82/12*G82</f>
        <v>15518.255999999999</v>
      </c>
    </row>
    <row r="83" spans="1:9" ht="31.5" customHeight="1">
      <c r="A83" s="29">
        <v>23</v>
      </c>
      <c r="B83" s="131" t="s">
        <v>180</v>
      </c>
      <c r="C83" s="132" t="s">
        <v>25</v>
      </c>
      <c r="D83" s="133"/>
      <c r="E83" s="134">
        <f>E82</f>
        <v>4591.2</v>
      </c>
      <c r="F83" s="119">
        <f>E83*12</f>
        <v>55094.399999999994</v>
      </c>
      <c r="G83" s="119">
        <v>3.05</v>
      </c>
      <c r="H83" s="79">
        <f>F83*G83/1000</f>
        <v>168.03791999999999</v>
      </c>
      <c r="I83" s="13">
        <f>F83/12*G83</f>
        <v>14003.159999999998</v>
      </c>
    </row>
    <row r="84" spans="1:9" ht="15.75" customHeight="1">
      <c r="A84" s="45"/>
      <c r="B84" s="36" t="s">
        <v>80</v>
      </c>
      <c r="C84" s="37"/>
      <c r="D84" s="15"/>
      <c r="E84" s="15"/>
      <c r="F84" s="15"/>
      <c r="G84" s="18"/>
      <c r="H84" s="18"/>
      <c r="I84" s="32">
        <f>I83+I82+I76+I71+I60+I52+I51+I50+I49+I48+I47+I46+I45+I44+I32+I31+I30+I29+I21+I20+I18+I17+I16</f>
        <v>93831.354524833325</v>
      </c>
    </row>
    <row r="85" spans="1:9" ht="15.75" customHeight="1">
      <c r="A85" s="188" t="s">
        <v>62</v>
      </c>
      <c r="B85" s="189"/>
      <c r="C85" s="189"/>
      <c r="D85" s="189"/>
      <c r="E85" s="189"/>
      <c r="F85" s="189"/>
      <c r="G85" s="189"/>
      <c r="H85" s="189"/>
      <c r="I85" s="190"/>
    </row>
    <row r="86" spans="1:9" ht="18.75" customHeight="1">
      <c r="A86" s="29">
        <v>24</v>
      </c>
      <c r="B86" s="92" t="s">
        <v>254</v>
      </c>
      <c r="C86" s="93" t="s">
        <v>41</v>
      </c>
      <c r="D86" s="95" t="s">
        <v>170</v>
      </c>
      <c r="E86" s="34"/>
      <c r="F86" s="34">
        <v>0.01</v>
      </c>
      <c r="G86" s="34">
        <v>28224.75</v>
      </c>
      <c r="H86" s="94"/>
      <c r="I86" s="13">
        <v>0</v>
      </c>
    </row>
    <row r="87" spans="1:9" ht="38.25" customHeight="1">
      <c r="A87" s="29">
        <v>25</v>
      </c>
      <c r="B87" s="92" t="s">
        <v>255</v>
      </c>
      <c r="C87" s="93" t="s">
        <v>159</v>
      </c>
      <c r="D87" s="97" t="s">
        <v>264</v>
      </c>
      <c r="E87" s="34"/>
      <c r="F87" s="34">
        <v>6</v>
      </c>
      <c r="G87" s="34">
        <v>859.09</v>
      </c>
      <c r="H87" s="94"/>
      <c r="I87" s="13">
        <f>G87*6</f>
        <v>5154.54</v>
      </c>
    </row>
    <row r="88" spans="1:9" ht="17.25" customHeight="1">
      <c r="A88" s="29">
        <v>26</v>
      </c>
      <c r="B88" s="92" t="s">
        <v>199</v>
      </c>
      <c r="C88" s="93" t="s">
        <v>116</v>
      </c>
      <c r="D88" s="95"/>
      <c r="E88" s="34"/>
      <c r="F88" s="34">
        <v>2</v>
      </c>
      <c r="G88" s="34">
        <v>39</v>
      </c>
      <c r="H88" s="94"/>
      <c r="I88" s="13">
        <f t="shared" ref="I88:I93" si="9">G88*2</f>
        <v>78</v>
      </c>
    </row>
    <row r="89" spans="1:9" ht="21" customHeight="1">
      <c r="A89" s="29">
        <v>27</v>
      </c>
      <c r="B89" s="92" t="s">
        <v>256</v>
      </c>
      <c r="C89" s="93" t="s">
        <v>116</v>
      </c>
      <c r="D89" s="95"/>
      <c r="E89" s="34"/>
      <c r="F89" s="34">
        <v>2</v>
      </c>
      <c r="G89" s="34">
        <v>25</v>
      </c>
      <c r="H89" s="94"/>
      <c r="I89" s="13">
        <f t="shared" si="9"/>
        <v>50</v>
      </c>
    </row>
    <row r="90" spans="1:9" ht="16.5" customHeight="1">
      <c r="A90" s="29">
        <v>28</v>
      </c>
      <c r="B90" s="92" t="s">
        <v>257</v>
      </c>
      <c r="C90" s="93" t="s">
        <v>116</v>
      </c>
      <c r="D90" s="95"/>
      <c r="E90" s="34"/>
      <c r="F90" s="34">
        <v>2</v>
      </c>
      <c r="G90" s="34">
        <v>25</v>
      </c>
      <c r="H90" s="94"/>
      <c r="I90" s="13">
        <f t="shared" si="9"/>
        <v>50</v>
      </c>
    </row>
    <row r="91" spans="1:9" ht="18.75" customHeight="1">
      <c r="A91" s="29">
        <v>29</v>
      </c>
      <c r="B91" s="92" t="s">
        <v>258</v>
      </c>
      <c r="C91" s="93" t="s">
        <v>116</v>
      </c>
      <c r="D91" s="95"/>
      <c r="E91" s="34"/>
      <c r="F91" s="34">
        <v>2</v>
      </c>
      <c r="G91" s="34">
        <v>52</v>
      </c>
      <c r="H91" s="94"/>
      <c r="I91" s="13">
        <f t="shared" si="9"/>
        <v>104</v>
      </c>
    </row>
    <row r="92" spans="1:9" ht="20.25" customHeight="1">
      <c r="A92" s="29">
        <v>30</v>
      </c>
      <c r="B92" s="92" t="s">
        <v>259</v>
      </c>
      <c r="C92" s="93" t="s">
        <v>116</v>
      </c>
      <c r="D92" s="95"/>
      <c r="E92" s="34"/>
      <c r="F92" s="34">
        <v>2</v>
      </c>
      <c r="G92" s="34">
        <v>99</v>
      </c>
      <c r="H92" s="94"/>
      <c r="I92" s="13">
        <f t="shared" si="9"/>
        <v>198</v>
      </c>
    </row>
    <row r="93" spans="1:9" ht="16.5" customHeight="1">
      <c r="A93" s="29">
        <v>31</v>
      </c>
      <c r="B93" s="92" t="s">
        <v>198</v>
      </c>
      <c r="C93" s="93" t="s">
        <v>116</v>
      </c>
      <c r="D93" s="95"/>
      <c r="E93" s="34"/>
      <c r="F93" s="34">
        <v>2</v>
      </c>
      <c r="G93" s="34">
        <v>28</v>
      </c>
      <c r="H93" s="94"/>
      <c r="I93" s="13">
        <f t="shared" si="9"/>
        <v>56</v>
      </c>
    </row>
    <row r="94" spans="1:9" ht="51.75" customHeight="1">
      <c r="A94" s="29">
        <v>32</v>
      </c>
      <c r="B94" s="92" t="s">
        <v>260</v>
      </c>
      <c r="C94" s="93" t="s">
        <v>202</v>
      </c>
      <c r="D94" s="95" t="s">
        <v>263</v>
      </c>
      <c r="E94" s="34"/>
      <c r="F94" s="34">
        <v>0.05</v>
      </c>
      <c r="G94" s="34">
        <v>12149.78</v>
      </c>
      <c r="H94" s="94"/>
      <c r="I94" s="13">
        <f>G94*0.05</f>
        <v>607.48900000000003</v>
      </c>
    </row>
    <row r="95" spans="1:9" ht="19.5" customHeight="1">
      <c r="A95" s="29">
        <v>33</v>
      </c>
      <c r="B95" s="92" t="s">
        <v>261</v>
      </c>
      <c r="C95" s="93" t="s">
        <v>116</v>
      </c>
      <c r="D95" s="95" t="s">
        <v>262</v>
      </c>
      <c r="E95" s="34"/>
      <c r="F95" s="34">
        <v>1</v>
      </c>
      <c r="G95" s="34">
        <v>375</v>
      </c>
      <c r="H95" s="94"/>
      <c r="I95" s="13">
        <f>G95*1</f>
        <v>375</v>
      </c>
    </row>
    <row r="96" spans="1:9" ht="29.25" customHeight="1">
      <c r="A96" s="29">
        <v>34</v>
      </c>
      <c r="B96" s="92" t="s">
        <v>216</v>
      </c>
      <c r="C96" s="93" t="s">
        <v>39</v>
      </c>
      <c r="D96" s="95" t="s">
        <v>170</v>
      </c>
      <c r="E96" s="34"/>
      <c r="F96" s="34">
        <v>0.06</v>
      </c>
      <c r="G96" s="34">
        <v>4233.72</v>
      </c>
      <c r="H96" s="94"/>
      <c r="I96" s="13">
        <v>0</v>
      </c>
    </row>
    <row r="97" spans="1:9" ht="15.75" customHeight="1">
      <c r="A97" s="29">
        <v>35</v>
      </c>
      <c r="B97" s="95" t="s">
        <v>155</v>
      </c>
      <c r="C97" s="114" t="s">
        <v>159</v>
      </c>
      <c r="D97" s="95" t="s">
        <v>265</v>
      </c>
      <c r="E97" s="34"/>
      <c r="F97" s="34">
        <v>64</v>
      </c>
      <c r="G97" s="34">
        <v>295.36</v>
      </c>
      <c r="H97" s="94"/>
      <c r="I97" s="13">
        <v>0</v>
      </c>
    </row>
    <row r="98" spans="1:9" ht="15.75" customHeight="1">
      <c r="A98" s="29"/>
      <c r="B98" s="42" t="s">
        <v>53</v>
      </c>
      <c r="C98" s="38"/>
      <c r="D98" s="46"/>
      <c r="E98" s="38">
        <v>1</v>
      </c>
      <c r="F98" s="38"/>
      <c r="G98" s="38"/>
      <c r="H98" s="38"/>
      <c r="I98" s="32">
        <f>SUM(I86:I95)</f>
        <v>6673.0290000000005</v>
      </c>
    </row>
    <row r="99" spans="1:9" ht="15.75" customHeight="1">
      <c r="A99" s="29"/>
      <c r="B99" s="44" t="s">
        <v>79</v>
      </c>
      <c r="C99" s="15"/>
      <c r="D99" s="15"/>
      <c r="E99" s="39"/>
      <c r="F99" s="39"/>
      <c r="G99" s="40"/>
      <c r="H99" s="40"/>
      <c r="I99" s="17">
        <v>0</v>
      </c>
    </row>
    <row r="100" spans="1:9" ht="15.75" customHeight="1">
      <c r="A100" s="47"/>
      <c r="B100" s="43" t="s">
        <v>150</v>
      </c>
      <c r="C100" s="33"/>
      <c r="D100" s="33"/>
      <c r="E100" s="33"/>
      <c r="F100" s="33"/>
      <c r="G100" s="33"/>
      <c r="H100" s="33"/>
      <c r="I100" s="41">
        <f>I84+I98</f>
        <v>100504.38352483332</v>
      </c>
    </row>
    <row r="101" spans="1:9" ht="15.75" customHeight="1">
      <c r="A101" s="185" t="s">
        <v>266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 customHeight="1">
      <c r="A102" s="55"/>
      <c r="B102" s="186" t="s">
        <v>267</v>
      </c>
      <c r="C102" s="186"/>
      <c r="D102" s="186"/>
      <c r="E102" s="186"/>
      <c r="F102" s="186"/>
      <c r="G102" s="186"/>
      <c r="H102" s="61"/>
      <c r="I102" s="3"/>
    </row>
    <row r="103" spans="1:9" ht="15.75" customHeight="1">
      <c r="A103" s="49"/>
      <c r="B103" s="176" t="s">
        <v>6</v>
      </c>
      <c r="C103" s="176"/>
      <c r="D103" s="176"/>
      <c r="E103" s="176"/>
      <c r="F103" s="176"/>
      <c r="G103" s="176"/>
      <c r="H103" s="24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87" t="s">
        <v>7</v>
      </c>
      <c r="B105" s="187"/>
      <c r="C105" s="187"/>
      <c r="D105" s="187"/>
      <c r="E105" s="187"/>
      <c r="F105" s="187"/>
      <c r="G105" s="187"/>
      <c r="H105" s="187"/>
      <c r="I105" s="187"/>
    </row>
    <row r="106" spans="1:9" ht="15.75" customHeight="1">
      <c r="A106" s="187" t="s">
        <v>8</v>
      </c>
      <c r="B106" s="187"/>
      <c r="C106" s="187"/>
      <c r="D106" s="187"/>
      <c r="E106" s="187"/>
      <c r="F106" s="187"/>
      <c r="G106" s="187"/>
      <c r="H106" s="187"/>
      <c r="I106" s="187"/>
    </row>
    <row r="107" spans="1:9" ht="15.75" customHeight="1">
      <c r="A107" s="180" t="s">
        <v>63</v>
      </c>
      <c r="B107" s="180"/>
      <c r="C107" s="180"/>
      <c r="D107" s="180"/>
      <c r="E107" s="180"/>
      <c r="F107" s="180"/>
      <c r="G107" s="180"/>
      <c r="H107" s="180"/>
      <c r="I107" s="180"/>
    </row>
    <row r="108" spans="1:9" ht="15.75" customHeight="1">
      <c r="A108" s="11"/>
    </row>
    <row r="109" spans="1:9" ht="15.75" customHeight="1">
      <c r="A109" s="174" t="s">
        <v>9</v>
      </c>
      <c r="B109" s="174"/>
      <c r="C109" s="174"/>
      <c r="D109" s="174"/>
      <c r="E109" s="174"/>
      <c r="F109" s="174"/>
      <c r="G109" s="174"/>
      <c r="H109" s="174"/>
      <c r="I109" s="174"/>
    </row>
    <row r="110" spans="1:9" ht="15.75" customHeight="1">
      <c r="A110" s="4"/>
    </row>
    <row r="111" spans="1:9" ht="15.75" customHeight="1">
      <c r="B111" s="52" t="s">
        <v>10</v>
      </c>
      <c r="C111" s="175" t="s">
        <v>206</v>
      </c>
      <c r="D111" s="175"/>
      <c r="E111" s="175"/>
      <c r="F111" s="59"/>
      <c r="I111" s="51"/>
    </row>
    <row r="112" spans="1:9" ht="15.75" customHeight="1">
      <c r="A112" s="49"/>
      <c r="C112" s="176" t="s">
        <v>11</v>
      </c>
      <c r="D112" s="176"/>
      <c r="E112" s="176"/>
      <c r="F112" s="24"/>
      <c r="I112" s="50" t="s">
        <v>12</v>
      </c>
    </row>
    <row r="113" spans="1:9" ht="15.75" customHeight="1">
      <c r="A113" s="25"/>
      <c r="C113" s="12"/>
      <c r="D113" s="12"/>
      <c r="G113" s="12"/>
      <c r="H113" s="12"/>
    </row>
    <row r="114" spans="1:9" ht="15.75" customHeight="1">
      <c r="B114" s="52" t="s">
        <v>13</v>
      </c>
      <c r="C114" s="177"/>
      <c r="D114" s="177"/>
      <c r="E114" s="177"/>
      <c r="F114" s="60"/>
      <c r="I114" s="51"/>
    </row>
    <row r="115" spans="1:9" ht="15.75" customHeight="1">
      <c r="A115" s="49"/>
      <c r="C115" s="178" t="s">
        <v>11</v>
      </c>
      <c r="D115" s="178"/>
      <c r="E115" s="178"/>
      <c r="F115" s="49"/>
      <c r="I115" s="50" t="s">
        <v>12</v>
      </c>
    </row>
    <row r="116" spans="1:9" ht="15.75" customHeight="1">
      <c r="A116" s="4" t="s">
        <v>14</v>
      </c>
    </row>
    <row r="117" spans="1:9" ht="15.75" customHeight="1">
      <c r="A117" s="179" t="s">
        <v>15</v>
      </c>
      <c r="B117" s="179"/>
      <c r="C117" s="179"/>
      <c r="D117" s="179"/>
      <c r="E117" s="179"/>
      <c r="F117" s="179"/>
      <c r="G117" s="179"/>
      <c r="H117" s="179"/>
      <c r="I117" s="179"/>
    </row>
    <row r="118" spans="1:9" ht="45" customHeight="1">
      <c r="A118" s="173" t="s">
        <v>16</v>
      </c>
      <c r="B118" s="173"/>
      <c r="C118" s="173"/>
      <c r="D118" s="173"/>
      <c r="E118" s="173"/>
      <c r="F118" s="173"/>
      <c r="G118" s="173"/>
      <c r="H118" s="173"/>
      <c r="I118" s="173"/>
    </row>
    <row r="119" spans="1:9" ht="30" customHeight="1">
      <c r="A119" s="173" t="s">
        <v>17</v>
      </c>
      <c r="B119" s="173"/>
      <c r="C119" s="173"/>
      <c r="D119" s="173"/>
      <c r="E119" s="173"/>
      <c r="F119" s="173"/>
      <c r="G119" s="173"/>
      <c r="H119" s="173"/>
      <c r="I119" s="173"/>
    </row>
    <row r="120" spans="1:9" ht="30" customHeight="1">
      <c r="A120" s="173" t="s">
        <v>21</v>
      </c>
      <c r="B120" s="173"/>
      <c r="C120" s="173"/>
      <c r="D120" s="173"/>
      <c r="E120" s="173"/>
      <c r="F120" s="173"/>
      <c r="G120" s="173"/>
      <c r="H120" s="173"/>
      <c r="I120" s="173"/>
    </row>
    <row r="121" spans="1:9" ht="15" customHeight="1">
      <c r="A121" s="173" t="s">
        <v>20</v>
      </c>
      <c r="B121" s="173"/>
      <c r="C121" s="173"/>
      <c r="D121" s="173"/>
      <c r="E121" s="173"/>
      <c r="F121" s="173"/>
      <c r="G121" s="173"/>
      <c r="H121" s="173"/>
      <c r="I121" s="173"/>
    </row>
  </sheetData>
  <autoFilter ref="I12:I60"/>
  <mergeCells count="29">
    <mergeCell ref="R64:U64"/>
    <mergeCell ref="A81:I81"/>
    <mergeCell ref="A3:I3"/>
    <mergeCell ref="A4:I4"/>
    <mergeCell ref="A5:I5"/>
    <mergeCell ref="A8:I8"/>
    <mergeCell ref="A10:I10"/>
    <mergeCell ref="A14:I14"/>
    <mergeCell ref="A107:I107"/>
    <mergeCell ref="A15:I15"/>
    <mergeCell ref="A27:I27"/>
    <mergeCell ref="A43:I43"/>
    <mergeCell ref="A54:I54"/>
    <mergeCell ref="A101:I101"/>
    <mergeCell ref="B102:G102"/>
    <mergeCell ref="B103:G103"/>
    <mergeCell ref="A105:I105"/>
    <mergeCell ref="A106:I106"/>
    <mergeCell ref="A85:I85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4"/>
  <sheetViews>
    <sheetView topLeftCell="A97" workbookViewId="0">
      <selection activeCell="I111" sqref="I11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4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145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271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44377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115" t="s">
        <v>85</v>
      </c>
      <c r="C16" s="116" t="s">
        <v>98</v>
      </c>
      <c r="D16" s="115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115" t="s">
        <v>89</v>
      </c>
      <c r="C17" s="116" t="s">
        <v>98</v>
      </c>
      <c r="D17" s="115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115" t="s">
        <v>90</v>
      </c>
      <c r="C18" s="116" t="s">
        <v>98</v>
      </c>
      <c r="D18" s="115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" customHeight="1">
      <c r="A19" s="29">
        <v>4</v>
      </c>
      <c r="B19" s="115" t="s">
        <v>99</v>
      </c>
      <c r="C19" s="116" t="s">
        <v>100</v>
      </c>
      <c r="D19" s="115" t="s">
        <v>164</v>
      </c>
      <c r="E19" s="120">
        <v>38.4</v>
      </c>
      <c r="F19" s="121">
        <f>SUM(E19/10)</f>
        <v>3.84</v>
      </c>
      <c r="G19" s="121">
        <v>243.94</v>
      </c>
      <c r="H19" s="65">
        <f t="shared" si="0"/>
        <v>0.93672960000000005</v>
      </c>
      <c r="I19" s="13">
        <f>G19*F19</f>
        <v>936.7296</v>
      </c>
      <c r="J19" s="22"/>
      <c r="K19" s="8"/>
      <c r="L19" s="8"/>
      <c r="M19" s="8"/>
    </row>
    <row r="20" spans="1:13" ht="15.75" customHeight="1">
      <c r="A20" s="29">
        <v>5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6</v>
      </c>
      <c r="B21" s="115" t="s">
        <v>94</v>
      </c>
      <c r="C21" s="116" t="s">
        <v>98</v>
      </c>
      <c r="D21" s="115" t="s">
        <v>164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>
        <v>7</v>
      </c>
      <c r="B22" s="115" t="s">
        <v>102</v>
      </c>
      <c r="C22" s="116" t="s">
        <v>55</v>
      </c>
      <c r="D22" s="115" t="s">
        <v>164</v>
      </c>
      <c r="E22" s="120">
        <v>714</v>
      </c>
      <c r="F22" s="121">
        <f>SUM(E22/100)</f>
        <v>7.14</v>
      </c>
      <c r="G22" s="121">
        <v>386</v>
      </c>
      <c r="H22" s="65">
        <f t="shared" si="0"/>
        <v>2.75604</v>
      </c>
      <c r="I22" s="13">
        <f>G22*F22</f>
        <v>2756.04</v>
      </c>
      <c r="J22" s="22"/>
      <c r="K22" s="8"/>
      <c r="L22" s="8"/>
      <c r="M22" s="8"/>
    </row>
    <row r="23" spans="1:13" ht="15.75" hidden="1" customHeight="1">
      <c r="A23" s="29">
        <v>8</v>
      </c>
      <c r="B23" s="115" t="s">
        <v>103</v>
      </c>
      <c r="C23" s="116" t="s">
        <v>55</v>
      </c>
      <c r="D23" s="115" t="s">
        <v>170</v>
      </c>
      <c r="E23" s="162">
        <v>96.6</v>
      </c>
      <c r="F23" s="121">
        <f>SUM(E23/100)</f>
        <v>0.96599999999999997</v>
      </c>
      <c r="G23" s="121">
        <v>63.49</v>
      </c>
      <c r="H23" s="65">
        <f t="shared" si="0"/>
        <v>6.1331339999999998E-2</v>
      </c>
      <c r="I23" s="13">
        <f>G23*F23</f>
        <v>61.331339999999997</v>
      </c>
      <c r="J23" s="22"/>
      <c r="K23" s="8"/>
      <c r="L23" s="8"/>
      <c r="M23" s="8"/>
    </row>
    <row r="24" spans="1:13" ht="15.75" hidden="1" customHeight="1">
      <c r="A24" s="29">
        <v>9</v>
      </c>
      <c r="B24" s="115" t="s">
        <v>96</v>
      </c>
      <c r="C24" s="116" t="s">
        <v>55</v>
      </c>
      <c r="D24" s="115" t="s">
        <v>195</v>
      </c>
      <c r="E24" s="17">
        <v>40</v>
      </c>
      <c r="F24" s="163">
        <f>E24/100</f>
        <v>0.4</v>
      </c>
      <c r="G24" s="121">
        <v>558.66999999999996</v>
      </c>
      <c r="H24" s="65">
        <f>F24*G24/1000</f>
        <v>0.223468</v>
      </c>
      <c r="I24" s="13">
        <f>G24*F24</f>
        <v>223.46799999999999</v>
      </c>
      <c r="J24" s="22"/>
      <c r="K24" s="8"/>
      <c r="L24" s="8"/>
      <c r="M24" s="8"/>
    </row>
    <row r="25" spans="1:13" ht="15.75" hidden="1" customHeight="1">
      <c r="A25" s="29">
        <v>10</v>
      </c>
      <c r="B25" s="115" t="s">
        <v>97</v>
      </c>
      <c r="C25" s="116" t="s">
        <v>55</v>
      </c>
      <c r="D25" s="115" t="s">
        <v>177</v>
      </c>
      <c r="E25" s="120">
        <v>17</v>
      </c>
      <c r="F25" s="121">
        <f>SUM(E25/100)</f>
        <v>0.17</v>
      </c>
      <c r="G25" s="121">
        <v>746.6</v>
      </c>
      <c r="H25" s="65">
        <f t="shared" si="0"/>
        <v>0.12692200000000001</v>
      </c>
      <c r="I25" s="13">
        <f>G25*F25</f>
        <v>126.92200000000001</v>
      </c>
      <c r="J25" s="22"/>
      <c r="K25" s="8"/>
      <c r="L25" s="8"/>
      <c r="M25" s="8"/>
    </row>
    <row r="26" spans="1:13" ht="30" hidden="1" customHeight="1">
      <c r="A26" s="29">
        <v>11</v>
      </c>
      <c r="B26" s="92" t="s">
        <v>194</v>
      </c>
      <c r="C26" s="93" t="s">
        <v>55</v>
      </c>
      <c r="D26" s="115" t="s">
        <v>164</v>
      </c>
      <c r="E26" s="120">
        <v>31.5</v>
      </c>
      <c r="F26" s="121">
        <f>E26/100</f>
        <v>0.315</v>
      </c>
      <c r="G26" s="121">
        <v>309.81</v>
      </c>
      <c r="H26" s="65">
        <f>SUM(F26*G26/1000)</f>
        <v>9.7590150000000014E-2</v>
      </c>
      <c r="I26" s="13">
        <f>G26*F26</f>
        <v>97.590150000000008</v>
      </c>
      <c r="J26" s="23"/>
    </row>
    <row r="27" spans="1:13" ht="24.75" hidden="1" customHeight="1">
      <c r="A27" s="29">
        <v>12</v>
      </c>
      <c r="B27" s="115" t="s">
        <v>166</v>
      </c>
      <c r="C27" s="116" t="s">
        <v>25</v>
      </c>
      <c r="D27" s="115" t="s">
        <v>171</v>
      </c>
      <c r="E27" s="122">
        <v>6.28</v>
      </c>
      <c r="F27" s="121">
        <f>E27*258</f>
        <v>1620.24</v>
      </c>
      <c r="G27" s="121">
        <v>10.39</v>
      </c>
      <c r="H27" s="65">
        <f>SUM(F27*G27/1000)</f>
        <v>16.834293600000002</v>
      </c>
      <c r="I27" s="13">
        <f>F27/12*G27</f>
        <v>1402.8578000000002</v>
      </c>
      <c r="J27" s="23"/>
    </row>
    <row r="28" spans="1:13" ht="15.75" customHeight="1">
      <c r="A28" s="181" t="s">
        <v>84</v>
      </c>
      <c r="B28" s="181"/>
      <c r="C28" s="181"/>
      <c r="D28" s="181"/>
      <c r="E28" s="181"/>
      <c r="F28" s="181"/>
      <c r="G28" s="181"/>
      <c r="H28" s="181"/>
      <c r="I28" s="181"/>
      <c r="J28" s="22"/>
      <c r="K28" s="8"/>
      <c r="L28" s="8"/>
      <c r="M28" s="8"/>
    </row>
    <row r="29" spans="1:13" ht="15.75" customHeight="1">
      <c r="A29" s="29"/>
      <c r="B29" s="83" t="s">
        <v>28</v>
      </c>
      <c r="C29" s="63"/>
      <c r="D29" s="62"/>
      <c r="E29" s="48"/>
      <c r="F29" s="64"/>
      <c r="G29" s="64"/>
      <c r="H29" s="65"/>
      <c r="I29" s="13"/>
      <c r="J29" s="22"/>
      <c r="K29" s="8"/>
      <c r="L29" s="8"/>
      <c r="M29" s="8"/>
    </row>
    <row r="30" spans="1:13" ht="15.75" customHeight="1">
      <c r="A30" s="29">
        <v>7</v>
      </c>
      <c r="B30" s="115" t="s">
        <v>104</v>
      </c>
      <c r="C30" s="116" t="s">
        <v>105</v>
      </c>
      <c r="D30" s="115" t="s">
        <v>178</v>
      </c>
      <c r="E30" s="121">
        <v>844.95</v>
      </c>
      <c r="F30" s="121">
        <f>SUM(E30*24/1000)</f>
        <v>20.278800000000004</v>
      </c>
      <c r="G30" s="121">
        <v>223.46</v>
      </c>
      <c r="H30" s="65">
        <f>SUM(F30*G30/1000)</f>
        <v>4.5315006480000015</v>
      </c>
      <c r="I30" s="13">
        <f>F30/6*G30</f>
        <v>755.25010800000018</v>
      </c>
      <c r="J30" s="22"/>
      <c r="K30" s="8"/>
      <c r="L30" s="8"/>
      <c r="M30" s="8"/>
    </row>
    <row r="31" spans="1:13" ht="31.5" customHeight="1">
      <c r="A31" s="29">
        <v>8</v>
      </c>
      <c r="B31" s="115" t="s">
        <v>137</v>
      </c>
      <c r="C31" s="116" t="s">
        <v>105</v>
      </c>
      <c r="D31" s="115" t="s">
        <v>168</v>
      </c>
      <c r="E31" s="121">
        <v>260.13</v>
      </c>
      <c r="F31" s="121">
        <f>SUM(E31*52/1000)</f>
        <v>13.526759999999999</v>
      </c>
      <c r="G31" s="121">
        <v>370.77</v>
      </c>
      <c r="H31" s="65">
        <f t="shared" ref="H31:H32" si="1">SUM(F31*G31/1000)</f>
        <v>5.0153168051999995</v>
      </c>
      <c r="I31" s="13">
        <f t="shared" ref="I31:I33" si="2">F31/6*G31</f>
        <v>835.8861341999999</v>
      </c>
      <c r="J31" s="22"/>
      <c r="K31" s="8"/>
      <c r="L31" s="8"/>
      <c r="M31" s="8"/>
    </row>
    <row r="32" spans="1:13" ht="15.75" hidden="1" customHeight="1">
      <c r="A32" s="29"/>
      <c r="B32" s="115" t="s">
        <v>27</v>
      </c>
      <c r="C32" s="116" t="s">
        <v>105</v>
      </c>
      <c r="D32" s="115" t="s">
        <v>164</v>
      </c>
      <c r="E32" s="121">
        <v>844.95</v>
      </c>
      <c r="F32" s="121">
        <f>SUM(E32/1000)</f>
        <v>0.84495000000000009</v>
      </c>
      <c r="G32" s="121">
        <v>4329.78</v>
      </c>
      <c r="H32" s="65">
        <f t="shared" si="1"/>
        <v>3.6584476110000002</v>
      </c>
      <c r="I32" s="13">
        <f>F32*G32</f>
        <v>3658.4476110000001</v>
      </c>
      <c r="J32" s="22"/>
      <c r="K32" s="8"/>
      <c r="L32" s="8"/>
      <c r="M32" s="8"/>
    </row>
    <row r="33" spans="1:14" ht="15.75" customHeight="1">
      <c r="A33" s="29">
        <v>9</v>
      </c>
      <c r="B33" s="115" t="s">
        <v>135</v>
      </c>
      <c r="C33" s="116" t="s">
        <v>41</v>
      </c>
      <c r="D33" s="115" t="s">
        <v>173</v>
      </c>
      <c r="E33" s="121">
        <v>8</v>
      </c>
      <c r="F33" s="121">
        <v>12.4</v>
      </c>
      <c r="G33" s="121">
        <v>1866.51</v>
      </c>
      <c r="H33" s="65">
        <v>17.259</v>
      </c>
      <c r="I33" s="13">
        <f t="shared" si="2"/>
        <v>3857.4540000000002</v>
      </c>
      <c r="J33" s="22"/>
      <c r="K33" s="8"/>
      <c r="L33" s="8"/>
      <c r="M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ref="H34:H35" si="3">SUM(F34*G34/1000)</f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3"/>
        <v>2.4294600000000002</v>
      </c>
      <c r="I35" s="13">
        <v>0</v>
      </c>
      <c r="J35" s="23"/>
    </row>
    <row r="36" spans="1:14" ht="15.75" hidden="1" customHeight="1">
      <c r="A36" s="29"/>
      <c r="B36" s="83" t="s">
        <v>5</v>
      </c>
      <c r="C36" s="63"/>
      <c r="D36" s="62"/>
      <c r="E36" s="48"/>
      <c r="F36" s="64"/>
      <c r="G36" s="64"/>
      <c r="H36" s="65" t="s">
        <v>124</v>
      </c>
      <c r="I36" s="13"/>
      <c r="J36" s="23"/>
    </row>
    <row r="37" spans="1:14" ht="15.75" hidden="1" customHeight="1">
      <c r="A37" s="29">
        <v>8</v>
      </c>
      <c r="B37" s="62" t="s">
        <v>26</v>
      </c>
      <c r="C37" s="63" t="s">
        <v>32</v>
      </c>
      <c r="D37" s="62"/>
      <c r="E37" s="48"/>
      <c r="F37" s="64">
        <v>10</v>
      </c>
      <c r="G37" s="64">
        <v>1632.6</v>
      </c>
      <c r="H37" s="65">
        <f t="shared" ref="H37:H43" si="4">SUM(F37*G37/1000)</f>
        <v>16.326000000000001</v>
      </c>
      <c r="I37" s="13">
        <f>F37/6*G37</f>
        <v>2721</v>
      </c>
      <c r="J37" s="23"/>
    </row>
    <row r="38" spans="1:14" ht="15.75" hidden="1" customHeight="1">
      <c r="A38" s="29">
        <v>9</v>
      </c>
      <c r="B38" s="62" t="s">
        <v>136</v>
      </c>
      <c r="C38" s="63" t="s">
        <v>29</v>
      </c>
      <c r="D38" s="62" t="s">
        <v>109</v>
      </c>
      <c r="E38" s="64">
        <v>254.8</v>
      </c>
      <c r="F38" s="64">
        <f>SUM(E38*30/1000)</f>
        <v>7.6440000000000001</v>
      </c>
      <c r="G38" s="64">
        <v>2247.8000000000002</v>
      </c>
      <c r="H38" s="65">
        <f t="shared" si="4"/>
        <v>17.182183200000004</v>
      </c>
      <c r="I38" s="13">
        <f>F38/6*G38</f>
        <v>2863.6972000000001</v>
      </c>
      <c r="J38" s="23"/>
      <c r="L38" s="19"/>
      <c r="M38" s="20"/>
      <c r="N38" s="21"/>
    </row>
    <row r="39" spans="1:14" ht="15.75" hidden="1" customHeight="1">
      <c r="A39" s="29"/>
      <c r="B39" s="62" t="s">
        <v>91</v>
      </c>
      <c r="C39" s="63" t="s">
        <v>110</v>
      </c>
      <c r="D39" s="62" t="s">
        <v>68</v>
      </c>
      <c r="E39" s="48"/>
      <c r="F39" s="64">
        <v>40</v>
      </c>
      <c r="G39" s="64">
        <v>213.2</v>
      </c>
      <c r="H39" s="65">
        <f t="shared" si="4"/>
        <v>8.5280000000000005</v>
      </c>
      <c r="I39" s="13"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62" t="s">
        <v>69</v>
      </c>
      <c r="C40" s="63" t="s">
        <v>29</v>
      </c>
      <c r="D40" s="62" t="s">
        <v>111</v>
      </c>
      <c r="E40" s="64">
        <v>260.13</v>
      </c>
      <c r="F40" s="64">
        <f>SUM(E40*155/1000)</f>
        <v>40.320149999999998</v>
      </c>
      <c r="G40" s="64">
        <v>374.95</v>
      </c>
      <c r="H40" s="65">
        <f t="shared" si="4"/>
        <v>15.118040242499999</v>
      </c>
      <c r="I40" s="13">
        <f>F40/6*G40</f>
        <v>2519.6733737499999</v>
      </c>
      <c r="J40" s="23"/>
      <c r="L40" s="19"/>
      <c r="M40" s="20"/>
      <c r="N40" s="21"/>
    </row>
    <row r="41" spans="1:14" ht="47.25" hidden="1" customHeight="1">
      <c r="A41" s="29">
        <v>11</v>
      </c>
      <c r="B41" s="62" t="s">
        <v>82</v>
      </c>
      <c r="C41" s="63" t="s">
        <v>105</v>
      </c>
      <c r="D41" s="62" t="s">
        <v>112</v>
      </c>
      <c r="E41" s="64">
        <v>132.72999999999999</v>
      </c>
      <c r="F41" s="64">
        <f>SUM(E41*35/1000)</f>
        <v>4.6455499999999992</v>
      </c>
      <c r="G41" s="64">
        <v>6203.7</v>
      </c>
      <c r="H41" s="65">
        <f t="shared" si="4"/>
        <v>28.819598534999994</v>
      </c>
      <c r="I41" s="13">
        <f>F41/6*G41</f>
        <v>4803.266422499999</v>
      </c>
      <c r="J41" s="23"/>
      <c r="L41" s="19"/>
      <c r="M41" s="20"/>
      <c r="N41" s="21"/>
    </row>
    <row r="42" spans="1:14" ht="15.75" hidden="1" customHeight="1">
      <c r="A42" s="29">
        <v>12</v>
      </c>
      <c r="B42" s="62" t="s">
        <v>113</v>
      </c>
      <c r="C42" s="63" t="s">
        <v>105</v>
      </c>
      <c r="D42" s="62" t="s">
        <v>70</v>
      </c>
      <c r="E42" s="64">
        <v>254.8</v>
      </c>
      <c r="F42" s="64">
        <f>SUM(E42*45/1000)</f>
        <v>11.465999999999999</v>
      </c>
      <c r="G42" s="64">
        <v>458.28</v>
      </c>
      <c r="H42" s="65">
        <f t="shared" si="4"/>
        <v>5.2546384799999997</v>
      </c>
      <c r="I42" s="13">
        <f>F42/6*G42</f>
        <v>875.77307999999982</v>
      </c>
      <c r="J42" s="23"/>
      <c r="L42" s="19"/>
      <c r="M42" s="20"/>
      <c r="N42" s="21"/>
    </row>
    <row r="43" spans="1:14" ht="15.75" hidden="1" customHeight="1">
      <c r="A43" s="29">
        <v>13</v>
      </c>
      <c r="B43" s="62" t="s">
        <v>71</v>
      </c>
      <c r="C43" s="63" t="s">
        <v>33</v>
      </c>
      <c r="D43" s="62"/>
      <c r="E43" s="48"/>
      <c r="F43" s="64">
        <v>0.9</v>
      </c>
      <c r="G43" s="64">
        <v>853.06</v>
      </c>
      <c r="H43" s="65">
        <f t="shared" si="4"/>
        <v>0.76775400000000005</v>
      </c>
      <c r="I43" s="13">
        <f>F43/6*G43</f>
        <v>127.95899999999999</v>
      </c>
      <c r="J43" s="23"/>
      <c r="L43" s="19"/>
      <c r="M43" s="20"/>
      <c r="N43" s="21"/>
    </row>
    <row r="44" spans="1:14" ht="15.75" customHeight="1">
      <c r="A44" s="182" t="s">
        <v>131</v>
      </c>
      <c r="B44" s="183"/>
      <c r="C44" s="183"/>
      <c r="D44" s="183"/>
      <c r="E44" s="183"/>
      <c r="F44" s="183"/>
      <c r="G44" s="183"/>
      <c r="H44" s="183"/>
      <c r="I44" s="184"/>
      <c r="J44" s="23"/>
      <c r="L44" s="19"/>
      <c r="M44" s="20"/>
      <c r="N44" s="21"/>
    </row>
    <row r="45" spans="1:14" ht="15.75" hidden="1" customHeight="1">
      <c r="A45" s="29"/>
      <c r="B45" s="62" t="s">
        <v>128</v>
      </c>
      <c r="C45" s="63" t="s">
        <v>105</v>
      </c>
      <c r="D45" s="62" t="s">
        <v>43</v>
      </c>
      <c r="E45" s="48">
        <v>1795.9</v>
      </c>
      <c r="F45" s="64">
        <f>SUM(E45*2/1000)</f>
        <v>3.5918000000000001</v>
      </c>
      <c r="G45" s="13">
        <v>865.61</v>
      </c>
      <c r="H45" s="65">
        <f t="shared" ref="H45:H54" si="5">SUM(F45*G45/1000)</f>
        <v>3.1090979980000002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2" t="s">
        <v>36</v>
      </c>
      <c r="C46" s="63" t="s">
        <v>105</v>
      </c>
      <c r="D46" s="62" t="s">
        <v>43</v>
      </c>
      <c r="E46" s="48">
        <v>104</v>
      </c>
      <c r="F46" s="64">
        <f>SUM(E46*2/1000)</f>
        <v>0.20799999999999999</v>
      </c>
      <c r="G46" s="13">
        <v>619.46</v>
      </c>
      <c r="H46" s="65">
        <f t="shared" si="5"/>
        <v>0.12884767999999999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37</v>
      </c>
      <c r="C47" s="63" t="s">
        <v>105</v>
      </c>
      <c r="D47" s="62" t="s">
        <v>43</v>
      </c>
      <c r="E47" s="48">
        <v>1996.87</v>
      </c>
      <c r="F47" s="64">
        <f>SUM(E47*2/1000)</f>
        <v>3.9937399999999998</v>
      </c>
      <c r="G47" s="13">
        <v>619.46</v>
      </c>
      <c r="H47" s="65">
        <f t="shared" si="5"/>
        <v>2.4739621804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38</v>
      </c>
      <c r="C48" s="63" t="s">
        <v>105</v>
      </c>
      <c r="D48" s="62" t="s">
        <v>43</v>
      </c>
      <c r="E48" s="48">
        <v>2630.35</v>
      </c>
      <c r="F48" s="64">
        <f>SUM(E48*2/1000)</f>
        <v>5.2606999999999999</v>
      </c>
      <c r="G48" s="13">
        <v>648.64</v>
      </c>
      <c r="H48" s="65">
        <f t="shared" si="5"/>
        <v>3.4123004479999999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34</v>
      </c>
      <c r="C49" s="63" t="s">
        <v>35</v>
      </c>
      <c r="D49" s="62" t="s">
        <v>43</v>
      </c>
      <c r="E49" s="48">
        <v>131.47</v>
      </c>
      <c r="F49" s="64">
        <f>SUM(E49*2/100)</f>
        <v>2.6294</v>
      </c>
      <c r="G49" s="13">
        <v>77.84</v>
      </c>
      <c r="H49" s="65">
        <f t="shared" si="5"/>
        <v>0.20467249599999998</v>
      </c>
      <c r="I49" s="13">
        <v>0</v>
      </c>
      <c r="J49" s="23"/>
      <c r="L49" s="19"/>
      <c r="M49" s="20"/>
      <c r="N49" s="21"/>
    </row>
    <row r="50" spans="1:22" ht="15.75" hidden="1" customHeight="1">
      <c r="A50" s="29">
        <v>14</v>
      </c>
      <c r="B50" s="62" t="s">
        <v>58</v>
      </c>
      <c r="C50" s="63" t="s">
        <v>105</v>
      </c>
      <c r="D50" s="62" t="s">
        <v>138</v>
      </c>
      <c r="E50" s="48">
        <v>2872.4</v>
      </c>
      <c r="F50" s="64">
        <f>SUM(E50*5/1000)</f>
        <v>14.362</v>
      </c>
      <c r="G50" s="13">
        <v>1297.28</v>
      </c>
      <c r="H50" s="65">
        <f t="shared" si="5"/>
        <v>18.631535359999997</v>
      </c>
      <c r="I50" s="13">
        <f>F50/5*G50</f>
        <v>3726.3070719999996</v>
      </c>
      <c r="J50" s="23"/>
      <c r="L50" s="19"/>
      <c r="M50" s="20"/>
      <c r="N50" s="21"/>
    </row>
    <row r="51" spans="1:22" ht="31.5" hidden="1" customHeight="1">
      <c r="A51" s="29"/>
      <c r="B51" s="62" t="s">
        <v>114</v>
      </c>
      <c r="C51" s="63" t="s">
        <v>105</v>
      </c>
      <c r="D51" s="62" t="s">
        <v>43</v>
      </c>
      <c r="E51" s="48">
        <v>2872.4</v>
      </c>
      <c r="F51" s="64">
        <f>SUM(E51*2/1000)</f>
        <v>5.7448000000000006</v>
      </c>
      <c r="G51" s="13">
        <v>1297.28</v>
      </c>
      <c r="H51" s="65">
        <f t="shared" si="5"/>
        <v>7.4526141440000009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62" t="s">
        <v>115</v>
      </c>
      <c r="C52" s="63" t="s">
        <v>39</v>
      </c>
      <c r="D52" s="62" t="s">
        <v>43</v>
      </c>
      <c r="E52" s="48">
        <v>40</v>
      </c>
      <c r="F52" s="64">
        <f>SUM(E52*2/100)</f>
        <v>0.8</v>
      </c>
      <c r="G52" s="13">
        <v>2918.89</v>
      </c>
      <c r="H52" s="65">
        <f t="shared" si="5"/>
        <v>2.3351120000000001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/>
      <c r="B53" s="62" t="s">
        <v>40</v>
      </c>
      <c r="C53" s="63" t="s">
        <v>41</v>
      </c>
      <c r="D53" s="62" t="s">
        <v>43</v>
      </c>
      <c r="E53" s="48">
        <v>1</v>
      </c>
      <c r="F53" s="64">
        <v>0.02</v>
      </c>
      <c r="G53" s="13">
        <v>6042.12</v>
      </c>
      <c r="H53" s="65">
        <f t="shared" si="5"/>
        <v>0.1208424</v>
      </c>
      <c r="I53" s="13">
        <v>0</v>
      </c>
      <c r="J53" s="23"/>
      <c r="L53" s="19"/>
      <c r="M53" s="20"/>
      <c r="N53" s="21"/>
    </row>
    <row r="54" spans="1:22" ht="15.75" customHeight="1">
      <c r="A54" s="29">
        <v>10</v>
      </c>
      <c r="B54" s="62" t="s">
        <v>42</v>
      </c>
      <c r="C54" s="63" t="s">
        <v>30</v>
      </c>
      <c r="D54" s="123">
        <v>44351</v>
      </c>
      <c r="E54" s="48">
        <v>160</v>
      </c>
      <c r="F54" s="64">
        <f>SUM(E54)*3</f>
        <v>480</v>
      </c>
      <c r="G54" s="146">
        <v>87.32</v>
      </c>
      <c r="H54" s="65">
        <f t="shared" si="5"/>
        <v>41.913599999999995</v>
      </c>
      <c r="I54" s="13">
        <f>E54*G54</f>
        <v>13971.199999999999</v>
      </c>
      <c r="J54" s="23"/>
      <c r="L54" s="19"/>
      <c r="M54" s="20"/>
      <c r="N54" s="21"/>
    </row>
    <row r="55" spans="1:22" ht="15.75" customHeight="1">
      <c r="A55" s="182" t="s">
        <v>132</v>
      </c>
      <c r="B55" s="183"/>
      <c r="C55" s="183"/>
      <c r="D55" s="183"/>
      <c r="E55" s="183"/>
      <c r="F55" s="183"/>
      <c r="G55" s="183"/>
      <c r="H55" s="183"/>
      <c r="I55" s="184"/>
      <c r="J55" s="23"/>
      <c r="L55" s="19"/>
      <c r="M55" s="20"/>
      <c r="N55" s="21"/>
    </row>
    <row r="56" spans="1:22" ht="15.75" customHeight="1">
      <c r="A56" s="29"/>
      <c r="B56" s="83" t="s">
        <v>44</v>
      </c>
      <c r="C56" s="63"/>
      <c r="D56" s="62"/>
      <c r="E56" s="48"/>
      <c r="F56" s="64"/>
      <c r="G56" s="64"/>
      <c r="H56" s="65"/>
      <c r="I56" s="13"/>
      <c r="J56" s="23"/>
      <c r="L56" s="19"/>
      <c r="M56" s="20"/>
      <c r="N56" s="21"/>
    </row>
    <row r="57" spans="1:22" ht="31.5" hidden="1" customHeight="1">
      <c r="A57" s="29">
        <v>16</v>
      </c>
      <c r="B57" s="62" t="s">
        <v>117</v>
      </c>
      <c r="C57" s="63" t="s">
        <v>98</v>
      </c>
      <c r="D57" s="62" t="s">
        <v>73</v>
      </c>
      <c r="E57" s="48">
        <v>239.59</v>
      </c>
      <c r="F57" s="64">
        <f>E57*6/100</f>
        <v>14.375399999999999</v>
      </c>
      <c r="G57" s="71">
        <v>1654.04</v>
      </c>
      <c r="H57" s="65">
        <f>F57*G57/1000</f>
        <v>23.777486615999997</v>
      </c>
      <c r="I57" s="13">
        <f>F57/6*G57</f>
        <v>3962.9144359999996</v>
      </c>
      <c r="J57" s="23"/>
      <c r="L57" s="19"/>
      <c r="M57" s="20"/>
      <c r="N57" s="21"/>
    </row>
    <row r="58" spans="1:22" ht="16.5" customHeight="1">
      <c r="A58" s="29">
        <v>11</v>
      </c>
      <c r="B58" s="99" t="s">
        <v>86</v>
      </c>
      <c r="C58" s="100" t="s">
        <v>156</v>
      </c>
      <c r="D58" s="99" t="s">
        <v>286</v>
      </c>
      <c r="E58" s="101"/>
      <c r="F58" s="102">
        <v>8</v>
      </c>
      <c r="G58" s="107">
        <v>1730</v>
      </c>
      <c r="H58" s="78"/>
      <c r="I58" s="13">
        <f>G58*5</f>
        <v>8650</v>
      </c>
      <c r="J58" s="23"/>
      <c r="L58" s="19"/>
      <c r="M58" s="20"/>
      <c r="N58" s="21"/>
    </row>
    <row r="59" spans="1:22" ht="15.75" customHeight="1">
      <c r="A59" s="29"/>
      <c r="B59" s="84" t="s">
        <v>45</v>
      </c>
      <c r="C59" s="72"/>
      <c r="D59" s="73"/>
      <c r="E59" s="74"/>
      <c r="F59" s="76"/>
      <c r="G59" s="13"/>
      <c r="H59" s="78"/>
      <c r="I59" s="13"/>
      <c r="J59" s="23"/>
      <c r="L59" s="19"/>
      <c r="M59" s="20"/>
      <c r="N59" s="21"/>
    </row>
    <row r="60" spans="1:22" ht="15.75" hidden="1" customHeight="1">
      <c r="A60" s="29"/>
      <c r="B60" s="73" t="s">
        <v>46</v>
      </c>
      <c r="C60" s="72" t="s">
        <v>55</v>
      </c>
      <c r="D60" s="73" t="s">
        <v>56</v>
      </c>
      <c r="E60" s="74">
        <v>2686</v>
      </c>
      <c r="F60" s="76">
        <f>E60/100</f>
        <v>26.86</v>
      </c>
      <c r="G60" s="13">
        <v>848.37</v>
      </c>
      <c r="H60" s="78">
        <f>G60*F60/1000</f>
        <v>22.787218199999998</v>
      </c>
      <c r="I60" s="13">
        <v>0</v>
      </c>
      <c r="J60" s="23"/>
      <c r="L60" s="19"/>
    </row>
    <row r="61" spans="1:22" ht="15.75" customHeight="1">
      <c r="A61" s="29">
        <v>12</v>
      </c>
      <c r="B61" s="73" t="s">
        <v>92</v>
      </c>
      <c r="C61" s="72" t="s">
        <v>25</v>
      </c>
      <c r="D61" s="73" t="s">
        <v>164</v>
      </c>
      <c r="E61" s="74">
        <v>343</v>
      </c>
      <c r="F61" s="76">
        <v>2400</v>
      </c>
      <c r="G61" s="13">
        <v>1.4</v>
      </c>
      <c r="H61" s="78">
        <f>F61*G61</f>
        <v>3360</v>
      </c>
      <c r="I61" s="13">
        <f>F61/12*G61</f>
        <v>280</v>
      </c>
    </row>
    <row r="62" spans="1:22" ht="15.75" hidden="1" customHeight="1">
      <c r="A62" s="29"/>
      <c r="B62" s="84" t="s">
        <v>129</v>
      </c>
      <c r="C62" s="72"/>
      <c r="D62" s="73"/>
      <c r="E62" s="74"/>
      <c r="F62" s="76"/>
      <c r="G62" s="13"/>
      <c r="H62" s="78"/>
      <c r="I62" s="13"/>
    </row>
    <row r="63" spans="1:22" ht="15.75" hidden="1" customHeight="1">
      <c r="A63" s="29"/>
      <c r="B63" s="73" t="s">
        <v>130</v>
      </c>
      <c r="C63" s="72" t="s">
        <v>30</v>
      </c>
      <c r="D63" s="73" t="s">
        <v>68</v>
      </c>
      <c r="E63" s="74">
        <v>3</v>
      </c>
      <c r="F63" s="75">
        <v>3</v>
      </c>
      <c r="G63" s="77">
        <v>254.16</v>
      </c>
      <c r="H63" s="76">
        <v>0.76200000000000001</v>
      </c>
      <c r="I63" s="13">
        <v>0</v>
      </c>
    </row>
    <row r="64" spans="1:22" ht="21" customHeight="1">
      <c r="A64" s="29"/>
      <c r="B64" s="84" t="s">
        <v>47</v>
      </c>
      <c r="C64" s="72"/>
      <c r="D64" s="73"/>
      <c r="E64" s="74"/>
      <c r="F64" s="75"/>
      <c r="G64" s="75"/>
      <c r="H64" s="76" t="s">
        <v>124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21" hidden="1" customHeight="1">
      <c r="A65" s="29">
        <v>13</v>
      </c>
      <c r="B65" s="14" t="s">
        <v>48</v>
      </c>
      <c r="C65" s="16" t="s">
        <v>116</v>
      </c>
      <c r="D65" s="73" t="s">
        <v>68</v>
      </c>
      <c r="E65" s="18">
        <v>15</v>
      </c>
      <c r="F65" s="64">
        <v>15</v>
      </c>
      <c r="G65" s="13">
        <v>237.74</v>
      </c>
      <c r="H65" s="79">
        <f t="shared" ref="H65:H81" si="6">SUM(F65*G65/1000)</f>
        <v>3.5661000000000005</v>
      </c>
      <c r="I65" s="13">
        <f>G65</f>
        <v>237.74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26.25" hidden="1" customHeight="1">
      <c r="A66" s="29"/>
      <c r="B66" s="14" t="s">
        <v>49</v>
      </c>
      <c r="C66" s="16" t="s">
        <v>116</v>
      </c>
      <c r="D66" s="73" t="s">
        <v>68</v>
      </c>
      <c r="E66" s="18">
        <v>5</v>
      </c>
      <c r="F66" s="64">
        <v>5</v>
      </c>
      <c r="G66" s="13">
        <v>81.510000000000005</v>
      </c>
      <c r="H66" s="7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8" customHeight="1">
      <c r="A67" s="29">
        <v>13</v>
      </c>
      <c r="B67" s="14" t="s">
        <v>50</v>
      </c>
      <c r="C67" s="16" t="s">
        <v>118</v>
      </c>
      <c r="D67" s="14"/>
      <c r="E67" s="48">
        <v>24123</v>
      </c>
      <c r="F67" s="13">
        <f>SUM(E67/100)</f>
        <v>241.23</v>
      </c>
      <c r="G67" s="112">
        <v>304.13</v>
      </c>
      <c r="H67" s="79">
        <f t="shared" si="6"/>
        <v>73.36527989999999</v>
      </c>
      <c r="I67" s="13">
        <f>F67*G67</f>
        <v>73365.279899999994</v>
      </c>
      <c r="J67" s="5"/>
      <c r="K67" s="5"/>
      <c r="L67" s="5"/>
      <c r="M67" s="5"/>
      <c r="N67" s="5"/>
      <c r="O67" s="5"/>
      <c r="P67" s="5"/>
      <c r="Q67" s="5"/>
      <c r="R67" s="178"/>
      <c r="S67" s="178"/>
      <c r="T67" s="178"/>
      <c r="U67" s="178"/>
    </row>
    <row r="68" spans="1:21" ht="18.75" customHeight="1">
      <c r="A68" s="29">
        <v>14</v>
      </c>
      <c r="B68" s="14" t="s">
        <v>51</v>
      </c>
      <c r="C68" s="16" t="s">
        <v>119</v>
      </c>
      <c r="D68" s="14"/>
      <c r="E68" s="48">
        <v>24123</v>
      </c>
      <c r="F68" s="13">
        <f>SUM(E68/1000)</f>
        <v>24.123000000000001</v>
      </c>
      <c r="G68" s="112">
        <v>236.84</v>
      </c>
      <c r="H68" s="79">
        <f t="shared" si="6"/>
        <v>5.7132913200000006</v>
      </c>
      <c r="I68" s="13">
        <f t="shared" ref="I68:I72" si="7">F68*G68</f>
        <v>5713.2913200000003</v>
      </c>
    </row>
    <row r="69" spans="1:21" ht="15.75" customHeight="1">
      <c r="A69" s="29">
        <v>15</v>
      </c>
      <c r="B69" s="14" t="s">
        <v>52</v>
      </c>
      <c r="C69" s="16" t="s">
        <v>78</v>
      </c>
      <c r="D69" s="14"/>
      <c r="E69" s="48">
        <v>2730</v>
      </c>
      <c r="F69" s="13">
        <f>SUM(E69/100)</f>
        <v>27.3</v>
      </c>
      <c r="G69" s="112">
        <v>2974.1</v>
      </c>
      <c r="H69" s="79">
        <f t="shared" si="6"/>
        <v>81.19292999999999</v>
      </c>
      <c r="I69" s="13">
        <f t="shared" si="7"/>
        <v>81192.929999999993</v>
      </c>
    </row>
    <row r="70" spans="1:21" ht="16.5" customHeight="1">
      <c r="A70" s="29">
        <v>16</v>
      </c>
      <c r="B70" s="166" t="s">
        <v>120</v>
      </c>
      <c r="C70" s="114" t="s">
        <v>33</v>
      </c>
      <c r="D70" s="97"/>
      <c r="E70" s="120">
        <v>12.3</v>
      </c>
      <c r="F70" s="34">
        <f>SUM(E70)</f>
        <v>12.3</v>
      </c>
      <c r="G70" s="34">
        <v>47.98</v>
      </c>
      <c r="H70" s="79">
        <f t="shared" si="6"/>
        <v>0.59015399999999996</v>
      </c>
      <c r="I70" s="13">
        <f t="shared" si="7"/>
        <v>590.154</v>
      </c>
    </row>
    <row r="71" spans="1:21" ht="16.5" customHeight="1">
      <c r="A71" s="29">
        <v>17</v>
      </c>
      <c r="B71" s="166" t="s">
        <v>121</v>
      </c>
      <c r="C71" s="114" t="s">
        <v>33</v>
      </c>
      <c r="D71" s="97"/>
      <c r="E71" s="120">
        <v>12.3</v>
      </c>
      <c r="F71" s="34">
        <f>SUM(E71)</f>
        <v>12.3</v>
      </c>
      <c r="G71" s="34">
        <v>51.75</v>
      </c>
      <c r="H71" s="79">
        <f t="shared" si="6"/>
        <v>0.63652500000000012</v>
      </c>
      <c r="I71" s="13">
        <f t="shared" si="7"/>
        <v>636.52500000000009</v>
      </c>
    </row>
    <row r="72" spans="1:21" ht="21" hidden="1" customHeight="1">
      <c r="A72" s="29"/>
      <c r="B72" s="14" t="s">
        <v>59</v>
      </c>
      <c r="C72" s="16" t="s">
        <v>60</v>
      </c>
      <c r="D72" s="14" t="s">
        <v>56</v>
      </c>
      <c r="E72" s="18">
        <v>10</v>
      </c>
      <c r="F72" s="64">
        <f>SUM(E72)</f>
        <v>10</v>
      </c>
      <c r="G72" s="13">
        <v>53.32</v>
      </c>
      <c r="H72" s="79">
        <f t="shared" si="6"/>
        <v>0.53320000000000001</v>
      </c>
      <c r="I72" s="13">
        <f t="shared" si="7"/>
        <v>533.20000000000005</v>
      </c>
    </row>
    <row r="73" spans="1:21" ht="21" customHeight="1">
      <c r="A73" s="29"/>
      <c r="B73" s="160" t="s">
        <v>182</v>
      </c>
      <c r="C73" s="16"/>
      <c r="D73" s="14"/>
      <c r="E73" s="18"/>
      <c r="F73" s="13"/>
      <c r="G73" s="13"/>
      <c r="H73" s="13"/>
      <c r="I73" s="13"/>
    </row>
    <row r="74" spans="1:21" ht="36" customHeight="1">
      <c r="A74" s="29">
        <v>18</v>
      </c>
      <c r="B74" s="97" t="s">
        <v>183</v>
      </c>
      <c r="C74" s="126" t="s">
        <v>184</v>
      </c>
      <c r="D74" s="127"/>
      <c r="E74" s="128">
        <v>4591.2</v>
      </c>
      <c r="F74" s="129">
        <f>E74*12</f>
        <v>55094.399999999994</v>
      </c>
      <c r="G74" s="129">
        <v>2.4900000000000002</v>
      </c>
      <c r="H74" s="13"/>
      <c r="I74" s="13">
        <f>G74*F74/12</f>
        <v>11432.088000000002</v>
      </c>
    </row>
    <row r="75" spans="1:21" ht="20.25" customHeight="1">
      <c r="A75" s="29"/>
      <c r="B75" s="54" t="s">
        <v>74</v>
      </c>
      <c r="C75" s="16"/>
      <c r="D75" s="14"/>
      <c r="E75" s="18"/>
      <c r="F75" s="13"/>
      <c r="G75" s="13"/>
      <c r="H75" s="79" t="s">
        <v>124</v>
      </c>
      <c r="I75" s="13"/>
    </row>
    <row r="76" spans="1:21" ht="21.75" hidden="1" customHeight="1">
      <c r="A76" s="29">
        <v>19</v>
      </c>
      <c r="B76" s="14" t="s">
        <v>75</v>
      </c>
      <c r="C76" s="16" t="s">
        <v>31</v>
      </c>
      <c r="D76" s="14" t="s">
        <v>196</v>
      </c>
      <c r="E76" s="18">
        <v>2</v>
      </c>
      <c r="F76" s="56">
        <v>0.2</v>
      </c>
      <c r="G76" s="112">
        <v>719.08</v>
      </c>
      <c r="H76" s="79">
        <v>0.251</v>
      </c>
      <c r="I76" s="13">
        <f>G76*1.2</f>
        <v>862.89600000000007</v>
      </c>
    </row>
    <row r="77" spans="1:21" ht="23.25" hidden="1" customHeight="1">
      <c r="A77" s="29"/>
      <c r="B77" s="14" t="s">
        <v>87</v>
      </c>
      <c r="C77" s="16" t="s">
        <v>30</v>
      </c>
      <c r="D77" s="14"/>
      <c r="E77" s="18">
        <v>1</v>
      </c>
      <c r="F77" s="64">
        <f>SUM(E77)</f>
        <v>1</v>
      </c>
      <c r="G77" s="13">
        <v>383.25</v>
      </c>
      <c r="H77" s="79">
        <f t="shared" si="6"/>
        <v>0.38324999999999998</v>
      </c>
      <c r="I77" s="13">
        <v>0</v>
      </c>
    </row>
    <row r="78" spans="1:21" ht="24.75" hidden="1" customHeight="1">
      <c r="A78" s="29"/>
      <c r="B78" s="14" t="s">
        <v>76</v>
      </c>
      <c r="C78" s="16" t="s">
        <v>30</v>
      </c>
      <c r="D78" s="14"/>
      <c r="E78" s="18">
        <v>2</v>
      </c>
      <c r="F78" s="13">
        <v>2</v>
      </c>
      <c r="G78" s="13">
        <v>911.85</v>
      </c>
      <c r="H78" s="79">
        <f>F78*G78/1000</f>
        <v>1.8237000000000001</v>
      </c>
      <c r="I78" s="13">
        <v>0</v>
      </c>
    </row>
    <row r="79" spans="1:21" ht="33" customHeight="1">
      <c r="A79" s="29">
        <v>19</v>
      </c>
      <c r="B79" s="97" t="s">
        <v>179</v>
      </c>
      <c r="C79" s="114" t="s">
        <v>30</v>
      </c>
      <c r="D79" s="97" t="s">
        <v>164</v>
      </c>
      <c r="E79" s="17">
        <v>2</v>
      </c>
      <c r="F79" s="34">
        <f>E79*12</f>
        <v>24</v>
      </c>
      <c r="G79" s="34">
        <v>404</v>
      </c>
      <c r="H79" s="79"/>
      <c r="I79" s="13">
        <f>G79*2</f>
        <v>808</v>
      </c>
    </row>
    <row r="80" spans="1:21" ht="21" hidden="1" customHeight="1">
      <c r="A80" s="29"/>
      <c r="B80" s="81" t="s">
        <v>77</v>
      </c>
      <c r="C80" s="16"/>
      <c r="D80" s="14"/>
      <c r="E80" s="18"/>
      <c r="F80" s="13"/>
      <c r="G80" s="13" t="s">
        <v>124</v>
      </c>
      <c r="H80" s="79" t="s">
        <v>124</v>
      </c>
      <c r="I80" s="13"/>
    </row>
    <row r="81" spans="1:9" ht="20.25" hidden="1" customHeight="1">
      <c r="A81" s="29"/>
      <c r="B81" s="44" t="s">
        <v>125</v>
      </c>
      <c r="C81" s="16" t="s">
        <v>78</v>
      </c>
      <c r="D81" s="14"/>
      <c r="E81" s="18"/>
      <c r="F81" s="13">
        <v>1.35</v>
      </c>
      <c r="G81" s="13">
        <v>2949.85</v>
      </c>
      <c r="H81" s="79">
        <f t="shared" si="6"/>
        <v>3.9822975</v>
      </c>
      <c r="I81" s="13">
        <v>0</v>
      </c>
    </row>
    <row r="82" spans="1:9" ht="20.25" customHeight="1">
      <c r="A82" s="29"/>
      <c r="B82" s="67" t="s">
        <v>122</v>
      </c>
      <c r="C82" s="81"/>
      <c r="D82" s="31"/>
      <c r="E82" s="32"/>
      <c r="F82" s="68"/>
      <c r="G82" s="68"/>
      <c r="H82" s="82">
        <f>SUM(H57:H81)</f>
        <v>3579.771982536</v>
      </c>
      <c r="I82" s="68"/>
    </row>
    <row r="83" spans="1:9" ht="19.5" customHeight="1">
      <c r="A83" s="29">
        <v>20</v>
      </c>
      <c r="B83" s="62" t="s">
        <v>123</v>
      </c>
      <c r="C83" s="16"/>
      <c r="D83" s="14"/>
      <c r="E83" s="57"/>
      <c r="F83" s="13">
        <v>1</v>
      </c>
      <c r="G83" s="13">
        <v>1971.7</v>
      </c>
      <c r="H83" s="79">
        <f>G83*F83/1000</f>
        <v>1.9717</v>
      </c>
      <c r="I83" s="13">
        <f>G83*1</f>
        <v>1971.7</v>
      </c>
    </row>
    <row r="84" spans="1:9" ht="15.75" customHeight="1">
      <c r="A84" s="191" t="s">
        <v>133</v>
      </c>
      <c r="B84" s="192"/>
      <c r="C84" s="192"/>
      <c r="D84" s="192"/>
      <c r="E84" s="192"/>
      <c r="F84" s="192"/>
      <c r="G84" s="192"/>
      <c r="H84" s="192"/>
      <c r="I84" s="193"/>
    </row>
    <row r="85" spans="1:9" ht="15.75" customHeight="1">
      <c r="A85" s="29">
        <v>21</v>
      </c>
      <c r="B85" s="97" t="s">
        <v>126</v>
      </c>
      <c r="C85" s="114" t="s">
        <v>57</v>
      </c>
      <c r="D85" s="130"/>
      <c r="E85" s="34">
        <v>4591.2</v>
      </c>
      <c r="F85" s="34">
        <f>SUM(E85*12)</f>
        <v>55094.399999999994</v>
      </c>
      <c r="G85" s="34">
        <v>3.38</v>
      </c>
      <c r="H85" s="79">
        <f>SUM(F85*G85/1000)</f>
        <v>186.21907199999998</v>
      </c>
      <c r="I85" s="13">
        <f>F85/12*G85</f>
        <v>15518.255999999999</v>
      </c>
    </row>
    <row r="86" spans="1:9" ht="31.5" customHeight="1">
      <c r="A86" s="29">
        <v>22</v>
      </c>
      <c r="B86" s="131" t="s">
        <v>180</v>
      </c>
      <c r="C86" s="132" t="s">
        <v>25</v>
      </c>
      <c r="D86" s="133"/>
      <c r="E86" s="134">
        <f>E85</f>
        <v>4591.2</v>
      </c>
      <c r="F86" s="119">
        <f>E86*12</f>
        <v>55094.399999999994</v>
      </c>
      <c r="G86" s="119">
        <v>3.05</v>
      </c>
      <c r="H86" s="79">
        <f>F86*G86/1000</f>
        <v>168.03791999999999</v>
      </c>
      <c r="I86" s="13">
        <f>F86/12*G86</f>
        <v>14003.159999999998</v>
      </c>
    </row>
    <row r="87" spans="1:9" ht="15.75" customHeight="1">
      <c r="A87" s="45"/>
      <c r="B87" s="36" t="s">
        <v>80</v>
      </c>
      <c r="C87" s="37"/>
      <c r="D87" s="15"/>
      <c r="E87" s="15"/>
      <c r="F87" s="15"/>
      <c r="G87" s="18"/>
      <c r="H87" s="18"/>
      <c r="I87" s="32">
        <f>I86+I85+I79+I74+I71+I70+I69+I68+I67+I58+I54+I61+I33+I31+I30+I21+I20+I19+I18+I17+I16+I83</f>
        <v>259304.71785353334</v>
      </c>
    </row>
    <row r="88" spans="1:9" ht="15.75" customHeight="1">
      <c r="A88" s="188" t="s">
        <v>62</v>
      </c>
      <c r="B88" s="189"/>
      <c r="C88" s="189"/>
      <c r="D88" s="189"/>
      <c r="E88" s="189"/>
      <c r="F88" s="189"/>
      <c r="G88" s="189"/>
      <c r="H88" s="189"/>
      <c r="I88" s="190"/>
    </row>
    <row r="89" spans="1:9" ht="20.25" customHeight="1">
      <c r="A89" s="29">
        <v>23</v>
      </c>
      <c r="B89" s="92" t="s">
        <v>254</v>
      </c>
      <c r="C89" s="93" t="s">
        <v>41</v>
      </c>
      <c r="D89" s="95">
        <v>1</v>
      </c>
      <c r="E89" s="34"/>
      <c r="F89" s="34">
        <v>0.02</v>
      </c>
      <c r="G89" s="34">
        <v>28224.75</v>
      </c>
      <c r="H89" s="94"/>
      <c r="I89" s="13">
        <v>0</v>
      </c>
    </row>
    <row r="90" spans="1:9" ht="29.25" customHeight="1">
      <c r="A90" s="29">
        <v>24</v>
      </c>
      <c r="B90" s="92" t="s">
        <v>216</v>
      </c>
      <c r="C90" s="93" t="s">
        <v>39</v>
      </c>
      <c r="D90" s="95" t="s">
        <v>169</v>
      </c>
      <c r="E90" s="34"/>
      <c r="F90" s="34">
        <v>0.08</v>
      </c>
      <c r="G90" s="34">
        <v>4233.72</v>
      </c>
      <c r="H90" s="94"/>
      <c r="I90" s="13">
        <v>0</v>
      </c>
    </row>
    <row r="91" spans="1:9" ht="35.25" customHeight="1">
      <c r="A91" s="29">
        <v>25</v>
      </c>
      <c r="B91" s="92" t="s">
        <v>208</v>
      </c>
      <c r="C91" s="93" t="s">
        <v>83</v>
      </c>
      <c r="D91" s="97" t="s">
        <v>281</v>
      </c>
      <c r="E91" s="34"/>
      <c r="F91" s="34">
        <v>4</v>
      </c>
      <c r="G91" s="34">
        <v>231.54</v>
      </c>
      <c r="H91" s="94"/>
      <c r="I91" s="13">
        <f>G91*2</f>
        <v>463.08</v>
      </c>
    </row>
    <row r="92" spans="1:9" ht="29.25" customHeight="1">
      <c r="A92" s="29">
        <v>26</v>
      </c>
      <c r="B92" s="92" t="s">
        <v>272</v>
      </c>
      <c r="C92" s="93" t="s">
        <v>159</v>
      </c>
      <c r="D92" s="95" t="s">
        <v>277</v>
      </c>
      <c r="E92" s="34"/>
      <c r="F92" s="34">
        <v>3</v>
      </c>
      <c r="G92" s="34">
        <v>1584.54</v>
      </c>
      <c r="H92" s="94"/>
      <c r="I92" s="13">
        <f>G92*3</f>
        <v>4753.62</v>
      </c>
    </row>
    <row r="93" spans="1:9" ht="32.25" customHeight="1">
      <c r="A93" s="29">
        <v>27</v>
      </c>
      <c r="B93" s="92" t="s">
        <v>273</v>
      </c>
      <c r="C93" s="93" t="s">
        <v>159</v>
      </c>
      <c r="D93" s="95" t="s">
        <v>278</v>
      </c>
      <c r="E93" s="34"/>
      <c r="F93" s="34">
        <v>1</v>
      </c>
      <c r="G93" s="34">
        <v>1478.55</v>
      </c>
      <c r="H93" s="94"/>
      <c r="I93" s="13">
        <f>G93*1</f>
        <v>1478.55</v>
      </c>
    </row>
    <row r="94" spans="1:9" ht="35.25" customHeight="1">
      <c r="A94" s="29">
        <v>28</v>
      </c>
      <c r="B94" s="92" t="s">
        <v>274</v>
      </c>
      <c r="C94" s="93" t="s">
        <v>202</v>
      </c>
      <c r="D94" s="95" t="s">
        <v>285</v>
      </c>
      <c r="E94" s="34"/>
      <c r="F94" s="34">
        <v>0.19700000000000001</v>
      </c>
      <c r="G94" s="34">
        <v>5273.1</v>
      </c>
      <c r="H94" s="94"/>
      <c r="I94" s="13">
        <f>G94*1.185</f>
        <v>6248.6235000000006</v>
      </c>
    </row>
    <row r="95" spans="1:9" ht="18" customHeight="1">
      <c r="A95" s="29">
        <v>29</v>
      </c>
      <c r="B95" s="92" t="s">
        <v>204</v>
      </c>
      <c r="C95" s="93" t="s">
        <v>116</v>
      </c>
      <c r="D95" s="95" t="s">
        <v>284</v>
      </c>
      <c r="E95" s="34"/>
      <c r="F95" s="34">
        <v>1</v>
      </c>
      <c r="G95" s="34">
        <v>420</v>
      </c>
      <c r="H95" s="94"/>
      <c r="I95" s="13">
        <f>G95*6</f>
        <v>2520</v>
      </c>
    </row>
    <row r="96" spans="1:9" ht="18" customHeight="1">
      <c r="A96" s="29">
        <v>30</v>
      </c>
      <c r="B96" s="118" t="s">
        <v>234</v>
      </c>
      <c r="C96" s="93" t="s">
        <v>116</v>
      </c>
      <c r="D96" s="95" t="s">
        <v>279</v>
      </c>
      <c r="E96" s="34"/>
      <c r="F96" s="34">
        <v>1</v>
      </c>
      <c r="G96" s="34">
        <v>224.24</v>
      </c>
      <c r="H96" s="94"/>
      <c r="I96" s="13">
        <f>G96*1</f>
        <v>224.24</v>
      </c>
    </row>
    <row r="97" spans="1:9" ht="19.5" customHeight="1">
      <c r="A97" s="29">
        <v>31</v>
      </c>
      <c r="B97" s="92" t="s">
        <v>275</v>
      </c>
      <c r="C97" s="96" t="s">
        <v>276</v>
      </c>
      <c r="D97" s="95" t="s">
        <v>280</v>
      </c>
      <c r="E97" s="34"/>
      <c r="F97" s="34">
        <v>1</v>
      </c>
      <c r="G97" s="34">
        <v>182.26</v>
      </c>
      <c r="H97" s="94"/>
      <c r="I97" s="13">
        <f>G97*1</f>
        <v>182.26</v>
      </c>
    </row>
    <row r="98" spans="1:9" ht="19.5" customHeight="1">
      <c r="A98" s="29">
        <v>32</v>
      </c>
      <c r="B98" s="92" t="s">
        <v>200</v>
      </c>
      <c r="C98" s="96" t="s">
        <v>116</v>
      </c>
      <c r="D98" s="95"/>
      <c r="E98" s="34"/>
      <c r="F98" s="34">
        <v>0.5</v>
      </c>
      <c r="G98" s="34">
        <v>453</v>
      </c>
      <c r="H98" s="94"/>
      <c r="I98" s="13">
        <f>G98*0.5</f>
        <v>226.5</v>
      </c>
    </row>
    <row r="99" spans="1:9" ht="19.5" customHeight="1">
      <c r="A99" s="29">
        <v>33</v>
      </c>
      <c r="B99" s="95" t="s">
        <v>155</v>
      </c>
      <c r="C99" s="114" t="s">
        <v>159</v>
      </c>
      <c r="D99" s="95" t="s">
        <v>282</v>
      </c>
      <c r="E99" s="34"/>
      <c r="F99" s="34">
        <v>78</v>
      </c>
      <c r="G99" s="34">
        <v>295.36</v>
      </c>
      <c r="H99" s="94"/>
      <c r="I99" s="13">
        <v>0</v>
      </c>
    </row>
    <row r="100" spans="1:9" ht="19.5" customHeight="1">
      <c r="A100" s="29">
        <v>34</v>
      </c>
      <c r="B100" s="92" t="s">
        <v>283</v>
      </c>
      <c r="C100" s="96" t="s">
        <v>165</v>
      </c>
      <c r="D100" s="95"/>
      <c r="E100" s="34"/>
      <c r="F100" s="34">
        <v>1</v>
      </c>
      <c r="G100" s="34">
        <v>18487.23</v>
      </c>
      <c r="H100" s="94"/>
      <c r="I100" s="13">
        <f>G100*1</f>
        <v>18487.23</v>
      </c>
    </row>
    <row r="101" spans="1:9" ht="15.75" customHeight="1">
      <c r="A101" s="29"/>
      <c r="B101" s="42" t="s">
        <v>53</v>
      </c>
      <c r="C101" s="38"/>
      <c r="D101" s="46"/>
      <c r="E101" s="38">
        <v>1</v>
      </c>
      <c r="F101" s="38"/>
      <c r="G101" s="38"/>
      <c r="H101" s="38"/>
      <c r="I101" s="32">
        <f>SUM(I89:I100)</f>
        <v>34584.103499999997</v>
      </c>
    </row>
    <row r="102" spans="1:9" ht="15.75" customHeight="1">
      <c r="A102" s="29"/>
      <c r="B102" s="44" t="s">
        <v>79</v>
      </c>
      <c r="C102" s="15"/>
      <c r="D102" s="15"/>
      <c r="E102" s="39"/>
      <c r="F102" s="39"/>
      <c r="G102" s="40"/>
      <c r="H102" s="40"/>
      <c r="I102" s="17">
        <v>0</v>
      </c>
    </row>
    <row r="103" spans="1:9" ht="15.75" customHeight="1">
      <c r="A103" s="47"/>
      <c r="B103" s="43" t="s">
        <v>150</v>
      </c>
      <c r="C103" s="33"/>
      <c r="D103" s="33"/>
      <c r="E103" s="33"/>
      <c r="F103" s="33"/>
      <c r="G103" s="33"/>
      <c r="H103" s="33"/>
      <c r="I103" s="41">
        <f>I87+I101</f>
        <v>293888.82135353331</v>
      </c>
    </row>
    <row r="104" spans="1:9" ht="15.75" customHeight="1">
      <c r="A104" s="185" t="s">
        <v>287</v>
      </c>
      <c r="B104" s="185"/>
      <c r="C104" s="185"/>
      <c r="D104" s="185"/>
      <c r="E104" s="185"/>
      <c r="F104" s="185"/>
      <c r="G104" s="185"/>
      <c r="H104" s="185"/>
      <c r="I104" s="185"/>
    </row>
    <row r="105" spans="1:9" ht="15.75" customHeight="1">
      <c r="A105" s="55"/>
      <c r="B105" s="186" t="s">
        <v>288</v>
      </c>
      <c r="C105" s="186"/>
      <c r="D105" s="186"/>
      <c r="E105" s="186"/>
      <c r="F105" s="186"/>
      <c r="G105" s="186"/>
      <c r="H105" s="61"/>
      <c r="I105" s="3"/>
    </row>
    <row r="106" spans="1:9" ht="15.75" customHeight="1">
      <c r="A106" s="49"/>
      <c r="B106" s="176" t="s">
        <v>6</v>
      </c>
      <c r="C106" s="176"/>
      <c r="D106" s="176"/>
      <c r="E106" s="176"/>
      <c r="F106" s="176"/>
      <c r="G106" s="176"/>
      <c r="H106" s="24"/>
      <c r="I106" s="5"/>
    </row>
    <row r="107" spans="1:9" ht="15.75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 customHeight="1">
      <c r="A108" s="187" t="s">
        <v>7</v>
      </c>
      <c r="B108" s="187"/>
      <c r="C108" s="187"/>
      <c r="D108" s="187"/>
      <c r="E108" s="187"/>
      <c r="F108" s="187"/>
      <c r="G108" s="187"/>
      <c r="H108" s="187"/>
      <c r="I108" s="187"/>
    </row>
    <row r="109" spans="1:9" ht="15.75" customHeight="1">
      <c r="A109" s="187" t="s">
        <v>8</v>
      </c>
      <c r="B109" s="187"/>
      <c r="C109" s="187"/>
      <c r="D109" s="187"/>
      <c r="E109" s="187"/>
      <c r="F109" s="187"/>
      <c r="G109" s="187"/>
      <c r="H109" s="187"/>
      <c r="I109" s="187"/>
    </row>
    <row r="110" spans="1:9" ht="15.75" customHeight="1">
      <c r="A110" s="180" t="s">
        <v>63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15.75" customHeight="1">
      <c r="A111" s="11"/>
    </row>
    <row r="112" spans="1:9" ht="15.75" customHeight="1">
      <c r="A112" s="174" t="s">
        <v>9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15.75" customHeight="1">
      <c r="A113" s="4"/>
    </row>
    <row r="114" spans="1:9" ht="15.75" customHeight="1">
      <c r="B114" s="52" t="s">
        <v>10</v>
      </c>
      <c r="C114" s="175" t="s">
        <v>206</v>
      </c>
      <c r="D114" s="175"/>
      <c r="E114" s="175"/>
      <c r="F114" s="59"/>
      <c r="I114" s="51"/>
    </row>
    <row r="115" spans="1:9" ht="15.75" customHeight="1">
      <c r="A115" s="49"/>
      <c r="C115" s="176" t="s">
        <v>11</v>
      </c>
      <c r="D115" s="176"/>
      <c r="E115" s="176"/>
      <c r="F115" s="24"/>
      <c r="I115" s="50" t="s">
        <v>12</v>
      </c>
    </row>
    <row r="116" spans="1:9" ht="15.75" customHeight="1">
      <c r="A116" s="25"/>
      <c r="C116" s="12"/>
      <c r="D116" s="12"/>
      <c r="G116" s="12"/>
      <c r="H116" s="12"/>
    </row>
    <row r="117" spans="1:9" ht="15.75" customHeight="1">
      <c r="B117" s="52" t="s">
        <v>13</v>
      </c>
      <c r="C117" s="177"/>
      <c r="D117" s="177"/>
      <c r="E117" s="177"/>
      <c r="F117" s="60"/>
      <c r="I117" s="51"/>
    </row>
    <row r="118" spans="1:9" ht="15.75" customHeight="1">
      <c r="A118" s="49"/>
      <c r="C118" s="178" t="s">
        <v>11</v>
      </c>
      <c r="D118" s="178"/>
      <c r="E118" s="178"/>
      <c r="F118" s="49"/>
      <c r="I118" s="50" t="s">
        <v>12</v>
      </c>
    </row>
    <row r="119" spans="1:9" ht="15.75" customHeight="1">
      <c r="A119" s="4" t="s">
        <v>14</v>
      </c>
    </row>
    <row r="120" spans="1:9" ht="15.75" customHeight="1">
      <c r="A120" s="179" t="s">
        <v>15</v>
      </c>
      <c r="B120" s="179"/>
      <c r="C120" s="179"/>
      <c r="D120" s="179"/>
      <c r="E120" s="179"/>
      <c r="F120" s="179"/>
      <c r="G120" s="179"/>
      <c r="H120" s="179"/>
      <c r="I120" s="179"/>
    </row>
    <row r="121" spans="1:9" ht="45" customHeight="1">
      <c r="A121" s="173" t="s">
        <v>16</v>
      </c>
      <c r="B121" s="173"/>
      <c r="C121" s="173"/>
      <c r="D121" s="173"/>
      <c r="E121" s="173"/>
      <c r="F121" s="173"/>
      <c r="G121" s="173"/>
      <c r="H121" s="173"/>
      <c r="I121" s="173"/>
    </row>
    <row r="122" spans="1:9" ht="30" customHeight="1">
      <c r="A122" s="173" t="s">
        <v>17</v>
      </c>
      <c r="B122" s="173"/>
      <c r="C122" s="173"/>
      <c r="D122" s="173"/>
      <c r="E122" s="173"/>
      <c r="F122" s="173"/>
      <c r="G122" s="173"/>
      <c r="H122" s="173"/>
      <c r="I122" s="173"/>
    </row>
    <row r="123" spans="1:9" ht="30" customHeight="1">
      <c r="A123" s="173" t="s">
        <v>21</v>
      </c>
      <c r="B123" s="173"/>
      <c r="C123" s="173"/>
      <c r="D123" s="173"/>
      <c r="E123" s="173"/>
      <c r="F123" s="173"/>
      <c r="G123" s="173"/>
      <c r="H123" s="173"/>
      <c r="I123" s="173"/>
    </row>
    <row r="124" spans="1:9" ht="15" customHeight="1">
      <c r="A124" s="173" t="s">
        <v>20</v>
      </c>
      <c r="B124" s="173"/>
      <c r="C124" s="173"/>
      <c r="D124" s="173"/>
      <c r="E124" s="173"/>
      <c r="F124" s="173"/>
      <c r="G124" s="173"/>
      <c r="H124" s="173"/>
      <c r="I124" s="173"/>
    </row>
  </sheetData>
  <autoFilter ref="I12:I62"/>
  <mergeCells count="29">
    <mergeCell ref="R67:U67"/>
    <mergeCell ref="A84:I84"/>
    <mergeCell ref="A3:I3"/>
    <mergeCell ref="A4:I4"/>
    <mergeCell ref="A5:I5"/>
    <mergeCell ref="A8:I8"/>
    <mergeCell ref="A10:I10"/>
    <mergeCell ref="A14:I14"/>
    <mergeCell ref="A110:I110"/>
    <mergeCell ref="A15:I15"/>
    <mergeCell ref="A28:I28"/>
    <mergeCell ref="A44:I44"/>
    <mergeCell ref="A55:I55"/>
    <mergeCell ref="A104:I104"/>
    <mergeCell ref="B105:G105"/>
    <mergeCell ref="B106:G106"/>
    <mergeCell ref="A108:I108"/>
    <mergeCell ref="A109:I109"/>
    <mergeCell ref="A88:I88"/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11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9"/>
  <sheetViews>
    <sheetView topLeftCell="A80" workbookViewId="0">
      <selection activeCell="A95" sqref="A9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146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289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44408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customHeight="1">
      <c r="A22" s="29">
        <v>6</v>
      </c>
      <c r="B22" s="115" t="s">
        <v>102</v>
      </c>
      <c r="C22" s="116" t="s">
        <v>55</v>
      </c>
      <c r="D22" s="115" t="s">
        <v>164</v>
      </c>
      <c r="E22" s="120">
        <v>714</v>
      </c>
      <c r="F22" s="121">
        <f>SUM(E22/100)</f>
        <v>7.14</v>
      </c>
      <c r="G22" s="121">
        <v>386</v>
      </c>
      <c r="H22" s="65">
        <f t="shared" si="0"/>
        <v>2.75604</v>
      </c>
      <c r="I22" s="13">
        <f>G22*F22</f>
        <v>2756.04</v>
      </c>
      <c r="J22" s="22"/>
      <c r="K22" s="8"/>
      <c r="L22" s="8"/>
      <c r="M22" s="8"/>
    </row>
    <row r="23" spans="1:13" ht="15.75" customHeight="1">
      <c r="A23" s="29">
        <v>7</v>
      </c>
      <c r="B23" s="115" t="s">
        <v>103</v>
      </c>
      <c r="C23" s="116" t="s">
        <v>55</v>
      </c>
      <c r="D23" s="115" t="s">
        <v>296</v>
      </c>
      <c r="E23" s="162">
        <v>96.6</v>
      </c>
      <c r="F23" s="121">
        <f>SUM(E23/100)</f>
        <v>0.96599999999999997</v>
      </c>
      <c r="G23" s="121">
        <v>63.49</v>
      </c>
      <c r="H23" s="65">
        <f t="shared" si="0"/>
        <v>6.1331339999999998E-2</v>
      </c>
      <c r="I23" s="13">
        <f>G23*F23</f>
        <v>61.331339999999997</v>
      </c>
      <c r="J23" s="22"/>
      <c r="K23" s="8"/>
      <c r="L23" s="8"/>
      <c r="M23" s="8"/>
    </row>
    <row r="24" spans="1:13" ht="15.75" customHeight="1">
      <c r="A24" s="29">
        <v>8</v>
      </c>
      <c r="B24" s="115" t="s">
        <v>96</v>
      </c>
      <c r="C24" s="116" t="s">
        <v>55</v>
      </c>
      <c r="D24" s="115" t="s">
        <v>195</v>
      </c>
      <c r="E24" s="17">
        <v>40</v>
      </c>
      <c r="F24" s="163">
        <f>E24/100</f>
        <v>0.4</v>
      </c>
      <c r="G24" s="121">
        <v>558.66999999999996</v>
      </c>
      <c r="H24" s="65">
        <f>F24*G24/1000</f>
        <v>0.223468</v>
      </c>
      <c r="I24" s="13">
        <f>G24*F24</f>
        <v>223.46799999999999</v>
      </c>
      <c r="J24" s="22"/>
      <c r="K24" s="8"/>
      <c r="L24" s="8"/>
      <c r="M24" s="8"/>
    </row>
    <row r="25" spans="1:13" ht="15.75" customHeight="1">
      <c r="A25" s="29">
        <v>9</v>
      </c>
      <c r="B25" s="115" t="s">
        <v>97</v>
      </c>
      <c r="C25" s="116" t="s">
        <v>55</v>
      </c>
      <c r="D25" s="115" t="s">
        <v>177</v>
      </c>
      <c r="E25" s="120">
        <v>17</v>
      </c>
      <c r="F25" s="121">
        <f>SUM(E25/100)</f>
        <v>0.17</v>
      </c>
      <c r="G25" s="121">
        <v>746.6</v>
      </c>
      <c r="H25" s="65">
        <f t="shared" si="0"/>
        <v>0.12692200000000001</v>
      </c>
      <c r="I25" s="13">
        <f>G25*F25</f>
        <v>126.92200000000001</v>
      </c>
      <c r="J25" s="22"/>
      <c r="K25" s="8"/>
      <c r="L25" s="8"/>
      <c r="M25" s="8"/>
    </row>
    <row r="26" spans="1:13" ht="15.75" customHeight="1">
      <c r="A26" s="29">
        <v>10</v>
      </c>
      <c r="B26" s="92" t="s">
        <v>194</v>
      </c>
      <c r="C26" s="93" t="s">
        <v>55</v>
      </c>
      <c r="D26" s="115" t="s">
        <v>170</v>
      </c>
      <c r="E26" s="120">
        <v>31.5</v>
      </c>
      <c r="F26" s="121">
        <f>E26/100</f>
        <v>0.315</v>
      </c>
      <c r="G26" s="121">
        <v>309.81</v>
      </c>
      <c r="H26" s="65">
        <f>SUM(F26*G26/1000)</f>
        <v>9.7590150000000014E-2</v>
      </c>
      <c r="I26" s="13">
        <f>F26/1*G26</f>
        <v>97.590150000000008</v>
      </c>
      <c r="J26" s="23"/>
    </row>
    <row r="27" spans="1:13" ht="15.75" customHeight="1">
      <c r="A27" s="181" t="s">
        <v>84</v>
      </c>
      <c r="B27" s="181"/>
      <c r="C27" s="181"/>
      <c r="D27" s="181"/>
      <c r="E27" s="181"/>
      <c r="F27" s="181"/>
      <c r="G27" s="181"/>
      <c r="H27" s="181"/>
      <c r="I27" s="181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11</v>
      </c>
      <c r="B29" s="115" t="s">
        <v>104</v>
      </c>
      <c r="C29" s="116" t="s">
        <v>105</v>
      </c>
      <c r="D29" s="115" t="s">
        <v>178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12</v>
      </c>
      <c r="B30" s="115" t="s">
        <v>137</v>
      </c>
      <c r="C30" s="116" t="s">
        <v>105</v>
      </c>
      <c r="D30" s="115" t="s">
        <v>168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1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hidden="1" customHeight="1">
      <c r="A31" s="29"/>
      <c r="B31" s="115" t="s">
        <v>27</v>
      </c>
      <c r="C31" s="116" t="s">
        <v>105</v>
      </c>
      <c r="D31" s="115" t="s">
        <v>164</v>
      </c>
      <c r="E31" s="121">
        <v>844.95</v>
      </c>
      <c r="F31" s="121">
        <f>SUM(E31/1000)</f>
        <v>0.84495000000000009</v>
      </c>
      <c r="G31" s="121">
        <v>4329.78</v>
      </c>
      <c r="H31" s="65">
        <f t="shared" si="1"/>
        <v>3.6584476110000002</v>
      </c>
      <c r="I31" s="13">
        <f>F31*G31</f>
        <v>3658.4476110000001</v>
      </c>
      <c r="J31" s="22"/>
      <c r="K31" s="8"/>
      <c r="L31" s="8"/>
      <c r="M31" s="8"/>
    </row>
    <row r="32" spans="1:13" ht="15.75" customHeight="1">
      <c r="A32" s="29">
        <v>13</v>
      </c>
      <c r="B32" s="115" t="s">
        <v>135</v>
      </c>
      <c r="C32" s="116" t="s">
        <v>41</v>
      </c>
      <c r="D32" s="115" t="s">
        <v>173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62" t="s">
        <v>66</v>
      </c>
      <c r="C33" s="63" t="s">
        <v>33</v>
      </c>
      <c r="D33" s="62" t="s">
        <v>68</v>
      </c>
      <c r="E33" s="48"/>
      <c r="F33" s="64">
        <v>3</v>
      </c>
      <c r="G33" s="64">
        <v>204.32</v>
      </c>
      <c r="H33" s="65">
        <f t="shared" ref="H33:H34" si="3">SUM(F33*G33/1000)</f>
        <v>0.61296000000000006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3"/>
        <v>2.4294600000000002</v>
      </c>
      <c r="I34" s="13">
        <v>0</v>
      </c>
      <c r="J34" s="23"/>
    </row>
    <row r="35" spans="1:14" ht="15.7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124</v>
      </c>
      <c r="I35" s="13"/>
      <c r="J35" s="23"/>
    </row>
    <row r="36" spans="1:14" ht="15.75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4">SUM(F36*G36/1000)</f>
        <v>16.326000000000001</v>
      </c>
      <c r="I36" s="13">
        <f>F36/6*G36</f>
        <v>2721</v>
      </c>
      <c r="J36" s="23"/>
    </row>
    <row r="37" spans="1:14" ht="15.75" hidden="1" customHeight="1">
      <c r="A37" s="29">
        <v>9</v>
      </c>
      <c r="B37" s="62" t="s">
        <v>136</v>
      </c>
      <c r="C37" s="63" t="s">
        <v>29</v>
      </c>
      <c r="D37" s="62" t="s">
        <v>109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4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15.75" hidden="1" customHeight="1">
      <c r="A38" s="29"/>
      <c r="B38" s="62" t="s">
        <v>91</v>
      </c>
      <c r="C38" s="63" t="s">
        <v>110</v>
      </c>
      <c r="D38" s="62" t="s">
        <v>68</v>
      </c>
      <c r="E38" s="48"/>
      <c r="F38" s="64">
        <v>40</v>
      </c>
      <c r="G38" s="64">
        <v>213.2</v>
      </c>
      <c r="H38" s="65">
        <f t="shared" si="4"/>
        <v>8.5280000000000005</v>
      </c>
      <c r="I38" s="13"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62" t="s">
        <v>69</v>
      </c>
      <c r="C39" s="63" t="s">
        <v>29</v>
      </c>
      <c r="D39" s="62" t="s">
        <v>111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4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47.25" hidden="1" customHeight="1">
      <c r="A40" s="29">
        <v>11</v>
      </c>
      <c r="B40" s="62" t="s">
        <v>82</v>
      </c>
      <c r="C40" s="63" t="s">
        <v>105</v>
      </c>
      <c r="D40" s="62" t="s">
        <v>112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4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15.75" hidden="1" customHeight="1">
      <c r="A41" s="29">
        <v>12</v>
      </c>
      <c r="B41" s="62" t="s">
        <v>113</v>
      </c>
      <c r="C41" s="63" t="s">
        <v>105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4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15.7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4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15.75" hidden="1" customHeight="1">
      <c r="A43" s="182" t="s">
        <v>131</v>
      </c>
      <c r="B43" s="183"/>
      <c r="C43" s="183"/>
      <c r="D43" s="183"/>
      <c r="E43" s="183"/>
      <c r="F43" s="183"/>
      <c r="G43" s="183"/>
      <c r="H43" s="183"/>
      <c r="I43" s="184"/>
      <c r="J43" s="23"/>
      <c r="L43" s="19"/>
      <c r="M43" s="20"/>
      <c r="N43" s="21"/>
    </row>
    <row r="44" spans="1:14" ht="15.75" hidden="1" customHeight="1">
      <c r="A44" s="29"/>
      <c r="B44" s="62" t="s">
        <v>128</v>
      </c>
      <c r="C44" s="63" t="s">
        <v>105</v>
      </c>
      <c r="D44" s="62" t="s">
        <v>43</v>
      </c>
      <c r="E44" s="48">
        <v>1795.9</v>
      </c>
      <c r="F44" s="64">
        <f>SUM(E44*2/1000)</f>
        <v>3.5918000000000001</v>
      </c>
      <c r="G44" s="13">
        <v>865.61</v>
      </c>
      <c r="H44" s="65">
        <f t="shared" ref="H44:H53" si="5">SUM(F44*G44/1000)</f>
        <v>3.1090979980000002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2" t="s">
        <v>36</v>
      </c>
      <c r="C45" s="63" t="s">
        <v>105</v>
      </c>
      <c r="D45" s="62" t="s">
        <v>43</v>
      </c>
      <c r="E45" s="48">
        <v>104</v>
      </c>
      <c r="F45" s="64">
        <f>SUM(E45*2/1000)</f>
        <v>0.20799999999999999</v>
      </c>
      <c r="G45" s="13">
        <v>619.46</v>
      </c>
      <c r="H45" s="65">
        <f t="shared" si="5"/>
        <v>0.12884767999999999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2" t="s">
        <v>37</v>
      </c>
      <c r="C46" s="63" t="s">
        <v>105</v>
      </c>
      <c r="D46" s="62" t="s">
        <v>43</v>
      </c>
      <c r="E46" s="48">
        <v>1996.87</v>
      </c>
      <c r="F46" s="64">
        <f>SUM(E46*2/1000)</f>
        <v>3.9937399999999998</v>
      </c>
      <c r="G46" s="13">
        <v>619.46</v>
      </c>
      <c r="H46" s="65">
        <f t="shared" si="5"/>
        <v>2.4739621804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38</v>
      </c>
      <c r="C47" s="63" t="s">
        <v>105</v>
      </c>
      <c r="D47" s="62" t="s">
        <v>43</v>
      </c>
      <c r="E47" s="48">
        <v>2630.35</v>
      </c>
      <c r="F47" s="64">
        <f>SUM(E47*2/1000)</f>
        <v>5.2606999999999999</v>
      </c>
      <c r="G47" s="13">
        <v>648.64</v>
      </c>
      <c r="H47" s="65">
        <f t="shared" si="5"/>
        <v>3.4123004479999999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34</v>
      </c>
      <c r="C48" s="63" t="s">
        <v>35</v>
      </c>
      <c r="D48" s="62" t="s">
        <v>43</v>
      </c>
      <c r="E48" s="48">
        <v>131.47</v>
      </c>
      <c r="F48" s="64">
        <f>SUM(E48*2/100)</f>
        <v>2.6294</v>
      </c>
      <c r="G48" s="13">
        <v>77.84</v>
      </c>
      <c r="H48" s="65">
        <f t="shared" si="5"/>
        <v>0.20467249599999998</v>
      </c>
      <c r="I48" s="13">
        <v>0</v>
      </c>
      <c r="J48" s="23"/>
      <c r="L48" s="19"/>
      <c r="M48" s="20"/>
      <c r="N48" s="21"/>
    </row>
    <row r="49" spans="1:22" ht="15.75" hidden="1" customHeight="1">
      <c r="A49" s="29">
        <v>14</v>
      </c>
      <c r="B49" s="62" t="s">
        <v>58</v>
      </c>
      <c r="C49" s="63" t="s">
        <v>105</v>
      </c>
      <c r="D49" s="62" t="s">
        <v>138</v>
      </c>
      <c r="E49" s="48">
        <v>2872.4</v>
      </c>
      <c r="F49" s="64">
        <f>SUM(E49*5/1000)</f>
        <v>14.362</v>
      </c>
      <c r="G49" s="13">
        <v>1297.28</v>
      </c>
      <c r="H49" s="65">
        <f t="shared" si="5"/>
        <v>18.631535359999997</v>
      </c>
      <c r="I49" s="13">
        <f>F49/5*G49</f>
        <v>3726.3070719999996</v>
      </c>
      <c r="J49" s="23"/>
      <c r="L49" s="19"/>
      <c r="M49" s="20"/>
      <c r="N49" s="21"/>
    </row>
    <row r="50" spans="1:22" ht="31.5" hidden="1" customHeight="1">
      <c r="A50" s="29"/>
      <c r="B50" s="62" t="s">
        <v>114</v>
      </c>
      <c r="C50" s="63" t="s">
        <v>105</v>
      </c>
      <c r="D50" s="62" t="s">
        <v>43</v>
      </c>
      <c r="E50" s="48">
        <v>2872.4</v>
      </c>
      <c r="F50" s="64">
        <f>SUM(E50*2/1000)</f>
        <v>5.7448000000000006</v>
      </c>
      <c r="G50" s="13">
        <v>1297.28</v>
      </c>
      <c r="H50" s="65">
        <f t="shared" si="5"/>
        <v>7.4526141440000009</v>
      </c>
      <c r="I50" s="13">
        <v>0</v>
      </c>
      <c r="J50" s="23"/>
      <c r="L50" s="19"/>
      <c r="M50" s="20"/>
      <c r="N50" s="21"/>
    </row>
    <row r="51" spans="1:22" ht="31.5" hidden="1" customHeight="1">
      <c r="A51" s="29"/>
      <c r="B51" s="62" t="s">
        <v>115</v>
      </c>
      <c r="C51" s="63" t="s">
        <v>39</v>
      </c>
      <c r="D51" s="62" t="s">
        <v>43</v>
      </c>
      <c r="E51" s="48">
        <v>40</v>
      </c>
      <c r="F51" s="64">
        <f>SUM(E51*2/100)</f>
        <v>0.8</v>
      </c>
      <c r="G51" s="13">
        <v>2918.89</v>
      </c>
      <c r="H51" s="65">
        <f t="shared" si="5"/>
        <v>2.3351120000000001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2" t="s">
        <v>40</v>
      </c>
      <c r="C52" s="63" t="s">
        <v>41</v>
      </c>
      <c r="D52" s="62" t="s">
        <v>43</v>
      </c>
      <c r="E52" s="48">
        <v>1</v>
      </c>
      <c r="F52" s="64">
        <v>0.02</v>
      </c>
      <c r="G52" s="13">
        <v>6042.12</v>
      </c>
      <c r="H52" s="65">
        <f t="shared" si="5"/>
        <v>0.1208424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15</v>
      </c>
      <c r="B53" s="62" t="s">
        <v>42</v>
      </c>
      <c r="C53" s="63" t="s">
        <v>30</v>
      </c>
      <c r="D53" s="62" t="s">
        <v>72</v>
      </c>
      <c r="E53" s="48">
        <v>160</v>
      </c>
      <c r="F53" s="64">
        <f>SUM(E53)*3</f>
        <v>480</v>
      </c>
      <c r="G53" s="13">
        <v>70.209999999999994</v>
      </c>
      <c r="H53" s="65">
        <f t="shared" si="5"/>
        <v>33.700799999999994</v>
      </c>
      <c r="I53" s="13">
        <f>E53*G53</f>
        <v>11233.599999999999</v>
      </c>
      <c r="J53" s="23"/>
      <c r="L53" s="19"/>
      <c r="M53" s="20"/>
      <c r="N53" s="21"/>
    </row>
    <row r="54" spans="1:22" ht="15.75" customHeight="1">
      <c r="A54" s="182" t="s">
        <v>141</v>
      </c>
      <c r="B54" s="183"/>
      <c r="C54" s="183"/>
      <c r="D54" s="183"/>
      <c r="E54" s="183"/>
      <c r="F54" s="183"/>
      <c r="G54" s="183"/>
      <c r="H54" s="183"/>
      <c r="I54" s="184"/>
      <c r="J54" s="23"/>
      <c r="L54" s="19"/>
      <c r="M54" s="20"/>
      <c r="N54" s="21"/>
    </row>
    <row r="55" spans="1:22" ht="15.75" hidden="1" customHeight="1">
      <c r="A55" s="29"/>
      <c r="B55" s="83" t="s">
        <v>44</v>
      </c>
      <c r="C55" s="63"/>
      <c r="D55" s="62"/>
      <c r="E55" s="48"/>
      <c r="F55" s="64"/>
      <c r="G55" s="64"/>
      <c r="H55" s="65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2" t="s">
        <v>117</v>
      </c>
      <c r="C56" s="63" t="s">
        <v>98</v>
      </c>
      <c r="D56" s="62" t="s">
        <v>73</v>
      </c>
      <c r="E56" s="48">
        <v>239.59</v>
      </c>
      <c r="F56" s="64">
        <f>E56*6/100</f>
        <v>14.375399999999999</v>
      </c>
      <c r="G56" s="71">
        <v>1654.04</v>
      </c>
      <c r="H56" s="65">
        <f>F56*G56/1000</f>
        <v>23.777486615999997</v>
      </c>
      <c r="I56" s="13">
        <f>F56/6*G56</f>
        <v>3962.9144359999996</v>
      </c>
      <c r="J56" s="23"/>
      <c r="L56" s="19"/>
      <c r="M56" s="20"/>
      <c r="N56" s="21"/>
    </row>
    <row r="57" spans="1:22" ht="15.75" customHeight="1">
      <c r="A57" s="29"/>
      <c r="B57" s="84" t="s">
        <v>45</v>
      </c>
      <c r="C57" s="72"/>
      <c r="D57" s="73"/>
      <c r="E57" s="74"/>
      <c r="F57" s="76"/>
      <c r="G57" s="13"/>
      <c r="H57" s="78"/>
      <c r="I57" s="13"/>
      <c r="J57" s="23"/>
      <c r="L57" s="19"/>
      <c r="M57" s="20"/>
      <c r="N57" s="21"/>
    </row>
    <row r="58" spans="1:22" ht="15.75" hidden="1" customHeight="1">
      <c r="A58" s="29"/>
      <c r="B58" s="73" t="s">
        <v>46</v>
      </c>
      <c r="C58" s="72" t="s">
        <v>55</v>
      </c>
      <c r="D58" s="73" t="s">
        <v>56</v>
      </c>
      <c r="E58" s="74">
        <v>2686</v>
      </c>
      <c r="F58" s="76">
        <f>E58/100</f>
        <v>26.86</v>
      </c>
      <c r="G58" s="13">
        <v>848.37</v>
      </c>
      <c r="H58" s="78">
        <f>G58*F58/1000</f>
        <v>22.787218199999998</v>
      </c>
      <c r="I58" s="13">
        <v>0</v>
      </c>
      <c r="J58" s="23"/>
      <c r="L58" s="19"/>
    </row>
    <row r="59" spans="1:22" ht="15.75" customHeight="1">
      <c r="A59" s="29">
        <v>14</v>
      </c>
      <c r="B59" s="73" t="s">
        <v>92</v>
      </c>
      <c r="C59" s="72" t="s">
        <v>25</v>
      </c>
      <c r="D59" s="73" t="s">
        <v>164</v>
      </c>
      <c r="E59" s="74">
        <v>343</v>
      </c>
      <c r="F59" s="76">
        <v>2400</v>
      </c>
      <c r="G59" s="13">
        <v>1.4</v>
      </c>
      <c r="H59" s="78">
        <f>F59*G59</f>
        <v>3360</v>
      </c>
      <c r="I59" s="13">
        <f>F59/12*G59</f>
        <v>280</v>
      </c>
    </row>
    <row r="60" spans="1:22" ht="15.75" hidden="1" customHeight="1">
      <c r="A60" s="29"/>
      <c r="B60" s="84" t="s">
        <v>129</v>
      </c>
      <c r="C60" s="72"/>
      <c r="D60" s="73"/>
      <c r="E60" s="74"/>
      <c r="F60" s="76"/>
      <c r="G60" s="13"/>
      <c r="H60" s="78"/>
      <c r="I60" s="13"/>
    </row>
    <row r="61" spans="1:22" ht="15.75" hidden="1" customHeight="1">
      <c r="A61" s="29"/>
      <c r="B61" s="73" t="s">
        <v>130</v>
      </c>
      <c r="C61" s="72" t="s">
        <v>30</v>
      </c>
      <c r="D61" s="73" t="s">
        <v>68</v>
      </c>
      <c r="E61" s="74">
        <v>3</v>
      </c>
      <c r="F61" s="75">
        <v>3</v>
      </c>
      <c r="G61" s="77">
        <v>254.16</v>
      </c>
      <c r="H61" s="76">
        <v>0.76200000000000001</v>
      </c>
      <c r="I61" s="13">
        <v>0</v>
      </c>
    </row>
    <row r="62" spans="1:22" ht="15.75" customHeight="1">
      <c r="A62" s="29"/>
      <c r="B62" s="84" t="s">
        <v>47</v>
      </c>
      <c r="C62" s="72"/>
      <c r="D62" s="73"/>
      <c r="E62" s="74"/>
      <c r="F62" s="75"/>
      <c r="G62" s="75"/>
      <c r="H62" s="76" t="s">
        <v>124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7.25" customHeight="1">
      <c r="A63" s="29">
        <v>15</v>
      </c>
      <c r="B63" s="14" t="s">
        <v>48</v>
      </c>
      <c r="C63" s="16" t="s">
        <v>116</v>
      </c>
      <c r="D63" s="73" t="s">
        <v>207</v>
      </c>
      <c r="E63" s="18">
        <v>15</v>
      </c>
      <c r="F63" s="64">
        <v>15</v>
      </c>
      <c r="G63" s="112">
        <v>318.82</v>
      </c>
      <c r="H63" s="79">
        <f t="shared" ref="H63:H79" si="6">SUM(F63*G63/1000)</f>
        <v>4.7823000000000002</v>
      </c>
      <c r="I63" s="13">
        <f>G63*3</f>
        <v>956.46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4.25" hidden="1" customHeight="1">
      <c r="A64" s="29"/>
      <c r="B64" s="14" t="s">
        <v>49</v>
      </c>
      <c r="C64" s="16" t="s">
        <v>116</v>
      </c>
      <c r="D64" s="73" t="s">
        <v>68</v>
      </c>
      <c r="E64" s="18">
        <v>5</v>
      </c>
      <c r="F64" s="64">
        <v>5</v>
      </c>
      <c r="G64" s="13">
        <v>81.510000000000005</v>
      </c>
      <c r="H64" s="79">
        <f t="shared" si="6"/>
        <v>0.40755000000000002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>
        <v>12</v>
      </c>
      <c r="B65" s="113" t="s">
        <v>50</v>
      </c>
      <c r="C65" s="164" t="s">
        <v>118</v>
      </c>
      <c r="D65" s="97"/>
      <c r="E65" s="120">
        <v>24123</v>
      </c>
      <c r="F65" s="165">
        <f>SUM(E65/100)</f>
        <v>241.23</v>
      </c>
      <c r="G65" s="34">
        <v>304.13</v>
      </c>
      <c r="H65" s="79">
        <f t="shared" si="6"/>
        <v>73.36527989999999</v>
      </c>
      <c r="I65" s="13">
        <f>F65*G65</f>
        <v>73365.279899999994</v>
      </c>
      <c r="J65" s="5"/>
      <c r="K65" s="5"/>
      <c r="L65" s="5"/>
      <c r="M65" s="5"/>
      <c r="N65" s="5"/>
      <c r="O65" s="5"/>
      <c r="P65" s="5"/>
      <c r="Q65" s="5"/>
      <c r="R65" s="178"/>
      <c r="S65" s="178"/>
      <c r="T65" s="178"/>
      <c r="U65" s="178"/>
    </row>
    <row r="66" spans="1:21" ht="15.75" hidden="1" customHeight="1">
      <c r="A66" s="29">
        <v>13</v>
      </c>
      <c r="B66" s="113" t="s">
        <v>51</v>
      </c>
      <c r="C66" s="114" t="s">
        <v>119</v>
      </c>
      <c r="D66" s="97"/>
      <c r="E66" s="120">
        <v>24123</v>
      </c>
      <c r="F66" s="34">
        <f>SUM(E66/1000)</f>
        <v>24.123000000000001</v>
      </c>
      <c r="G66" s="34">
        <v>236.84</v>
      </c>
      <c r="H66" s="79">
        <f t="shared" si="6"/>
        <v>5.7132913200000006</v>
      </c>
      <c r="I66" s="13">
        <f t="shared" ref="I66:I70" si="7">F66*G66</f>
        <v>5713.2913200000003</v>
      </c>
    </row>
    <row r="67" spans="1:21" ht="15.75" hidden="1" customHeight="1">
      <c r="A67" s="29">
        <v>14</v>
      </c>
      <c r="B67" s="113" t="s">
        <v>52</v>
      </c>
      <c r="C67" s="114" t="s">
        <v>78</v>
      </c>
      <c r="D67" s="97"/>
      <c r="E67" s="120">
        <v>2730</v>
      </c>
      <c r="F67" s="34">
        <f>SUM(E67/100)</f>
        <v>27.3</v>
      </c>
      <c r="G67" s="34">
        <v>2974.1</v>
      </c>
      <c r="H67" s="79">
        <f t="shared" si="6"/>
        <v>81.19292999999999</v>
      </c>
      <c r="I67" s="13">
        <f t="shared" si="7"/>
        <v>81192.929999999993</v>
      </c>
    </row>
    <row r="68" spans="1:21" ht="15.75" hidden="1" customHeight="1">
      <c r="A68" s="29">
        <v>15</v>
      </c>
      <c r="B68" s="166" t="s">
        <v>120</v>
      </c>
      <c r="C68" s="114" t="s">
        <v>33</v>
      </c>
      <c r="D68" s="97"/>
      <c r="E68" s="120">
        <v>12.3</v>
      </c>
      <c r="F68" s="34">
        <f>SUM(E68)</f>
        <v>12.3</v>
      </c>
      <c r="G68" s="34">
        <v>47.98</v>
      </c>
      <c r="H68" s="79">
        <f t="shared" si="6"/>
        <v>0.59015399999999996</v>
      </c>
      <c r="I68" s="13">
        <f t="shared" si="7"/>
        <v>590.154</v>
      </c>
    </row>
    <row r="69" spans="1:21" ht="15.75" hidden="1" customHeight="1">
      <c r="A69" s="29">
        <v>16</v>
      </c>
      <c r="B69" s="166" t="s">
        <v>121</v>
      </c>
      <c r="C69" s="114" t="s">
        <v>33</v>
      </c>
      <c r="D69" s="97"/>
      <c r="E69" s="120">
        <v>12.3</v>
      </c>
      <c r="F69" s="34">
        <f>SUM(E69)</f>
        <v>12.3</v>
      </c>
      <c r="G69" s="34">
        <v>51.75</v>
      </c>
      <c r="H69" s="79">
        <f t="shared" si="6"/>
        <v>0.63652500000000012</v>
      </c>
      <c r="I69" s="13">
        <f t="shared" si="7"/>
        <v>636.52500000000009</v>
      </c>
    </row>
    <row r="70" spans="1:21" ht="15.75" hidden="1" customHeight="1">
      <c r="A70" s="29"/>
      <c r="B70" s="14" t="s">
        <v>59</v>
      </c>
      <c r="C70" s="16" t="s">
        <v>60</v>
      </c>
      <c r="D70" s="14" t="s">
        <v>56</v>
      </c>
      <c r="E70" s="18">
        <v>10</v>
      </c>
      <c r="F70" s="64">
        <f>SUM(E70)</f>
        <v>10</v>
      </c>
      <c r="G70" s="13">
        <v>53.32</v>
      </c>
      <c r="H70" s="79">
        <f t="shared" si="6"/>
        <v>0.53320000000000001</v>
      </c>
      <c r="I70" s="13">
        <f t="shared" si="7"/>
        <v>533.20000000000005</v>
      </c>
    </row>
    <row r="71" spans="1:21" ht="15.75" customHeight="1">
      <c r="A71" s="29"/>
      <c r="B71" s="161" t="s">
        <v>182</v>
      </c>
      <c r="C71" s="16"/>
      <c r="D71" s="14"/>
      <c r="E71" s="18"/>
      <c r="F71" s="13"/>
      <c r="G71" s="13"/>
      <c r="H71" s="13"/>
      <c r="I71" s="13"/>
    </row>
    <row r="72" spans="1:21" ht="28.5" customHeight="1">
      <c r="A72" s="29">
        <v>16</v>
      </c>
      <c r="B72" s="97" t="s">
        <v>183</v>
      </c>
      <c r="C72" s="126" t="s">
        <v>184</v>
      </c>
      <c r="D72" s="127"/>
      <c r="E72" s="128">
        <v>4591.2</v>
      </c>
      <c r="F72" s="129">
        <f>E72*12</f>
        <v>55094.399999999994</v>
      </c>
      <c r="G72" s="129">
        <v>2.4900000000000002</v>
      </c>
      <c r="H72" s="13"/>
      <c r="I72" s="13">
        <f>G72*F72/12</f>
        <v>11432.088000000002</v>
      </c>
    </row>
    <row r="73" spans="1:21" ht="15.75" customHeight="1">
      <c r="A73" s="29"/>
      <c r="B73" s="54" t="s">
        <v>74</v>
      </c>
      <c r="C73" s="16"/>
      <c r="D73" s="14"/>
      <c r="E73" s="18"/>
      <c r="F73" s="13"/>
      <c r="G73" s="13"/>
      <c r="H73" s="79" t="s">
        <v>124</v>
      </c>
      <c r="I73" s="13"/>
    </row>
    <row r="74" spans="1:21" ht="15.75" hidden="1" customHeight="1">
      <c r="A74" s="29">
        <v>11</v>
      </c>
      <c r="B74" s="14" t="s">
        <v>75</v>
      </c>
      <c r="C74" s="16" t="s">
        <v>31</v>
      </c>
      <c r="D74" s="14"/>
      <c r="E74" s="18">
        <v>2</v>
      </c>
      <c r="F74" s="56">
        <v>0.2</v>
      </c>
      <c r="G74" s="13">
        <v>536.23</v>
      </c>
      <c r="H74" s="79">
        <v>0.251</v>
      </c>
      <c r="I74" s="13">
        <f>G74*0.2</f>
        <v>107.24600000000001</v>
      </c>
    </row>
    <row r="75" spans="1:21" ht="15.75" hidden="1" customHeight="1">
      <c r="A75" s="29"/>
      <c r="B75" s="14" t="s">
        <v>87</v>
      </c>
      <c r="C75" s="16" t="s">
        <v>30</v>
      </c>
      <c r="D75" s="14"/>
      <c r="E75" s="18">
        <v>1</v>
      </c>
      <c r="F75" s="64">
        <f>SUM(E75)</f>
        <v>1</v>
      </c>
      <c r="G75" s="13">
        <v>383.25</v>
      </c>
      <c r="H75" s="79">
        <f t="shared" si="6"/>
        <v>0.38324999999999998</v>
      </c>
      <c r="I75" s="13">
        <v>0</v>
      </c>
    </row>
    <row r="76" spans="1:21" ht="15.75" hidden="1" customHeight="1">
      <c r="A76" s="29"/>
      <c r="B76" s="14" t="s">
        <v>76</v>
      </c>
      <c r="C76" s="16" t="s">
        <v>30</v>
      </c>
      <c r="D76" s="14"/>
      <c r="E76" s="18">
        <v>2</v>
      </c>
      <c r="F76" s="13">
        <v>2</v>
      </c>
      <c r="G76" s="13">
        <v>911.85</v>
      </c>
      <c r="H76" s="79">
        <f>F76*G76/1000</f>
        <v>1.8237000000000001</v>
      </c>
      <c r="I76" s="13">
        <v>0</v>
      </c>
    </row>
    <row r="77" spans="1:21" ht="30" customHeight="1">
      <c r="A77" s="29">
        <v>17</v>
      </c>
      <c r="B77" s="97" t="s">
        <v>179</v>
      </c>
      <c r="C77" s="114" t="s">
        <v>30</v>
      </c>
      <c r="D77" s="97" t="s">
        <v>164</v>
      </c>
      <c r="E77" s="17">
        <v>2</v>
      </c>
      <c r="F77" s="34">
        <f>E77*12</f>
        <v>24</v>
      </c>
      <c r="G77" s="34">
        <v>404</v>
      </c>
      <c r="H77" s="79"/>
      <c r="I77" s="13">
        <f>G77*2</f>
        <v>808</v>
      </c>
    </row>
    <row r="78" spans="1:21" ht="15.75" hidden="1" customHeight="1">
      <c r="A78" s="29"/>
      <c r="B78" s="81" t="s">
        <v>77</v>
      </c>
      <c r="C78" s="16"/>
      <c r="D78" s="14"/>
      <c r="E78" s="18"/>
      <c r="F78" s="13"/>
      <c r="G78" s="13" t="s">
        <v>124</v>
      </c>
      <c r="H78" s="79" t="s">
        <v>124</v>
      </c>
      <c r="I78" s="13"/>
    </row>
    <row r="79" spans="1:21" ht="15.75" hidden="1" customHeight="1">
      <c r="A79" s="29"/>
      <c r="B79" s="44" t="s">
        <v>125</v>
      </c>
      <c r="C79" s="16" t="s">
        <v>78</v>
      </c>
      <c r="D79" s="14"/>
      <c r="E79" s="18"/>
      <c r="F79" s="13">
        <v>1.35</v>
      </c>
      <c r="G79" s="13">
        <v>2949.85</v>
      </c>
      <c r="H79" s="79">
        <f t="shared" si="6"/>
        <v>3.9822975</v>
      </c>
      <c r="I79" s="13">
        <v>0</v>
      </c>
    </row>
    <row r="80" spans="1:21" ht="15.75" customHeight="1">
      <c r="A80" s="29"/>
      <c r="B80" s="67" t="s">
        <v>122</v>
      </c>
      <c r="C80" s="81"/>
      <c r="D80" s="31"/>
      <c r="E80" s="32"/>
      <c r="F80" s="68"/>
      <c r="G80" s="68"/>
      <c r="H80" s="82">
        <f>SUM(H56:H79)</f>
        <v>3580.9881825359998</v>
      </c>
      <c r="I80" s="68"/>
    </row>
    <row r="81" spans="1:9" ht="15.75" customHeight="1">
      <c r="A81" s="29">
        <v>18</v>
      </c>
      <c r="B81" s="62" t="s">
        <v>123</v>
      </c>
      <c r="C81" s="16"/>
      <c r="D81" s="14"/>
      <c r="E81" s="57"/>
      <c r="F81" s="13">
        <v>1</v>
      </c>
      <c r="G81" s="35">
        <v>2628.3</v>
      </c>
      <c r="H81" s="79">
        <f>G81*F81/1000</f>
        <v>2.6283000000000003</v>
      </c>
      <c r="I81" s="13">
        <f>G81</f>
        <v>2628.3</v>
      </c>
    </row>
    <row r="82" spans="1:9" ht="15.75" customHeight="1">
      <c r="A82" s="191" t="s">
        <v>142</v>
      </c>
      <c r="B82" s="192"/>
      <c r="C82" s="192"/>
      <c r="D82" s="192"/>
      <c r="E82" s="192"/>
      <c r="F82" s="192"/>
      <c r="G82" s="192"/>
      <c r="H82" s="192"/>
      <c r="I82" s="193"/>
    </row>
    <row r="83" spans="1:9" ht="15.75" customHeight="1">
      <c r="A83" s="29">
        <v>19</v>
      </c>
      <c r="B83" s="97" t="s">
        <v>126</v>
      </c>
      <c r="C83" s="114" t="s">
        <v>57</v>
      </c>
      <c r="D83" s="130"/>
      <c r="E83" s="34">
        <v>4591.2</v>
      </c>
      <c r="F83" s="34">
        <f>SUM(E83*12)</f>
        <v>55094.399999999994</v>
      </c>
      <c r="G83" s="34">
        <v>3.38</v>
      </c>
      <c r="H83" s="79">
        <f>SUM(F83*G83/1000)</f>
        <v>186.21907199999998</v>
      </c>
      <c r="I83" s="13">
        <f>F83/12*G83</f>
        <v>15518.255999999999</v>
      </c>
    </row>
    <row r="84" spans="1:9" ht="31.5" customHeight="1">
      <c r="A84" s="29">
        <v>20</v>
      </c>
      <c r="B84" s="131" t="s">
        <v>180</v>
      </c>
      <c r="C84" s="132" t="s">
        <v>25</v>
      </c>
      <c r="D84" s="133"/>
      <c r="E84" s="134">
        <f>E83</f>
        <v>4591.2</v>
      </c>
      <c r="F84" s="119">
        <f>E84*12</f>
        <v>55094.399999999994</v>
      </c>
      <c r="G84" s="119">
        <v>3.05</v>
      </c>
      <c r="H84" s="79">
        <f>F84*G84/1000</f>
        <v>168.03791999999999</v>
      </c>
      <c r="I84" s="13">
        <f>F84/12*G84</f>
        <v>14003.159999999998</v>
      </c>
    </row>
    <row r="85" spans="1:9" ht="15.75" customHeight="1">
      <c r="A85" s="45"/>
      <c r="B85" s="36" t="s">
        <v>80</v>
      </c>
      <c r="C85" s="37"/>
      <c r="D85" s="15"/>
      <c r="E85" s="15"/>
      <c r="F85" s="15"/>
      <c r="G85" s="18"/>
      <c r="H85" s="18"/>
      <c r="I85" s="32">
        <f>I84+I83+I81+I77+I72+I63+I59+I32+I30+I29+I25+I24+I23+I22+I21+I20+I18+I17+I16+I26</f>
        <v>79127.019523533338</v>
      </c>
    </row>
    <row r="86" spans="1:9" ht="15.75" customHeight="1">
      <c r="A86" s="188" t="s">
        <v>62</v>
      </c>
      <c r="B86" s="189"/>
      <c r="C86" s="189"/>
      <c r="D86" s="189"/>
      <c r="E86" s="189"/>
      <c r="F86" s="189"/>
      <c r="G86" s="189"/>
      <c r="H86" s="189"/>
      <c r="I86" s="190"/>
    </row>
    <row r="87" spans="1:9" ht="22.5" customHeight="1">
      <c r="A87" s="29">
        <v>21</v>
      </c>
      <c r="B87" s="95" t="s">
        <v>155</v>
      </c>
      <c r="C87" s="114" t="s">
        <v>159</v>
      </c>
      <c r="D87" s="95" t="s">
        <v>301</v>
      </c>
      <c r="E87" s="34"/>
      <c r="F87" s="34">
        <v>86</v>
      </c>
      <c r="G87" s="34">
        <v>295.36</v>
      </c>
      <c r="H87" s="79"/>
      <c r="I87" s="13">
        <v>0</v>
      </c>
    </row>
    <row r="88" spans="1:9" ht="18" customHeight="1">
      <c r="A88" s="29">
        <v>22</v>
      </c>
      <c r="B88" s="98" t="s">
        <v>290</v>
      </c>
      <c r="C88" s="37" t="s">
        <v>224</v>
      </c>
      <c r="D88" s="95" t="s">
        <v>298</v>
      </c>
      <c r="E88" s="34"/>
      <c r="F88" s="34">
        <v>1</v>
      </c>
      <c r="G88" s="34">
        <v>2287.54</v>
      </c>
      <c r="H88" s="79"/>
      <c r="I88" s="13">
        <f>G88*1</f>
        <v>2287.54</v>
      </c>
    </row>
    <row r="89" spans="1:9" ht="18.75" customHeight="1">
      <c r="A89" s="29">
        <v>23</v>
      </c>
      <c r="B89" s="98" t="s">
        <v>291</v>
      </c>
      <c r="C89" s="37" t="s">
        <v>292</v>
      </c>
      <c r="D89" s="95" t="s">
        <v>297</v>
      </c>
      <c r="E89" s="34"/>
      <c r="F89" s="34">
        <v>0.5</v>
      </c>
      <c r="G89" s="34">
        <v>672.88</v>
      </c>
      <c r="H89" s="79"/>
      <c r="I89" s="13">
        <f>G89*0.5</f>
        <v>336.44</v>
      </c>
    </row>
    <row r="90" spans="1:9" ht="16.5" customHeight="1">
      <c r="A90" s="29">
        <v>24</v>
      </c>
      <c r="B90" s="92" t="s">
        <v>275</v>
      </c>
      <c r="C90" s="96" t="s">
        <v>276</v>
      </c>
      <c r="D90" s="95" t="s">
        <v>300</v>
      </c>
      <c r="E90" s="34"/>
      <c r="F90" s="34">
        <v>2</v>
      </c>
      <c r="G90" s="34">
        <v>182.26</v>
      </c>
      <c r="H90" s="79"/>
      <c r="I90" s="13">
        <f>G90*1</f>
        <v>182.26</v>
      </c>
    </row>
    <row r="91" spans="1:9" ht="22.5" customHeight="1">
      <c r="A91" s="29">
        <v>25</v>
      </c>
      <c r="B91" s="92" t="s">
        <v>200</v>
      </c>
      <c r="C91" s="96" t="s">
        <v>116</v>
      </c>
      <c r="D91" s="95"/>
      <c r="E91" s="34"/>
      <c r="F91" s="34">
        <v>1</v>
      </c>
      <c r="G91" s="34">
        <v>453</v>
      </c>
      <c r="H91" s="79"/>
      <c r="I91" s="13">
        <f>G91*0.5</f>
        <v>226.5</v>
      </c>
    </row>
    <row r="92" spans="1:9" ht="15.75" customHeight="1">
      <c r="A92" s="29">
        <v>26</v>
      </c>
      <c r="B92" s="92" t="s">
        <v>293</v>
      </c>
      <c r="C92" s="93" t="s">
        <v>88</v>
      </c>
      <c r="D92" s="95"/>
      <c r="E92" s="34"/>
      <c r="F92" s="34">
        <v>1</v>
      </c>
      <c r="G92" s="34">
        <v>10351.450000000001</v>
      </c>
      <c r="H92" s="79"/>
      <c r="I92" s="13">
        <f>G92*1</f>
        <v>10351.450000000001</v>
      </c>
    </row>
    <row r="93" spans="1:9" ht="15.75" customHeight="1">
      <c r="A93" s="29">
        <v>27</v>
      </c>
      <c r="B93" s="92" t="s">
        <v>294</v>
      </c>
      <c r="C93" s="93" t="s">
        <v>88</v>
      </c>
      <c r="D93" s="95" t="s">
        <v>299</v>
      </c>
      <c r="E93" s="34"/>
      <c r="F93" s="34">
        <v>2</v>
      </c>
      <c r="G93" s="34">
        <v>138.44999999999999</v>
      </c>
      <c r="H93" s="79"/>
      <c r="I93" s="13">
        <f>G93*2</f>
        <v>276.89999999999998</v>
      </c>
    </row>
    <row r="94" spans="1:9" ht="15.75" customHeight="1">
      <c r="A94" s="29">
        <v>28</v>
      </c>
      <c r="B94" s="92" t="s">
        <v>295</v>
      </c>
      <c r="C94" s="93" t="s">
        <v>30</v>
      </c>
      <c r="D94" s="95" t="s">
        <v>211</v>
      </c>
      <c r="E94" s="34"/>
      <c r="F94" s="34">
        <v>1</v>
      </c>
      <c r="G94" s="34">
        <v>244.17</v>
      </c>
      <c r="H94" s="79"/>
      <c r="I94" s="13">
        <f>G94*1</f>
        <v>244.17</v>
      </c>
    </row>
    <row r="95" spans="1:9" ht="15.75" customHeight="1">
      <c r="A95" s="29">
        <v>29</v>
      </c>
      <c r="B95" s="92" t="s">
        <v>304</v>
      </c>
      <c r="C95" s="93" t="s">
        <v>116</v>
      </c>
      <c r="D95" s="95"/>
      <c r="E95" s="34"/>
      <c r="F95" s="34">
        <v>1</v>
      </c>
      <c r="G95" s="34">
        <v>224.48</v>
      </c>
      <c r="H95" s="79"/>
      <c r="I95" s="13">
        <f>G95*1</f>
        <v>224.48</v>
      </c>
    </row>
    <row r="96" spans="1:9" ht="15.75" customHeight="1">
      <c r="A96" s="29"/>
      <c r="B96" s="42" t="s">
        <v>53</v>
      </c>
      <c r="C96" s="38"/>
      <c r="D96" s="46"/>
      <c r="E96" s="38">
        <v>1</v>
      </c>
      <c r="F96" s="38"/>
      <c r="G96" s="38"/>
      <c r="H96" s="38"/>
      <c r="I96" s="32">
        <f>SUM(I87:I95)</f>
        <v>14129.74</v>
      </c>
    </row>
    <row r="97" spans="1:9" ht="15.75" customHeight="1">
      <c r="A97" s="29"/>
      <c r="B97" s="44" t="s">
        <v>79</v>
      </c>
      <c r="C97" s="15"/>
      <c r="D97" s="15"/>
      <c r="E97" s="39"/>
      <c r="F97" s="39"/>
      <c r="G97" s="40"/>
      <c r="H97" s="40"/>
      <c r="I97" s="17">
        <v>0</v>
      </c>
    </row>
    <row r="98" spans="1:9" ht="15.75" customHeight="1">
      <c r="A98" s="47"/>
      <c r="B98" s="43" t="s">
        <v>150</v>
      </c>
      <c r="C98" s="33"/>
      <c r="D98" s="33"/>
      <c r="E98" s="33"/>
      <c r="F98" s="33"/>
      <c r="G98" s="33"/>
      <c r="H98" s="33"/>
      <c r="I98" s="41">
        <f>I85+I96</f>
        <v>93256.759523533343</v>
      </c>
    </row>
    <row r="99" spans="1:9" ht="15.75" customHeight="1">
      <c r="A99" s="185" t="s">
        <v>305</v>
      </c>
      <c r="B99" s="185"/>
      <c r="C99" s="185"/>
      <c r="D99" s="185"/>
      <c r="E99" s="185"/>
      <c r="F99" s="185"/>
      <c r="G99" s="185"/>
      <c r="H99" s="185"/>
      <c r="I99" s="185"/>
    </row>
    <row r="100" spans="1:9" ht="15.75" customHeight="1">
      <c r="A100" s="55"/>
      <c r="B100" s="186" t="s">
        <v>306</v>
      </c>
      <c r="C100" s="186"/>
      <c r="D100" s="186"/>
      <c r="E100" s="186"/>
      <c r="F100" s="186"/>
      <c r="G100" s="186"/>
      <c r="H100" s="61"/>
      <c r="I100" s="3"/>
    </row>
    <row r="101" spans="1:9" ht="15.75" customHeight="1">
      <c r="A101" s="49"/>
      <c r="B101" s="176" t="s">
        <v>6</v>
      </c>
      <c r="C101" s="176"/>
      <c r="D101" s="176"/>
      <c r="E101" s="176"/>
      <c r="F101" s="176"/>
      <c r="G101" s="176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87" t="s">
        <v>7</v>
      </c>
      <c r="B103" s="187"/>
      <c r="C103" s="187"/>
      <c r="D103" s="187"/>
      <c r="E103" s="187"/>
      <c r="F103" s="187"/>
      <c r="G103" s="187"/>
      <c r="H103" s="187"/>
      <c r="I103" s="187"/>
    </row>
    <row r="104" spans="1:9" ht="15.75" customHeight="1">
      <c r="A104" s="187" t="s">
        <v>8</v>
      </c>
      <c r="B104" s="187"/>
      <c r="C104" s="187"/>
      <c r="D104" s="187"/>
      <c r="E104" s="187"/>
      <c r="F104" s="187"/>
      <c r="G104" s="187"/>
      <c r="H104" s="187"/>
      <c r="I104" s="187"/>
    </row>
    <row r="105" spans="1:9" ht="15.75" customHeight="1">
      <c r="A105" s="180" t="s">
        <v>63</v>
      </c>
      <c r="B105" s="180"/>
      <c r="C105" s="180"/>
      <c r="D105" s="180"/>
      <c r="E105" s="180"/>
      <c r="F105" s="180"/>
      <c r="G105" s="180"/>
      <c r="H105" s="180"/>
      <c r="I105" s="180"/>
    </row>
    <row r="106" spans="1:9" ht="15.75" customHeight="1">
      <c r="A106" s="11"/>
    </row>
    <row r="107" spans="1:9" ht="15.75" customHeight="1">
      <c r="A107" s="174" t="s">
        <v>9</v>
      </c>
      <c r="B107" s="174"/>
      <c r="C107" s="174"/>
      <c r="D107" s="174"/>
      <c r="E107" s="174"/>
      <c r="F107" s="174"/>
      <c r="G107" s="174"/>
      <c r="H107" s="174"/>
      <c r="I107" s="174"/>
    </row>
    <row r="108" spans="1:9" ht="15.75" customHeight="1">
      <c r="A108" s="4"/>
    </row>
    <row r="109" spans="1:9" ht="15.75" customHeight="1">
      <c r="B109" s="52" t="s">
        <v>10</v>
      </c>
      <c r="C109" s="175" t="s">
        <v>206</v>
      </c>
      <c r="D109" s="175"/>
      <c r="E109" s="175"/>
      <c r="F109" s="59"/>
      <c r="I109" s="51"/>
    </row>
    <row r="110" spans="1:9" ht="15.75" customHeight="1">
      <c r="A110" s="49"/>
      <c r="C110" s="176" t="s">
        <v>11</v>
      </c>
      <c r="D110" s="176"/>
      <c r="E110" s="176"/>
      <c r="F110" s="24"/>
      <c r="I110" s="50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52" t="s">
        <v>13</v>
      </c>
      <c r="C112" s="177"/>
      <c r="D112" s="177"/>
      <c r="E112" s="177"/>
      <c r="F112" s="60"/>
      <c r="I112" s="51"/>
    </row>
    <row r="113" spans="1:9" ht="15.75" customHeight="1">
      <c r="A113" s="49"/>
      <c r="C113" s="178" t="s">
        <v>11</v>
      </c>
      <c r="D113" s="178"/>
      <c r="E113" s="178"/>
      <c r="F113" s="49"/>
      <c r="I113" s="50" t="s">
        <v>12</v>
      </c>
    </row>
    <row r="114" spans="1:9" ht="15.75" customHeight="1">
      <c r="A114" s="4" t="s">
        <v>14</v>
      </c>
    </row>
    <row r="115" spans="1:9" ht="15.75" customHeight="1">
      <c r="A115" s="179" t="s">
        <v>15</v>
      </c>
      <c r="B115" s="179"/>
      <c r="C115" s="179"/>
      <c r="D115" s="179"/>
      <c r="E115" s="179"/>
      <c r="F115" s="179"/>
      <c r="G115" s="179"/>
      <c r="H115" s="179"/>
      <c r="I115" s="179"/>
    </row>
    <row r="116" spans="1:9" ht="45" customHeight="1">
      <c r="A116" s="173" t="s">
        <v>16</v>
      </c>
      <c r="B116" s="173"/>
      <c r="C116" s="173"/>
      <c r="D116" s="173"/>
      <c r="E116" s="173"/>
      <c r="F116" s="173"/>
      <c r="G116" s="173"/>
      <c r="H116" s="173"/>
      <c r="I116" s="173"/>
    </row>
    <row r="117" spans="1:9" ht="30" customHeight="1">
      <c r="A117" s="173" t="s">
        <v>17</v>
      </c>
      <c r="B117" s="173"/>
      <c r="C117" s="173"/>
      <c r="D117" s="173"/>
      <c r="E117" s="173"/>
      <c r="F117" s="173"/>
      <c r="G117" s="173"/>
      <c r="H117" s="173"/>
      <c r="I117" s="173"/>
    </row>
    <row r="118" spans="1:9" ht="30" customHeight="1">
      <c r="A118" s="173" t="s">
        <v>21</v>
      </c>
      <c r="B118" s="173"/>
      <c r="C118" s="173"/>
      <c r="D118" s="173"/>
      <c r="E118" s="173"/>
      <c r="F118" s="173"/>
      <c r="G118" s="173"/>
      <c r="H118" s="173"/>
      <c r="I118" s="173"/>
    </row>
    <row r="119" spans="1:9" ht="15" customHeight="1">
      <c r="A119" s="173" t="s">
        <v>20</v>
      </c>
      <c r="B119" s="173"/>
      <c r="C119" s="173"/>
      <c r="D119" s="173"/>
      <c r="E119" s="173"/>
      <c r="F119" s="173"/>
      <c r="G119" s="173"/>
      <c r="H119" s="173"/>
      <c r="I119" s="173"/>
    </row>
  </sheetData>
  <autoFilter ref="I12:I60"/>
  <mergeCells count="29">
    <mergeCell ref="R65:U65"/>
    <mergeCell ref="A82:I82"/>
    <mergeCell ref="A3:I3"/>
    <mergeCell ref="A4:I4"/>
    <mergeCell ref="A5:I5"/>
    <mergeCell ref="A8:I8"/>
    <mergeCell ref="A10:I10"/>
    <mergeCell ref="A14:I14"/>
    <mergeCell ref="A105:I105"/>
    <mergeCell ref="A15:I15"/>
    <mergeCell ref="A27:I27"/>
    <mergeCell ref="A43:I43"/>
    <mergeCell ref="A54:I54"/>
    <mergeCell ref="A99:I99"/>
    <mergeCell ref="B100:G100"/>
    <mergeCell ref="B101:G101"/>
    <mergeCell ref="A103:I103"/>
    <mergeCell ref="A104:I104"/>
    <mergeCell ref="A86:I86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I103" sqref="I10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6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147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307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44439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205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81" t="s">
        <v>84</v>
      </c>
      <c r="B27" s="181"/>
      <c r="C27" s="181"/>
      <c r="D27" s="181"/>
      <c r="E27" s="181"/>
      <c r="F27" s="181"/>
      <c r="G27" s="181"/>
      <c r="H27" s="181"/>
      <c r="I27" s="181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6</v>
      </c>
      <c r="B29" s="115" t="s">
        <v>104</v>
      </c>
      <c r="C29" s="116" t="s">
        <v>105</v>
      </c>
      <c r="D29" s="115" t="s">
        <v>178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7</v>
      </c>
      <c r="B30" s="115" t="s">
        <v>137</v>
      </c>
      <c r="C30" s="116" t="s">
        <v>105</v>
      </c>
      <c r="D30" s="115" t="s">
        <v>168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1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hidden="1" customHeight="1">
      <c r="A31" s="29"/>
      <c r="B31" s="115" t="s">
        <v>27</v>
      </c>
      <c r="C31" s="116" t="s">
        <v>105</v>
      </c>
      <c r="D31" s="115" t="s">
        <v>164</v>
      </c>
      <c r="E31" s="121">
        <v>844.95</v>
      </c>
      <c r="F31" s="121">
        <f>SUM(E31/1000)</f>
        <v>0.84495000000000009</v>
      </c>
      <c r="G31" s="121">
        <v>4329.78</v>
      </c>
      <c r="H31" s="65">
        <f t="shared" si="1"/>
        <v>3.6584476110000002</v>
      </c>
      <c r="I31" s="13">
        <f>F31*G31</f>
        <v>3658.4476110000001</v>
      </c>
      <c r="J31" s="22"/>
      <c r="K31" s="8"/>
      <c r="L31" s="8"/>
      <c r="M31" s="8"/>
    </row>
    <row r="32" spans="1:13" ht="15.75" customHeight="1">
      <c r="A32" s="29">
        <v>8</v>
      </c>
      <c r="B32" s="115" t="s">
        <v>135</v>
      </c>
      <c r="C32" s="116" t="s">
        <v>41</v>
      </c>
      <c r="D32" s="115" t="s">
        <v>173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62" t="s">
        <v>66</v>
      </c>
      <c r="C33" s="63" t="s">
        <v>33</v>
      </c>
      <c r="D33" s="62" t="s">
        <v>68</v>
      </c>
      <c r="E33" s="48"/>
      <c r="F33" s="64">
        <v>3</v>
      </c>
      <c r="G33" s="64">
        <v>204.32</v>
      </c>
      <c r="H33" s="65">
        <f t="shared" ref="H33:H34" si="3">SUM(F33*G33/1000)</f>
        <v>0.61296000000000006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3"/>
        <v>2.4294600000000002</v>
      </c>
      <c r="I34" s="13">
        <v>0</v>
      </c>
      <c r="J34" s="23"/>
    </row>
    <row r="35" spans="1:14" ht="15.7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124</v>
      </c>
      <c r="I35" s="13"/>
      <c r="J35" s="23"/>
    </row>
    <row r="36" spans="1:14" ht="15.75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4">SUM(F36*G36/1000)</f>
        <v>16.326000000000001</v>
      </c>
      <c r="I36" s="13">
        <f>F36/6*G36</f>
        <v>2721</v>
      </c>
      <c r="J36" s="23"/>
    </row>
    <row r="37" spans="1:14" ht="15.75" hidden="1" customHeight="1">
      <c r="A37" s="29">
        <v>9</v>
      </c>
      <c r="B37" s="62" t="s">
        <v>136</v>
      </c>
      <c r="C37" s="63" t="s">
        <v>29</v>
      </c>
      <c r="D37" s="62" t="s">
        <v>109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4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15.75" hidden="1" customHeight="1">
      <c r="A38" s="29"/>
      <c r="B38" s="62" t="s">
        <v>91</v>
      </c>
      <c r="C38" s="63" t="s">
        <v>110</v>
      </c>
      <c r="D38" s="62" t="s">
        <v>68</v>
      </c>
      <c r="E38" s="48"/>
      <c r="F38" s="64">
        <v>40</v>
      </c>
      <c r="G38" s="64">
        <v>213.2</v>
      </c>
      <c r="H38" s="65">
        <f t="shared" si="4"/>
        <v>8.5280000000000005</v>
      </c>
      <c r="I38" s="13"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62" t="s">
        <v>69</v>
      </c>
      <c r="C39" s="63" t="s">
        <v>29</v>
      </c>
      <c r="D39" s="62" t="s">
        <v>111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4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47.25" hidden="1" customHeight="1">
      <c r="A40" s="29">
        <v>11</v>
      </c>
      <c r="B40" s="62" t="s">
        <v>82</v>
      </c>
      <c r="C40" s="63" t="s">
        <v>105</v>
      </c>
      <c r="D40" s="62" t="s">
        <v>112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4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15.75" hidden="1" customHeight="1">
      <c r="A41" s="29">
        <v>12</v>
      </c>
      <c r="B41" s="62" t="s">
        <v>113</v>
      </c>
      <c r="C41" s="63" t="s">
        <v>105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4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15.7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4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15.75" customHeight="1">
      <c r="A43" s="182" t="s">
        <v>131</v>
      </c>
      <c r="B43" s="183"/>
      <c r="C43" s="183"/>
      <c r="D43" s="183"/>
      <c r="E43" s="183"/>
      <c r="F43" s="183"/>
      <c r="G43" s="183"/>
      <c r="H43" s="183"/>
      <c r="I43" s="184"/>
      <c r="J43" s="23"/>
      <c r="L43" s="19"/>
      <c r="M43" s="20"/>
      <c r="N43" s="21"/>
    </row>
    <row r="44" spans="1:14" ht="15.75" hidden="1" customHeight="1">
      <c r="A44" s="29"/>
      <c r="B44" s="62" t="s">
        <v>128</v>
      </c>
      <c r="C44" s="63" t="s">
        <v>105</v>
      </c>
      <c r="D44" s="62" t="s">
        <v>43</v>
      </c>
      <c r="E44" s="48">
        <v>1795.9</v>
      </c>
      <c r="F44" s="64">
        <f>SUM(E44*2/1000)</f>
        <v>3.5918000000000001</v>
      </c>
      <c r="G44" s="13">
        <v>865.61</v>
      </c>
      <c r="H44" s="65">
        <f t="shared" ref="H44:H53" si="5">SUM(F44*G44/1000)</f>
        <v>3.1090979980000002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2" t="s">
        <v>36</v>
      </c>
      <c r="C45" s="63" t="s">
        <v>105</v>
      </c>
      <c r="D45" s="62" t="s">
        <v>43</v>
      </c>
      <c r="E45" s="48">
        <v>104</v>
      </c>
      <c r="F45" s="64">
        <f>SUM(E45*2/1000)</f>
        <v>0.20799999999999999</v>
      </c>
      <c r="G45" s="13">
        <v>619.46</v>
      </c>
      <c r="H45" s="65">
        <f t="shared" si="5"/>
        <v>0.12884767999999999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2" t="s">
        <v>37</v>
      </c>
      <c r="C46" s="63" t="s">
        <v>105</v>
      </c>
      <c r="D46" s="62" t="s">
        <v>43</v>
      </c>
      <c r="E46" s="48">
        <v>1996.87</v>
      </c>
      <c r="F46" s="64">
        <f>SUM(E46*2/1000)</f>
        <v>3.9937399999999998</v>
      </c>
      <c r="G46" s="13">
        <v>619.46</v>
      </c>
      <c r="H46" s="65">
        <f t="shared" si="5"/>
        <v>2.4739621804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38</v>
      </c>
      <c r="C47" s="63" t="s">
        <v>105</v>
      </c>
      <c r="D47" s="62" t="s">
        <v>43</v>
      </c>
      <c r="E47" s="48">
        <v>2630.35</v>
      </c>
      <c r="F47" s="64">
        <f>SUM(E47*2/1000)</f>
        <v>5.2606999999999999</v>
      </c>
      <c r="G47" s="13">
        <v>648.64</v>
      </c>
      <c r="H47" s="65">
        <f t="shared" si="5"/>
        <v>3.4123004479999999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34</v>
      </c>
      <c r="C48" s="63" t="s">
        <v>35</v>
      </c>
      <c r="D48" s="62" t="s">
        <v>43</v>
      </c>
      <c r="E48" s="48">
        <v>131.47</v>
      </c>
      <c r="F48" s="64">
        <f>SUM(E48*2/100)</f>
        <v>2.6294</v>
      </c>
      <c r="G48" s="13">
        <v>77.84</v>
      </c>
      <c r="H48" s="65">
        <f t="shared" si="5"/>
        <v>0.20467249599999998</v>
      </c>
      <c r="I48" s="13">
        <v>0</v>
      </c>
      <c r="J48" s="23"/>
      <c r="L48" s="19"/>
      <c r="M48" s="20"/>
      <c r="N48" s="21"/>
    </row>
    <row r="49" spans="1:22" ht="15.75" hidden="1" customHeight="1">
      <c r="A49" s="29">
        <v>14</v>
      </c>
      <c r="B49" s="62" t="s">
        <v>58</v>
      </c>
      <c r="C49" s="63" t="s">
        <v>105</v>
      </c>
      <c r="D49" s="62" t="s">
        <v>138</v>
      </c>
      <c r="E49" s="48">
        <v>2872.4</v>
      </c>
      <c r="F49" s="64">
        <f>SUM(E49*5/1000)</f>
        <v>14.362</v>
      </c>
      <c r="G49" s="13">
        <v>1297.28</v>
      </c>
      <c r="H49" s="65">
        <f t="shared" si="5"/>
        <v>18.631535359999997</v>
      </c>
      <c r="I49" s="13">
        <f>F49/5*G49</f>
        <v>3726.3070719999996</v>
      </c>
      <c r="J49" s="23"/>
      <c r="L49" s="19"/>
      <c r="M49" s="20"/>
      <c r="N49" s="21"/>
    </row>
    <row r="50" spans="1:22" ht="31.5" hidden="1" customHeight="1">
      <c r="A50" s="29"/>
      <c r="B50" s="62" t="s">
        <v>114</v>
      </c>
      <c r="C50" s="63" t="s">
        <v>105</v>
      </c>
      <c r="D50" s="62" t="s">
        <v>43</v>
      </c>
      <c r="E50" s="48">
        <v>2872.4</v>
      </c>
      <c r="F50" s="64">
        <f>SUM(E50*2/1000)</f>
        <v>5.7448000000000006</v>
      </c>
      <c r="G50" s="13">
        <v>1297.28</v>
      </c>
      <c r="H50" s="65">
        <f t="shared" si="5"/>
        <v>7.4526141440000009</v>
      </c>
      <c r="I50" s="13">
        <v>0</v>
      </c>
      <c r="J50" s="23"/>
      <c r="L50" s="19"/>
      <c r="M50" s="20"/>
      <c r="N50" s="21"/>
    </row>
    <row r="51" spans="1:22" ht="31.5" hidden="1" customHeight="1">
      <c r="A51" s="29"/>
      <c r="B51" s="62" t="s">
        <v>115</v>
      </c>
      <c r="C51" s="63" t="s">
        <v>39</v>
      </c>
      <c r="D51" s="62" t="s">
        <v>43</v>
      </c>
      <c r="E51" s="48">
        <v>40</v>
      </c>
      <c r="F51" s="64">
        <f>SUM(E51*2/100)</f>
        <v>0.8</v>
      </c>
      <c r="G51" s="13">
        <v>2918.89</v>
      </c>
      <c r="H51" s="65">
        <f t="shared" si="5"/>
        <v>2.3351120000000001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2" t="s">
        <v>40</v>
      </c>
      <c r="C52" s="63" t="s">
        <v>41</v>
      </c>
      <c r="D52" s="62" t="s">
        <v>43</v>
      </c>
      <c r="E52" s="48">
        <v>1</v>
      </c>
      <c r="F52" s="64">
        <v>0.02</v>
      </c>
      <c r="G52" s="13">
        <v>6042.12</v>
      </c>
      <c r="H52" s="65">
        <f t="shared" si="5"/>
        <v>0.1208424</v>
      </c>
      <c r="I52" s="13">
        <v>0</v>
      </c>
      <c r="J52" s="23"/>
      <c r="L52" s="19"/>
      <c r="M52" s="20"/>
      <c r="N52" s="21"/>
    </row>
    <row r="53" spans="1:22" ht="15.75" customHeight="1">
      <c r="A53" s="29">
        <v>9</v>
      </c>
      <c r="B53" s="115" t="s">
        <v>42</v>
      </c>
      <c r="C53" s="116" t="s">
        <v>30</v>
      </c>
      <c r="D53" s="170">
        <v>44438</v>
      </c>
      <c r="E53" s="120">
        <v>160</v>
      </c>
      <c r="F53" s="121">
        <f>SUM(E53)*3</f>
        <v>480</v>
      </c>
      <c r="G53" s="165">
        <v>87.32</v>
      </c>
      <c r="H53" s="65">
        <f t="shared" si="5"/>
        <v>41.913599999999995</v>
      </c>
      <c r="I53" s="13">
        <f>E53*G53</f>
        <v>13971.199999999999</v>
      </c>
      <c r="J53" s="23"/>
      <c r="L53" s="19"/>
      <c r="M53" s="20"/>
      <c r="N53" s="21"/>
    </row>
    <row r="54" spans="1:22" ht="15.75" customHeight="1">
      <c r="A54" s="182" t="s">
        <v>132</v>
      </c>
      <c r="B54" s="183"/>
      <c r="C54" s="183"/>
      <c r="D54" s="183"/>
      <c r="E54" s="183"/>
      <c r="F54" s="183"/>
      <c r="G54" s="183"/>
      <c r="H54" s="183"/>
      <c r="I54" s="184"/>
      <c r="J54" s="23"/>
      <c r="L54" s="19"/>
      <c r="M54" s="20"/>
      <c r="N54" s="21"/>
    </row>
    <row r="55" spans="1:22" ht="15.75" hidden="1" customHeight="1">
      <c r="A55" s="29"/>
      <c r="B55" s="83" t="s">
        <v>44</v>
      </c>
      <c r="C55" s="63"/>
      <c r="D55" s="62"/>
      <c r="E55" s="48"/>
      <c r="F55" s="64"/>
      <c r="G55" s="64"/>
      <c r="H55" s="65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2" t="s">
        <v>117</v>
      </c>
      <c r="C56" s="63" t="s">
        <v>98</v>
      </c>
      <c r="D56" s="62" t="s">
        <v>73</v>
      </c>
      <c r="E56" s="48">
        <v>239.59</v>
      </c>
      <c r="F56" s="64">
        <f>E56*6/100</f>
        <v>14.375399999999999</v>
      </c>
      <c r="G56" s="71">
        <v>1654.04</v>
      </c>
      <c r="H56" s="65">
        <f>F56*G56/1000</f>
        <v>23.777486615999997</v>
      </c>
      <c r="I56" s="13">
        <f>F56/6*G56</f>
        <v>3962.9144359999996</v>
      </c>
      <c r="J56" s="23"/>
      <c r="L56" s="19"/>
      <c r="M56" s="20"/>
      <c r="N56" s="21"/>
    </row>
    <row r="57" spans="1:22" ht="15.75" customHeight="1">
      <c r="A57" s="29"/>
      <c r="B57" s="84" t="s">
        <v>45</v>
      </c>
      <c r="C57" s="72"/>
      <c r="D57" s="73"/>
      <c r="E57" s="74"/>
      <c r="F57" s="76"/>
      <c r="G57" s="13"/>
      <c r="H57" s="78"/>
      <c r="I57" s="13"/>
      <c r="J57" s="23"/>
      <c r="L57" s="19"/>
      <c r="M57" s="20"/>
      <c r="N57" s="21"/>
    </row>
    <row r="58" spans="1:22" ht="15.75" hidden="1" customHeight="1">
      <c r="A58" s="29"/>
      <c r="B58" s="73" t="s">
        <v>46</v>
      </c>
      <c r="C58" s="72" t="s">
        <v>55</v>
      </c>
      <c r="D58" s="73" t="s">
        <v>56</v>
      </c>
      <c r="E58" s="74">
        <v>2686</v>
      </c>
      <c r="F58" s="76">
        <f>E58/100</f>
        <v>26.86</v>
      </c>
      <c r="G58" s="13">
        <v>848.37</v>
      </c>
      <c r="H58" s="78">
        <f>G58*F58/1000</f>
        <v>22.787218199999998</v>
      </c>
      <c r="I58" s="13">
        <v>0</v>
      </c>
      <c r="J58" s="23"/>
      <c r="L58" s="19"/>
    </row>
    <row r="59" spans="1:22" ht="18" customHeight="1">
      <c r="A59" s="29">
        <v>10</v>
      </c>
      <c r="B59" s="73" t="s">
        <v>92</v>
      </c>
      <c r="C59" s="72" t="s">
        <v>25</v>
      </c>
      <c r="D59" s="73" t="s">
        <v>164</v>
      </c>
      <c r="E59" s="74">
        <v>343</v>
      </c>
      <c r="F59" s="76">
        <v>2400</v>
      </c>
      <c r="G59" s="13">
        <v>1.4</v>
      </c>
      <c r="H59" s="78">
        <f>F59*G59</f>
        <v>3360</v>
      </c>
      <c r="I59" s="13">
        <f>F59/12*G59</f>
        <v>280</v>
      </c>
    </row>
    <row r="60" spans="1:22" ht="15.75" hidden="1" customHeight="1">
      <c r="A60" s="29"/>
      <c r="B60" s="84" t="s">
        <v>129</v>
      </c>
      <c r="C60" s="72"/>
      <c r="D60" s="73"/>
      <c r="E60" s="74"/>
      <c r="F60" s="76"/>
      <c r="G60" s="13"/>
      <c r="H60" s="78"/>
      <c r="I60" s="13"/>
    </row>
    <row r="61" spans="1:22" ht="15.75" hidden="1" customHeight="1">
      <c r="A61" s="29"/>
      <c r="B61" s="73" t="s">
        <v>130</v>
      </c>
      <c r="C61" s="72" t="s">
        <v>30</v>
      </c>
      <c r="D61" s="73" t="s">
        <v>68</v>
      </c>
      <c r="E61" s="74">
        <v>3</v>
      </c>
      <c r="F61" s="75">
        <v>3</v>
      </c>
      <c r="G61" s="77">
        <v>254.16</v>
      </c>
      <c r="H61" s="76">
        <v>0.76200000000000001</v>
      </c>
      <c r="I61" s="13">
        <v>0</v>
      </c>
    </row>
    <row r="62" spans="1:22" ht="13.5" customHeight="1">
      <c r="A62" s="29"/>
      <c r="B62" s="84" t="s">
        <v>47</v>
      </c>
      <c r="C62" s="72"/>
      <c r="D62" s="73"/>
      <c r="E62" s="74"/>
      <c r="F62" s="75"/>
      <c r="G62" s="75"/>
      <c r="H62" s="76" t="s">
        <v>124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9.5" customHeight="1">
      <c r="A63" s="29">
        <v>11</v>
      </c>
      <c r="B63" s="14" t="s">
        <v>48</v>
      </c>
      <c r="C63" s="16" t="s">
        <v>116</v>
      </c>
      <c r="D63" s="73" t="s">
        <v>169</v>
      </c>
      <c r="E63" s="18">
        <v>15</v>
      </c>
      <c r="F63" s="64">
        <v>15</v>
      </c>
      <c r="G63" s="112">
        <v>318.82</v>
      </c>
      <c r="H63" s="79">
        <f t="shared" ref="H63:H79" si="6">SUM(F63*G63/1000)</f>
        <v>4.7823000000000002</v>
      </c>
      <c r="I63" s="13">
        <f>G63*2</f>
        <v>637.64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23.25" hidden="1" customHeight="1">
      <c r="A64" s="29"/>
      <c r="B64" s="14" t="s">
        <v>49</v>
      </c>
      <c r="C64" s="16" t="s">
        <v>116</v>
      </c>
      <c r="D64" s="73" t="s">
        <v>68</v>
      </c>
      <c r="E64" s="18">
        <v>5</v>
      </c>
      <c r="F64" s="64">
        <v>5</v>
      </c>
      <c r="G64" s="13">
        <v>81.510000000000005</v>
      </c>
      <c r="H64" s="79">
        <f t="shared" si="6"/>
        <v>0.40755000000000002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24" hidden="1" customHeight="1">
      <c r="A65" s="29"/>
      <c r="B65" s="14" t="s">
        <v>50</v>
      </c>
      <c r="C65" s="16" t="s">
        <v>118</v>
      </c>
      <c r="D65" s="14" t="s">
        <v>56</v>
      </c>
      <c r="E65" s="48">
        <v>24123</v>
      </c>
      <c r="F65" s="13">
        <f>SUM(E65/100)</f>
        <v>241.23</v>
      </c>
      <c r="G65" s="13">
        <v>226.79</v>
      </c>
      <c r="H65" s="79">
        <f t="shared" si="6"/>
        <v>54.708551699999994</v>
      </c>
      <c r="I65" s="13">
        <f>F65*G65</f>
        <v>54708.551699999996</v>
      </c>
      <c r="J65" s="5"/>
      <c r="K65" s="5"/>
      <c r="L65" s="5"/>
      <c r="M65" s="5"/>
      <c r="N65" s="5"/>
      <c r="O65" s="5"/>
      <c r="P65" s="5"/>
      <c r="Q65" s="5"/>
      <c r="R65" s="178"/>
      <c r="S65" s="178"/>
      <c r="T65" s="178"/>
      <c r="U65" s="178"/>
    </row>
    <row r="66" spans="1:21" ht="24" hidden="1" customHeight="1">
      <c r="A66" s="29"/>
      <c r="B66" s="14" t="s">
        <v>51</v>
      </c>
      <c r="C66" s="16" t="s">
        <v>119</v>
      </c>
      <c r="D66" s="14"/>
      <c r="E66" s="48">
        <v>24123</v>
      </c>
      <c r="F66" s="13">
        <f>SUM(E66/1000)</f>
        <v>24.123000000000001</v>
      </c>
      <c r="G66" s="13">
        <v>176.61</v>
      </c>
      <c r="H66" s="79">
        <f t="shared" si="6"/>
        <v>4.2603630300000006</v>
      </c>
      <c r="I66" s="13">
        <f t="shared" ref="I66:I70" si="7">F66*G66</f>
        <v>4260.3630300000004</v>
      </c>
    </row>
    <row r="67" spans="1:21" ht="18" hidden="1" customHeight="1">
      <c r="A67" s="29"/>
      <c r="B67" s="14" t="s">
        <v>52</v>
      </c>
      <c r="C67" s="16" t="s">
        <v>78</v>
      </c>
      <c r="D67" s="14" t="s">
        <v>56</v>
      </c>
      <c r="E67" s="48">
        <v>2730</v>
      </c>
      <c r="F67" s="13">
        <f>SUM(E67/100)</f>
        <v>27.3</v>
      </c>
      <c r="G67" s="13">
        <v>2217.7800000000002</v>
      </c>
      <c r="H67" s="79">
        <f t="shared" si="6"/>
        <v>60.545394000000009</v>
      </c>
      <c r="I67" s="13">
        <f t="shared" si="7"/>
        <v>60545.394000000008</v>
      </c>
    </row>
    <row r="68" spans="1:21" ht="19.5" hidden="1" customHeight="1">
      <c r="A68" s="29"/>
      <c r="B68" s="80" t="s">
        <v>120</v>
      </c>
      <c r="C68" s="16" t="s">
        <v>33</v>
      </c>
      <c r="D68" s="14"/>
      <c r="E68" s="48">
        <v>23</v>
      </c>
      <c r="F68" s="13">
        <f>SUM(E68)</f>
        <v>23</v>
      </c>
      <c r="G68" s="13">
        <v>42.67</v>
      </c>
      <c r="H68" s="79">
        <f t="shared" si="6"/>
        <v>0.98141000000000012</v>
      </c>
      <c r="I68" s="13">
        <f t="shared" si="7"/>
        <v>981.41000000000008</v>
      </c>
    </row>
    <row r="69" spans="1:21" ht="18" hidden="1" customHeight="1">
      <c r="A69" s="29"/>
      <c r="B69" s="80" t="s">
        <v>121</v>
      </c>
      <c r="C69" s="16" t="s">
        <v>33</v>
      </c>
      <c r="D69" s="14"/>
      <c r="E69" s="48">
        <v>23</v>
      </c>
      <c r="F69" s="13">
        <f>SUM(E69)</f>
        <v>23</v>
      </c>
      <c r="G69" s="13">
        <v>39.81</v>
      </c>
      <c r="H69" s="79">
        <f t="shared" si="6"/>
        <v>0.91563000000000005</v>
      </c>
      <c r="I69" s="13">
        <f t="shared" si="7"/>
        <v>915.63000000000011</v>
      </c>
    </row>
    <row r="70" spans="1:21" ht="14.25" hidden="1" customHeight="1">
      <c r="A70" s="29"/>
      <c r="B70" s="14" t="s">
        <v>59</v>
      </c>
      <c r="C70" s="16" t="s">
        <v>60</v>
      </c>
      <c r="D70" s="14" t="s">
        <v>56</v>
      </c>
      <c r="E70" s="18">
        <v>10</v>
      </c>
      <c r="F70" s="64">
        <f>SUM(E70)</f>
        <v>10</v>
      </c>
      <c r="G70" s="13">
        <v>53.32</v>
      </c>
      <c r="H70" s="79">
        <f t="shared" si="6"/>
        <v>0.53320000000000001</v>
      </c>
      <c r="I70" s="13">
        <f t="shared" si="7"/>
        <v>533.20000000000005</v>
      </c>
    </row>
    <row r="71" spans="1:21" ht="14.25" customHeight="1">
      <c r="A71" s="29"/>
      <c r="B71" s="167" t="s">
        <v>182</v>
      </c>
      <c r="C71" s="16"/>
      <c r="D71" s="14"/>
      <c r="E71" s="18"/>
      <c r="F71" s="13"/>
      <c r="G71" s="13"/>
      <c r="H71" s="13"/>
      <c r="I71" s="13"/>
    </row>
    <row r="72" spans="1:21" ht="28.5" customHeight="1">
      <c r="A72" s="29">
        <v>12</v>
      </c>
      <c r="B72" s="97" t="s">
        <v>183</v>
      </c>
      <c r="C72" s="126" t="s">
        <v>184</v>
      </c>
      <c r="D72" s="127"/>
      <c r="E72" s="128">
        <v>4591.2</v>
      </c>
      <c r="F72" s="129">
        <f>E72*12</f>
        <v>55094.399999999994</v>
      </c>
      <c r="G72" s="129">
        <v>2.4900000000000002</v>
      </c>
      <c r="H72" s="13"/>
      <c r="I72" s="13">
        <f>G72*F72/12</f>
        <v>11432.088000000002</v>
      </c>
    </row>
    <row r="73" spans="1:21" ht="17.25" customHeight="1">
      <c r="A73" s="29"/>
      <c r="B73" s="54" t="s">
        <v>74</v>
      </c>
      <c r="C73" s="16"/>
      <c r="D73" s="14"/>
      <c r="E73" s="18"/>
      <c r="F73" s="13"/>
      <c r="G73" s="13"/>
      <c r="H73" s="79" t="s">
        <v>124</v>
      </c>
      <c r="I73" s="13"/>
    </row>
    <row r="74" spans="1:21" ht="20.25" hidden="1" customHeight="1">
      <c r="A74" s="29">
        <v>12</v>
      </c>
      <c r="B74" s="14" t="s">
        <v>75</v>
      </c>
      <c r="C74" s="16" t="s">
        <v>31</v>
      </c>
      <c r="D74" s="14" t="s">
        <v>197</v>
      </c>
      <c r="E74" s="18">
        <v>2</v>
      </c>
      <c r="F74" s="56">
        <v>0.2</v>
      </c>
      <c r="G74" s="112">
        <v>719.08</v>
      </c>
      <c r="H74" s="79">
        <v>0.251</v>
      </c>
      <c r="I74" s="13">
        <f>G74*0.6</f>
        <v>431.44800000000004</v>
      </c>
    </row>
    <row r="75" spans="1:21" ht="21" hidden="1" customHeight="1">
      <c r="A75" s="29"/>
      <c r="B75" s="14" t="s">
        <v>87</v>
      </c>
      <c r="C75" s="16" t="s">
        <v>30</v>
      </c>
      <c r="D75" s="14"/>
      <c r="E75" s="18">
        <v>1</v>
      </c>
      <c r="F75" s="64">
        <f>SUM(E75)</f>
        <v>1</v>
      </c>
      <c r="G75" s="13">
        <v>383.25</v>
      </c>
      <c r="H75" s="79">
        <f t="shared" si="6"/>
        <v>0.38324999999999998</v>
      </c>
      <c r="I75" s="13">
        <v>0</v>
      </c>
    </row>
    <row r="76" spans="1:21" ht="24" hidden="1" customHeight="1">
      <c r="A76" s="29"/>
      <c r="B76" s="14" t="s">
        <v>76</v>
      </c>
      <c r="C76" s="16" t="s">
        <v>30</v>
      </c>
      <c r="D76" s="14"/>
      <c r="E76" s="18">
        <v>2</v>
      </c>
      <c r="F76" s="13">
        <v>2</v>
      </c>
      <c r="G76" s="13">
        <v>911.85</v>
      </c>
      <c r="H76" s="79">
        <f>F76*G76/1000</f>
        <v>1.8237000000000001</v>
      </c>
      <c r="I76" s="13">
        <v>0</v>
      </c>
    </row>
    <row r="77" spans="1:21" ht="35.25" customHeight="1">
      <c r="A77" s="29">
        <v>13</v>
      </c>
      <c r="B77" s="97" t="s">
        <v>179</v>
      </c>
      <c r="C77" s="114" t="s">
        <v>30</v>
      </c>
      <c r="D77" s="97" t="s">
        <v>164</v>
      </c>
      <c r="E77" s="17">
        <v>2</v>
      </c>
      <c r="F77" s="34">
        <f>E77*12</f>
        <v>24</v>
      </c>
      <c r="G77" s="34">
        <v>404</v>
      </c>
      <c r="H77" s="79"/>
      <c r="I77" s="13">
        <f>G77*2</f>
        <v>808</v>
      </c>
    </row>
    <row r="78" spans="1:21" ht="23.25" hidden="1" customHeight="1">
      <c r="A78" s="29"/>
      <c r="B78" s="81" t="s">
        <v>77</v>
      </c>
      <c r="C78" s="16"/>
      <c r="D78" s="14"/>
      <c r="E78" s="18"/>
      <c r="F78" s="13"/>
      <c r="G78" s="13" t="s">
        <v>124</v>
      </c>
      <c r="H78" s="79" t="s">
        <v>124</v>
      </c>
      <c r="I78" s="13"/>
    </row>
    <row r="79" spans="1:21" ht="23.25" hidden="1" customHeight="1">
      <c r="A79" s="29"/>
      <c r="B79" s="44" t="s">
        <v>125</v>
      </c>
      <c r="C79" s="16" t="s">
        <v>78</v>
      </c>
      <c r="D79" s="14"/>
      <c r="E79" s="18"/>
      <c r="F79" s="13">
        <v>1.35</v>
      </c>
      <c r="G79" s="13">
        <v>2949.85</v>
      </c>
      <c r="H79" s="79">
        <f t="shared" si="6"/>
        <v>3.9822975</v>
      </c>
      <c r="I79" s="13">
        <v>0</v>
      </c>
    </row>
    <row r="80" spans="1:21" ht="21.75" hidden="1" customHeight="1">
      <c r="A80" s="29"/>
      <c r="B80" s="67" t="s">
        <v>122</v>
      </c>
      <c r="C80" s="81"/>
      <c r="D80" s="31"/>
      <c r="E80" s="32"/>
      <c r="F80" s="68"/>
      <c r="G80" s="68"/>
      <c r="H80" s="82">
        <f>SUM(H56:H79)</f>
        <v>3540.9013510459999</v>
      </c>
      <c r="I80" s="68"/>
    </row>
    <row r="81" spans="1:9" ht="20.25" hidden="1" customHeight="1">
      <c r="A81" s="29"/>
      <c r="B81" s="62" t="s">
        <v>123</v>
      </c>
      <c r="C81" s="16"/>
      <c r="D81" s="14"/>
      <c r="E81" s="57"/>
      <c r="F81" s="13">
        <v>1</v>
      </c>
      <c r="G81" s="13">
        <v>19342.2</v>
      </c>
      <c r="H81" s="79">
        <f>G81*F81/1000</f>
        <v>19.342200000000002</v>
      </c>
      <c r="I81" s="13">
        <v>0</v>
      </c>
    </row>
    <row r="82" spans="1:9" ht="15.75" customHeight="1">
      <c r="A82" s="191" t="s">
        <v>133</v>
      </c>
      <c r="B82" s="192"/>
      <c r="C82" s="192"/>
      <c r="D82" s="192"/>
      <c r="E82" s="192"/>
      <c r="F82" s="192"/>
      <c r="G82" s="192"/>
      <c r="H82" s="192"/>
      <c r="I82" s="193"/>
    </row>
    <row r="83" spans="1:9" ht="15.75" customHeight="1">
      <c r="A83" s="29">
        <v>14</v>
      </c>
      <c r="B83" s="97" t="s">
        <v>126</v>
      </c>
      <c r="C83" s="114" t="s">
        <v>57</v>
      </c>
      <c r="D83" s="130"/>
      <c r="E83" s="34">
        <v>4591.2</v>
      </c>
      <c r="F83" s="34">
        <f>SUM(E83*12)</f>
        <v>55094.399999999994</v>
      </c>
      <c r="G83" s="34">
        <v>3.38</v>
      </c>
      <c r="H83" s="79">
        <f>SUM(F83*G83/1000)</f>
        <v>186.21907199999998</v>
      </c>
      <c r="I83" s="13">
        <f>F83/12*G83</f>
        <v>15518.255999999999</v>
      </c>
    </row>
    <row r="84" spans="1:9" ht="31.5" customHeight="1">
      <c r="A84" s="29">
        <v>15</v>
      </c>
      <c r="B84" s="131" t="s">
        <v>180</v>
      </c>
      <c r="C84" s="132" t="s">
        <v>25</v>
      </c>
      <c r="D84" s="133"/>
      <c r="E84" s="134">
        <f>E83</f>
        <v>4591.2</v>
      </c>
      <c r="F84" s="119">
        <f>E84*12</f>
        <v>55094.399999999994</v>
      </c>
      <c r="G84" s="119">
        <v>3.05</v>
      </c>
      <c r="H84" s="79">
        <f>F84*G84/1000</f>
        <v>168.03791999999999</v>
      </c>
      <c r="I84" s="13">
        <f>F84/12*G84</f>
        <v>14003.159999999998</v>
      </c>
    </row>
    <row r="85" spans="1:9" ht="15.75" customHeight="1">
      <c r="A85" s="45"/>
      <c r="B85" s="36" t="s">
        <v>80</v>
      </c>
      <c r="C85" s="37"/>
      <c r="D85" s="15"/>
      <c r="E85" s="15"/>
      <c r="F85" s="15"/>
      <c r="G85" s="18"/>
      <c r="H85" s="18"/>
      <c r="I85" s="32">
        <f>I84+I83+I77+I72+I63+I59+I32+I30+I29+I21+I20+I18+I17+I16+I53</f>
        <v>86885.748033533324</v>
      </c>
    </row>
    <row r="86" spans="1:9" ht="15.75" customHeight="1">
      <c r="A86" s="188" t="s">
        <v>62</v>
      </c>
      <c r="B86" s="189"/>
      <c r="C86" s="189"/>
      <c r="D86" s="189"/>
      <c r="E86" s="189"/>
      <c r="F86" s="189"/>
      <c r="G86" s="189"/>
      <c r="H86" s="189"/>
      <c r="I86" s="190"/>
    </row>
    <row r="87" spans="1:9" ht="17.25" customHeight="1">
      <c r="A87" s="29">
        <v>16</v>
      </c>
      <c r="B87" s="92" t="s">
        <v>208</v>
      </c>
      <c r="C87" s="93" t="s">
        <v>83</v>
      </c>
      <c r="D87" s="95" t="s">
        <v>312</v>
      </c>
      <c r="E87" s="34"/>
      <c r="F87" s="34">
        <v>5</v>
      </c>
      <c r="G87" s="34">
        <v>231.54</v>
      </c>
      <c r="H87" s="94"/>
      <c r="I87" s="13">
        <f>G87*1</f>
        <v>231.54</v>
      </c>
    </row>
    <row r="88" spans="1:9" ht="37.5" customHeight="1">
      <c r="A88" s="29">
        <v>17</v>
      </c>
      <c r="B88" s="98" t="s">
        <v>223</v>
      </c>
      <c r="C88" s="37" t="s">
        <v>224</v>
      </c>
      <c r="D88" s="172" t="s">
        <v>313</v>
      </c>
      <c r="E88" s="34"/>
      <c r="F88" s="34">
        <v>3</v>
      </c>
      <c r="G88" s="34">
        <v>477.25</v>
      </c>
      <c r="H88" s="94"/>
      <c r="I88" s="13">
        <f>G88*2</f>
        <v>954.5</v>
      </c>
    </row>
    <row r="89" spans="1:9" ht="36" customHeight="1">
      <c r="A89" s="29">
        <v>18</v>
      </c>
      <c r="B89" s="92" t="s">
        <v>191</v>
      </c>
      <c r="C89" s="93" t="s">
        <v>192</v>
      </c>
      <c r="D89" s="95" t="s">
        <v>311</v>
      </c>
      <c r="E89" s="34"/>
      <c r="F89" s="34">
        <v>2</v>
      </c>
      <c r="G89" s="34">
        <v>64.040000000000006</v>
      </c>
      <c r="H89" s="94"/>
      <c r="I89" s="13">
        <f>G89*1</f>
        <v>64.040000000000006</v>
      </c>
    </row>
    <row r="90" spans="1:9" ht="18" customHeight="1">
      <c r="A90" s="29">
        <v>19</v>
      </c>
      <c r="B90" s="92" t="s">
        <v>308</v>
      </c>
      <c r="C90" s="96" t="s">
        <v>202</v>
      </c>
      <c r="D90" s="95"/>
      <c r="E90" s="34"/>
      <c r="F90" s="34">
        <v>0.16</v>
      </c>
      <c r="G90" s="34">
        <v>4113.16</v>
      </c>
      <c r="H90" s="94"/>
      <c r="I90" s="13">
        <f>G90*0.16</f>
        <v>658.10559999999998</v>
      </c>
    </row>
    <row r="91" spans="1:9" ht="16.5" customHeight="1">
      <c r="A91" s="29">
        <v>20</v>
      </c>
      <c r="B91" s="92" t="s">
        <v>309</v>
      </c>
      <c r="C91" s="93" t="s">
        <v>29</v>
      </c>
      <c r="D91" s="95"/>
      <c r="E91" s="34"/>
      <c r="F91" s="34">
        <v>0.25700000000000001</v>
      </c>
      <c r="G91" s="34">
        <v>4683.09</v>
      </c>
      <c r="H91" s="94"/>
      <c r="I91" s="13">
        <f>G91*0.257</f>
        <v>1203.55413</v>
      </c>
    </row>
    <row r="92" spans="1:9" ht="15.75" customHeight="1">
      <c r="A92" s="29">
        <v>21</v>
      </c>
      <c r="B92" s="92" t="s">
        <v>310</v>
      </c>
      <c r="C92" s="93" t="s">
        <v>57</v>
      </c>
      <c r="D92" s="95" t="s">
        <v>314</v>
      </c>
      <c r="E92" s="34"/>
      <c r="F92" s="34">
        <v>2</v>
      </c>
      <c r="G92" s="34">
        <v>535.25</v>
      </c>
      <c r="H92" s="94"/>
      <c r="I92" s="13">
        <f>G92*2</f>
        <v>1070.5</v>
      </c>
    </row>
    <row r="93" spans="1:9" ht="15.75" customHeight="1">
      <c r="A93" s="29"/>
      <c r="B93" s="42" t="s">
        <v>53</v>
      </c>
      <c r="C93" s="38"/>
      <c r="D93" s="46"/>
      <c r="E93" s="38">
        <v>1</v>
      </c>
      <c r="F93" s="38"/>
      <c r="G93" s="38"/>
      <c r="H93" s="38"/>
      <c r="I93" s="32">
        <f>SUM(I87:I92)</f>
        <v>4182.2397299999993</v>
      </c>
    </row>
    <row r="94" spans="1:9" ht="15.75" customHeight="1">
      <c r="A94" s="29"/>
      <c r="B94" s="44" t="s">
        <v>79</v>
      </c>
      <c r="C94" s="15"/>
      <c r="D94" s="15"/>
      <c r="E94" s="39"/>
      <c r="F94" s="39"/>
      <c r="G94" s="40"/>
      <c r="H94" s="40"/>
      <c r="I94" s="17">
        <v>0</v>
      </c>
    </row>
    <row r="95" spans="1:9" ht="15.75" customHeight="1">
      <c r="A95" s="47"/>
      <c r="B95" s="43" t="s">
        <v>150</v>
      </c>
      <c r="C95" s="33"/>
      <c r="D95" s="33"/>
      <c r="E95" s="33"/>
      <c r="F95" s="33"/>
      <c r="G95" s="33"/>
      <c r="H95" s="33"/>
      <c r="I95" s="41">
        <f>I85+I93</f>
        <v>91067.987763533325</v>
      </c>
    </row>
    <row r="96" spans="1:9" ht="15.75" customHeight="1">
      <c r="A96" s="185" t="s">
        <v>315</v>
      </c>
      <c r="B96" s="185"/>
      <c r="C96" s="185"/>
      <c r="D96" s="185"/>
      <c r="E96" s="185"/>
      <c r="F96" s="185"/>
      <c r="G96" s="185"/>
      <c r="H96" s="185"/>
      <c r="I96" s="185"/>
    </row>
    <row r="97" spans="1:9" ht="15.75" customHeight="1">
      <c r="A97" s="55"/>
      <c r="B97" s="186" t="s">
        <v>316</v>
      </c>
      <c r="C97" s="186"/>
      <c r="D97" s="186"/>
      <c r="E97" s="186"/>
      <c r="F97" s="186"/>
      <c r="G97" s="186"/>
      <c r="H97" s="61"/>
      <c r="I97" s="3"/>
    </row>
    <row r="98" spans="1:9" ht="15.75" customHeight="1">
      <c r="A98" s="49"/>
      <c r="B98" s="176" t="s">
        <v>6</v>
      </c>
      <c r="C98" s="176"/>
      <c r="D98" s="176"/>
      <c r="E98" s="176"/>
      <c r="F98" s="176"/>
      <c r="G98" s="176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87" t="s">
        <v>7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187" t="s">
        <v>8</v>
      </c>
      <c r="B101" s="187"/>
      <c r="C101" s="187"/>
      <c r="D101" s="187"/>
      <c r="E101" s="187"/>
      <c r="F101" s="187"/>
      <c r="G101" s="187"/>
      <c r="H101" s="187"/>
      <c r="I101" s="187"/>
    </row>
    <row r="102" spans="1:9" ht="15.75" customHeight="1">
      <c r="A102" s="180" t="s">
        <v>63</v>
      </c>
      <c r="B102" s="180"/>
      <c r="C102" s="180"/>
      <c r="D102" s="180"/>
      <c r="E102" s="180"/>
      <c r="F102" s="180"/>
      <c r="G102" s="180"/>
      <c r="H102" s="180"/>
      <c r="I102" s="180"/>
    </row>
    <row r="103" spans="1:9" ht="15.75" customHeight="1">
      <c r="A103" s="11"/>
    </row>
    <row r="104" spans="1:9" ht="15.75" customHeight="1">
      <c r="A104" s="174" t="s">
        <v>9</v>
      </c>
      <c r="B104" s="174"/>
      <c r="C104" s="174"/>
      <c r="D104" s="174"/>
      <c r="E104" s="174"/>
      <c r="F104" s="174"/>
      <c r="G104" s="174"/>
      <c r="H104" s="174"/>
      <c r="I104" s="174"/>
    </row>
    <row r="105" spans="1:9" ht="15.75" customHeight="1">
      <c r="A105" s="4"/>
    </row>
    <row r="106" spans="1:9" ht="15.75" customHeight="1">
      <c r="B106" s="52" t="s">
        <v>10</v>
      </c>
      <c r="C106" s="175" t="s">
        <v>206</v>
      </c>
      <c r="D106" s="175"/>
      <c r="E106" s="175"/>
      <c r="F106" s="59"/>
      <c r="I106" s="51"/>
    </row>
    <row r="107" spans="1:9" ht="15.75" customHeight="1">
      <c r="A107" s="49"/>
      <c r="C107" s="176" t="s">
        <v>11</v>
      </c>
      <c r="D107" s="176"/>
      <c r="E107" s="176"/>
      <c r="F107" s="24"/>
      <c r="I107" s="50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52" t="s">
        <v>13</v>
      </c>
      <c r="C109" s="177"/>
      <c r="D109" s="177"/>
      <c r="E109" s="177"/>
      <c r="F109" s="60"/>
      <c r="I109" s="51"/>
    </row>
    <row r="110" spans="1:9" ht="15.75" customHeight="1">
      <c r="A110" s="49"/>
      <c r="C110" s="178" t="s">
        <v>11</v>
      </c>
      <c r="D110" s="178"/>
      <c r="E110" s="178"/>
      <c r="F110" s="49"/>
      <c r="I110" s="50" t="s">
        <v>12</v>
      </c>
    </row>
    <row r="111" spans="1:9" ht="15.75" customHeight="1">
      <c r="A111" s="4" t="s">
        <v>14</v>
      </c>
    </row>
    <row r="112" spans="1:9" ht="15.75" customHeight="1">
      <c r="A112" s="179" t="s">
        <v>15</v>
      </c>
      <c r="B112" s="179"/>
      <c r="C112" s="179"/>
      <c r="D112" s="179"/>
      <c r="E112" s="179"/>
      <c r="F112" s="179"/>
      <c r="G112" s="179"/>
      <c r="H112" s="179"/>
      <c r="I112" s="179"/>
    </row>
    <row r="113" spans="1:9" ht="45" customHeight="1">
      <c r="A113" s="173" t="s">
        <v>16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30" customHeight="1">
      <c r="A114" s="173" t="s">
        <v>17</v>
      </c>
      <c r="B114" s="173"/>
      <c r="C114" s="173"/>
      <c r="D114" s="173"/>
      <c r="E114" s="173"/>
      <c r="F114" s="173"/>
      <c r="G114" s="173"/>
      <c r="H114" s="173"/>
      <c r="I114" s="173"/>
    </row>
    <row r="115" spans="1:9" ht="30" customHeight="1">
      <c r="A115" s="173" t="s">
        <v>21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15" customHeight="1">
      <c r="A116" s="173" t="s">
        <v>20</v>
      </c>
      <c r="B116" s="173"/>
      <c r="C116" s="173"/>
      <c r="D116" s="173"/>
      <c r="E116" s="173"/>
      <c r="F116" s="173"/>
      <c r="G116" s="173"/>
      <c r="H116" s="173"/>
      <c r="I116" s="173"/>
    </row>
  </sheetData>
  <autoFilter ref="I12:I60"/>
  <mergeCells count="29">
    <mergeCell ref="R65:U65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7:I27"/>
    <mergeCell ref="A43:I43"/>
    <mergeCell ref="A54:I54"/>
    <mergeCell ref="A96:I96"/>
    <mergeCell ref="B97:G97"/>
    <mergeCell ref="B98:G98"/>
    <mergeCell ref="A100:I100"/>
    <mergeCell ref="A101:I101"/>
    <mergeCell ref="A86:I86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0"/>
  <sheetViews>
    <sheetView topLeftCell="A87" workbookViewId="0">
      <selection activeCell="G103" sqref="G10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9.57031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160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4" t="s">
        <v>148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127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317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44469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7" t="s">
        <v>318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8" t="s">
        <v>153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61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181" t="s">
        <v>4</v>
      </c>
      <c r="B15" s="181"/>
      <c r="C15" s="181"/>
      <c r="D15" s="181"/>
      <c r="E15" s="181"/>
      <c r="F15" s="181"/>
      <c r="G15" s="181"/>
      <c r="H15" s="181"/>
      <c r="I15" s="181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98</v>
      </c>
      <c r="D16" s="62" t="s">
        <v>167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89</v>
      </c>
      <c r="C17" s="63" t="s">
        <v>98</v>
      </c>
      <c r="D17" s="62" t="s">
        <v>168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90</v>
      </c>
      <c r="C18" s="63" t="s">
        <v>98</v>
      </c>
      <c r="D18" s="62" t="s">
        <v>169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/>
      <c r="B19" s="62" t="s">
        <v>99</v>
      </c>
      <c r="C19" s="63" t="s">
        <v>100</v>
      </c>
      <c r="D19" s="62" t="s">
        <v>101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93</v>
      </c>
      <c r="C20" s="116" t="s">
        <v>98</v>
      </c>
      <c r="D20" s="115" t="s">
        <v>164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94</v>
      </c>
      <c r="C21" s="116" t="s">
        <v>98</v>
      </c>
      <c r="D21" s="115" t="s">
        <v>170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102</v>
      </c>
      <c r="C22" s="63" t="s">
        <v>55</v>
      </c>
      <c r="D22" s="62" t="s">
        <v>101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103</v>
      </c>
      <c r="C23" s="63" t="s">
        <v>55</v>
      </c>
      <c r="D23" s="62" t="s">
        <v>101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96</v>
      </c>
      <c r="C24" s="63" t="s">
        <v>55</v>
      </c>
      <c r="D24" s="62" t="s">
        <v>101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97</v>
      </c>
      <c r="C25" s="63" t="s">
        <v>55</v>
      </c>
      <c r="D25" s="62" t="s">
        <v>101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6</v>
      </c>
      <c r="B26" s="115" t="s">
        <v>166</v>
      </c>
      <c r="C26" s="116" t="s">
        <v>25</v>
      </c>
      <c r="D26" s="115" t="s">
        <v>171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81" t="s">
        <v>84</v>
      </c>
      <c r="B27" s="181"/>
      <c r="C27" s="181"/>
      <c r="D27" s="181"/>
      <c r="E27" s="181"/>
      <c r="F27" s="181"/>
      <c r="G27" s="181"/>
      <c r="H27" s="181"/>
      <c r="I27" s="181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6</v>
      </c>
      <c r="B29" s="115" t="s">
        <v>104</v>
      </c>
      <c r="C29" s="116" t="s">
        <v>105</v>
      </c>
      <c r="D29" s="115" t="s">
        <v>178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7</v>
      </c>
      <c r="B30" s="115" t="s">
        <v>137</v>
      </c>
      <c r="C30" s="116" t="s">
        <v>105</v>
      </c>
      <c r="D30" s="115" t="s">
        <v>168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1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hidden="1" customHeight="1">
      <c r="A31" s="29"/>
      <c r="B31" s="115" t="s">
        <v>27</v>
      </c>
      <c r="C31" s="116" t="s">
        <v>105</v>
      </c>
      <c r="D31" s="115" t="s">
        <v>164</v>
      </c>
      <c r="E31" s="121">
        <v>844.95</v>
      </c>
      <c r="F31" s="121">
        <f>SUM(E31/1000)</f>
        <v>0.84495000000000009</v>
      </c>
      <c r="G31" s="121">
        <v>4329.78</v>
      </c>
      <c r="H31" s="65">
        <f t="shared" si="1"/>
        <v>3.6584476110000002</v>
      </c>
      <c r="I31" s="13">
        <f>F31*G31</f>
        <v>3658.4476110000001</v>
      </c>
      <c r="J31" s="22"/>
      <c r="K31" s="8"/>
      <c r="L31" s="8"/>
      <c r="M31" s="8"/>
    </row>
    <row r="32" spans="1:13" ht="15.75" customHeight="1">
      <c r="A32" s="29">
        <v>8</v>
      </c>
      <c r="B32" s="115" t="s">
        <v>135</v>
      </c>
      <c r="C32" s="116" t="s">
        <v>41</v>
      </c>
      <c r="D32" s="115" t="s">
        <v>173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62" t="s">
        <v>66</v>
      </c>
      <c r="C33" s="63" t="s">
        <v>33</v>
      </c>
      <c r="D33" s="62" t="s">
        <v>68</v>
      </c>
      <c r="E33" s="48"/>
      <c r="F33" s="64">
        <v>3</v>
      </c>
      <c r="G33" s="64">
        <v>204.32</v>
      </c>
      <c r="H33" s="65">
        <f t="shared" ref="H33:H34" si="3">SUM(F33*G33/1000)</f>
        <v>0.61296000000000006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3"/>
        <v>2.4294600000000002</v>
      </c>
      <c r="I34" s="13">
        <v>0</v>
      </c>
      <c r="J34" s="23"/>
    </row>
    <row r="35" spans="1:14" ht="15.7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124</v>
      </c>
      <c r="I35" s="13"/>
      <c r="J35" s="23"/>
    </row>
    <row r="36" spans="1:14" ht="15.75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4">SUM(F36*G36/1000)</f>
        <v>16.326000000000001</v>
      </c>
      <c r="I36" s="13">
        <f>F36/6*G36</f>
        <v>2721</v>
      </c>
      <c r="J36" s="23"/>
    </row>
    <row r="37" spans="1:14" ht="15.75" hidden="1" customHeight="1">
      <c r="A37" s="29">
        <v>9</v>
      </c>
      <c r="B37" s="62" t="s">
        <v>136</v>
      </c>
      <c r="C37" s="63" t="s">
        <v>29</v>
      </c>
      <c r="D37" s="62" t="s">
        <v>109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4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15.75" hidden="1" customHeight="1">
      <c r="A38" s="29"/>
      <c r="B38" s="62" t="s">
        <v>91</v>
      </c>
      <c r="C38" s="63" t="s">
        <v>110</v>
      </c>
      <c r="D38" s="62" t="s">
        <v>68</v>
      </c>
      <c r="E38" s="48"/>
      <c r="F38" s="64">
        <v>40</v>
      </c>
      <c r="G38" s="64">
        <v>213.2</v>
      </c>
      <c r="H38" s="65">
        <f t="shared" si="4"/>
        <v>8.5280000000000005</v>
      </c>
      <c r="I38" s="13"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62" t="s">
        <v>69</v>
      </c>
      <c r="C39" s="63" t="s">
        <v>29</v>
      </c>
      <c r="D39" s="62" t="s">
        <v>111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4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47.25" hidden="1" customHeight="1">
      <c r="A40" s="29">
        <v>11</v>
      </c>
      <c r="B40" s="62" t="s">
        <v>82</v>
      </c>
      <c r="C40" s="63" t="s">
        <v>105</v>
      </c>
      <c r="D40" s="62" t="s">
        <v>112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4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15.75" hidden="1" customHeight="1">
      <c r="A41" s="29">
        <v>12</v>
      </c>
      <c r="B41" s="62" t="s">
        <v>113</v>
      </c>
      <c r="C41" s="63" t="s">
        <v>105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4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15.7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4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15.75" customHeight="1">
      <c r="A43" s="182" t="s">
        <v>131</v>
      </c>
      <c r="B43" s="183"/>
      <c r="C43" s="183"/>
      <c r="D43" s="183"/>
      <c r="E43" s="183"/>
      <c r="F43" s="183"/>
      <c r="G43" s="183"/>
      <c r="H43" s="183"/>
      <c r="I43" s="184"/>
      <c r="J43" s="23"/>
      <c r="L43" s="19"/>
      <c r="M43" s="20"/>
      <c r="N43" s="21"/>
    </row>
    <row r="44" spans="1:14" ht="15.75" customHeight="1">
      <c r="A44" s="29">
        <v>9</v>
      </c>
      <c r="B44" s="115" t="s">
        <v>128</v>
      </c>
      <c r="C44" s="116" t="s">
        <v>105</v>
      </c>
      <c r="D44" s="115" t="s">
        <v>170</v>
      </c>
      <c r="E44" s="120">
        <v>1795.9</v>
      </c>
      <c r="F44" s="121">
        <f>SUM(E44*2/1000)</f>
        <v>3.5918000000000001</v>
      </c>
      <c r="G44" s="34">
        <v>1160.81</v>
      </c>
      <c r="H44" s="65">
        <f t="shared" ref="H44:H53" si="5">SUM(F44*G44/1000)</f>
        <v>4.1693973580000003</v>
      </c>
      <c r="I44" s="13">
        <f t="shared" ref="I44:I47" si="6">F44/2*G44</f>
        <v>2084.6986790000001</v>
      </c>
      <c r="J44" s="23"/>
      <c r="L44" s="19"/>
      <c r="M44" s="20"/>
      <c r="N44" s="21"/>
    </row>
    <row r="45" spans="1:14" ht="15.75" customHeight="1">
      <c r="A45" s="29">
        <v>10</v>
      </c>
      <c r="B45" s="115" t="s">
        <v>36</v>
      </c>
      <c r="C45" s="116" t="s">
        <v>105</v>
      </c>
      <c r="D45" s="115" t="s">
        <v>170</v>
      </c>
      <c r="E45" s="120">
        <v>104</v>
      </c>
      <c r="F45" s="121">
        <f>SUM(E45*2/1000)</f>
        <v>0.20799999999999999</v>
      </c>
      <c r="G45" s="34">
        <v>830.69</v>
      </c>
      <c r="H45" s="65">
        <f t="shared" si="5"/>
        <v>0.17278352000000002</v>
      </c>
      <c r="I45" s="13">
        <f t="shared" si="6"/>
        <v>86.391760000000005</v>
      </c>
      <c r="J45" s="23"/>
      <c r="L45" s="19"/>
      <c r="M45" s="20"/>
      <c r="N45" s="21"/>
    </row>
    <row r="46" spans="1:14" ht="15.75" customHeight="1">
      <c r="A46" s="29">
        <v>11</v>
      </c>
      <c r="B46" s="115" t="s">
        <v>37</v>
      </c>
      <c r="C46" s="116" t="s">
        <v>105</v>
      </c>
      <c r="D46" s="115" t="s">
        <v>170</v>
      </c>
      <c r="E46" s="120">
        <v>1996.87</v>
      </c>
      <c r="F46" s="121">
        <f>SUM(E46*2/1000)</f>
        <v>3.9937399999999998</v>
      </c>
      <c r="G46" s="34">
        <v>830.69</v>
      </c>
      <c r="H46" s="65">
        <f t="shared" si="5"/>
        <v>3.3175598806000002</v>
      </c>
      <c r="I46" s="13">
        <f t="shared" si="6"/>
        <v>1658.7799403000001</v>
      </c>
      <c r="J46" s="23"/>
      <c r="L46" s="19"/>
      <c r="M46" s="20"/>
      <c r="N46" s="21"/>
    </row>
    <row r="47" spans="1:14" ht="15.75" customHeight="1">
      <c r="A47" s="29">
        <v>12</v>
      </c>
      <c r="B47" s="115" t="s">
        <v>38</v>
      </c>
      <c r="C47" s="116" t="s">
        <v>105</v>
      </c>
      <c r="D47" s="115" t="s">
        <v>170</v>
      </c>
      <c r="E47" s="120">
        <v>2630.35</v>
      </c>
      <c r="F47" s="121">
        <f>SUM(E47*2/1000)</f>
        <v>5.2606999999999999</v>
      </c>
      <c r="G47" s="34">
        <v>869.86</v>
      </c>
      <c r="H47" s="65">
        <f t="shared" si="5"/>
        <v>4.5760725019999997</v>
      </c>
      <c r="I47" s="13">
        <f t="shared" si="6"/>
        <v>2288.036251</v>
      </c>
      <c r="J47" s="23"/>
      <c r="L47" s="19"/>
      <c r="M47" s="20"/>
      <c r="N47" s="21"/>
    </row>
    <row r="48" spans="1:14" ht="15.75" customHeight="1">
      <c r="A48" s="29">
        <v>13</v>
      </c>
      <c r="B48" s="115" t="s">
        <v>34</v>
      </c>
      <c r="C48" s="116" t="s">
        <v>35</v>
      </c>
      <c r="D48" s="115" t="s">
        <v>170</v>
      </c>
      <c r="E48" s="120">
        <v>131.47</v>
      </c>
      <c r="F48" s="121">
        <f>SUM(E48*2/100)</f>
        <v>2.6294</v>
      </c>
      <c r="G48" s="34">
        <v>104.38</v>
      </c>
      <c r="H48" s="65">
        <f t="shared" si="5"/>
        <v>0.27445677200000002</v>
      </c>
      <c r="I48" s="13">
        <f>F48/2*G48</f>
        <v>137.228386</v>
      </c>
      <c r="J48" s="23"/>
      <c r="L48" s="19"/>
      <c r="M48" s="20"/>
      <c r="N48" s="21"/>
    </row>
    <row r="49" spans="1:22" ht="15.75" customHeight="1">
      <c r="A49" s="29">
        <v>14</v>
      </c>
      <c r="B49" s="115" t="s">
        <v>58</v>
      </c>
      <c r="C49" s="116" t="s">
        <v>105</v>
      </c>
      <c r="D49" s="115" t="s">
        <v>201</v>
      </c>
      <c r="E49" s="120">
        <v>2872.4</v>
      </c>
      <c r="F49" s="121">
        <f>SUM(E49*5/1000)</f>
        <v>14.362</v>
      </c>
      <c r="G49" s="34">
        <v>1739.68</v>
      </c>
      <c r="H49" s="65">
        <f t="shared" si="5"/>
        <v>24.985284160000003</v>
      </c>
      <c r="I49" s="13">
        <f>F49/5*G49</f>
        <v>4997.0568320000002</v>
      </c>
      <c r="J49" s="23"/>
      <c r="L49" s="19"/>
      <c r="M49" s="20"/>
      <c r="N49" s="21"/>
    </row>
    <row r="50" spans="1:22" ht="31.5" customHeight="1">
      <c r="A50" s="29">
        <v>15</v>
      </c>
      <c r="B50" s="115" t="s">
        <v>114</v>
      </c>
      <c r="C50" s="116" t="s">
        <v>105</v>
      </c>
      <c r="D50" s="115" t="s">
        <v>170</v>
      </c>
      <c r="E50" s="120">
        <v>2872.4</v>
      </c>
      <c r="F50" s="121">
        <f>SUM(E50*2/1000)</f>
        <v>5.7448000000000006</v>
      </c>
      <c r="G50" s="34">
        <v>1739.68</v>
      </c>
      <c r="H50" s="65">
        <f t="shared" si="5"/>
        <v>9.9941136640000021</v>
      </c>
      <c r="I50" s="13">
        <f>G50*F50/2</f>
        <v>4997.0568320000011</v>
      </c>
      <c r="J50" s="23"/>
      <c r="L50" s="19"/>
      <c r="M50" s="20"/>
      <c r="N50" s="21"/>
    </row>
    <row r="51" spans="1:22" ht="31.5" customHeight="1">
      <c r="A51" s="29">
        <v>16</v>
      </c>
      <c r="B51" s="115" t="s">
        <v>115</v>
      </c>
      <c r="C51" s="116" t="s">
        <v>39</v>
      </c>
      <c r="D51" s="115" t="s">
        <v>170</v>
      </c>
      <c r="E51" s="120">
        <v>40</v>
      </c>
      <c r="F51" s="121">
        <f>SUM(E51*2/100)</f>
        <v>0.8</v>
      </c>
      <c r="G51" s="34">
        <v>3914.31</v>
      </c>
      <c r="H51" s="65">
        <f t="shared" si="5"/>
        <v>3.1314480000000002</v>
      </c>
      <c r="I51" s="13">
        <f>G51*F51/2</f>
        <v>1565.7240000000002</v>
      </c>
      <c r="J51" s="23"/>
      <c r="L51" s="19"/>
      <c r="M51" s="20"/>
      <c r="N51" s="21"/>
    </row>
    <row r="52" spans="1:22" ht="15.75" customHeight="1">
      <c r="A52" s="29">
        <v>17</v>
      </c>
      <c r="B52" s="115" t="s">
        <v>40</v>
      </c>
      <c r="C52" s="116" t="s">
        <v>41</v>
      </c>
      <c r="D52" s="115" t="s">
        <v>170</v>
      </c>
      <c r="E52" s="120">
        <v>1</v>
      </c>
      <c r="F52" s="121">
        <v>0.02</v>
      </c>
      <c r="G52" s="34">
        <v>8102.62</v>
      </c>
      <c r="H52" s="65">
        <f t="shared" si="5"/>
        <v>0.16205240000000001</v>
      </c>
      <c r="I52" s="13">
        <f>G52*F52/2</f>
        <v>81.026200000000003</v>
      </c>
      <c r="J52" s="23"/>
      <c r="L52" s="19"/>
      <c r="M52" s="20"/>
      <c r="N52" s="21"/>
    </row>
    <row r="53" spans="1:22" ht="15.75" hidden="1" customHeight="1">
      <c r="A53" s="29">
        <v>19</v>
      </c>
      <c r="B53" s="115" t="s">
        <v>42</v>
      </c>
      <c r="C53" s="116" t="s">
        <v>30</v>
      </c>
      <c r="D53" s="170">
        <v>44085</v>
      </c>
      <c r="E53" s="120">
        <v>160</v>
      </c>
      <c r="F53" s="121">
        <f>SUM(E53)*3</f>
        <v>480</v>
      </c>
      <c r="G53" s="165">
        <v>87.32</v>
      </c>
      <c r="H53" s="65">
        <f t="shared" si="5"/>
        <v>41.913599999999995</v>
      </c>
      <c r="I53" s="13">
        <f>E53*G53</f>
        <v>13971.199999999999</v>
      </c>
      <c r="J53" s="23"/>
      <c r="L53" s="19"/>
      <c r="M53" s="20"/>
      <c r="N53" s="21"/>
    </row>
    <row r="54" spans="1:22" ht="15.75" customHeight="1">
      <c r="A54" s="182" t="s">
        <v>132</v>
      </c>
      <c r="B54" s="183"/>
      <c r="C54" s="183"/>
      <c r="D54" s="183"/>
      <c r="E54" s="183"/>
      <c r="F54" s="183"/>
      <c r="G54" s="183"/>
      <c r="H54" s="183"/>
      <c r="I54" s="184"/>
      <c r="J54" s="23"/>
      <c r="L54" s="19"/>
      <c r="M54" s="20"/>
      <c r="N54" s="21"/>
    </row>
    <row r="55" spans="1:22" ht="15.75" customHeight="1">
      <c r="A55" s="29"/>
      <c r="B55" s="83" t="s">
        <v>44</v>
      </c>
      <c r="C55" s="63"/>
      <c r="D55" s="62"/>
      <c r="E55" s="48"/>
      <c r="F55" s="64"/>
      <c r="G55" s="64"/>
      <c r="H55" s="65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2" t="s">
        <v>117</v>
      </c>
      <c r="C56" s="63" t="s">
        <v>98</v>
      </c>
      <c r="D56" s="62" t="s">
        <v>73</v>
      </c>
      <c r="E56" s="48">
        <v>239.59</v>
      </c>
      <c r="F56" s="64">
        <f>E56*6/100</f>
        <v>14.375399999999999</v>
      </c>
      <c r="G56" s="71">
        <v>1654.04</v>
      </c>
      <c r="H56" s="65">
        <f>F56*G56/1000</f>
        <v>23.777486615999997</v>
      </c>
      <c r="I56" s="13">
        <f>F56/6*G56</f>
        <v>3962.9144359999996</v>
      </c>
      <c r="J56" s="23"/>
      <c r="L56" s="19"/>
      <c r="M56" s="20"/>
      <c r="N56" s="21"/>
    </row>
    <row r="57" spans="1:22" ht="18.75" customHeight="1">
      <c r="A57" s="29">
        <v>18</v>
      </c>
      <c r="B57" s="99" t="s">
        <v>86</v>
      </c>
      <c r="C57" s="100" t="s">
        <v>156</v>
      </c>
      <c r="D57" s="99" t="s">
        <v>319</v>
      </c>
      <c r="E57" s="101"/>
      <c r="F57" s="102">
        <v>8</v>
      </c>
      <c r="G57" s="107">
        <v>1730</v>
      </c>
      <c r="H57" s="78"/>
      <c r="I57" s="13">
        <f>G57*2</f>
        <v>3460</v>
      </c>
      <c r="J57" s="23"/>
      <c r="L57" s="19"/>
      <c r="M57" s="20"/>
      <c r="N57" s="21"/>
    </row>
    <row r="58" spans="1:22" ht="15.75" customHeight="1">
      <c r="A58" s="29"/>
      <c r="B58" s="84" t="s">
        <v>45</v>
      </c>
      <c r="C58" s="72"/>
      <c r="D58" s="73"/>
      <c r="E58" s="74"/>
      <c r="F58" s="76"/>
      <c r="G58" s="13"/>
      <c r="H58" s="78"/>
      <c r="I58" s="13"/>
      <c r="J58" s="23"/>
      <c r="L58" s="19"/>
      <c r="M58" s="20"/>
      <c r="N58" s="21"/>
    </row>
    <row r="59" spans="1:22" ht="15.75" hidden="1" customHeight="1">
      <c r="A59" s="29"/>
      <c r="B59" s="73" t="s">
        <v>46</v>
      </c>
      <c r="C59" s="72" t="s">
        <v>55</v>
      </c>
      <c r="D59" s="73" t="s">
        <v>56</v>
      </c>
      <c r="E59" s="74">
        <v>2686</v>
      </c>
      <c r="F59" s="76">
        <f>E59/100</f>
        <v>26.86</v>
      </c>
      <c r="G59" s="13">
        <v>848.37</v>
      </c>
      <c r="H59" s="78">
        <f>G59*F59/1000</f>
        <v>22.787218199999998</v>
      </c>
      <c r="I59" s="13">
        <v>0</v>
      </c>
      <c r="J59" s="23"/>
      <c r="L59" s="19"/>
    </row>
    <row r="60" spans="1:22" ht="15.75" customHeight="1">
      <c r="A60" s="29">
        <v>19</v>
      </c>
      <c r="B60" s="73" t="s">
        <v>92</v>
      </c>
      <c r="C60" s="72" t="s">
        <v>25</v>
      </c>
      <c r="D60" s="73" t="s">
        <v>164</v>
      </c>
      <c r="E60" s="74">
        <v>343</v>
      </c>
      <c r="F60" s="76">
        <v>2400</v>
      </c>
      <c r="G60" s="13">
        <v>1.4</v>
      </c>
      <c r="H60" s="78">
        <f>F60*G60</f>
        <v>3360</v>
      </c>
      <c r="I60" s="13">
        <f>F60/12*G60</f>
        <v>280</v>
      </c>
    </row>
    <row r="61" spans="1:22" ht="15.75" hidden="1" customHeight="1">
      <c r="A61" s="29"/>
      <c r="B61" s="84" t="s">
        <v>129</v>
      </c>
      <c r="C61" s="72"/>
      <c r="D61" s="73"/>
      <c r="E61" s="74"/>
      <c r="F61" s="76"/>
      <c r="G61" s="13"/>
      <c r="H61" s="78"/>
      <c r="I61" s="13"/>
    </row>
    <row r="62" spans="1:22" ht="15.75" hidden="1" customHeight="1">
      <c r="A62" s="29"/>
      <c r="B62" s="73" t="s">
        <v>130</v>
      </c>
      <c r="C62" s="72" t="s">
        <v>30</v>
      </c>
      <c r="D62" s="73" t="s">
        <v>68</v>
      </c>
      <c r="E62" s="74">
        <v>3</v>
      </c>
      <c r="F62" s="75">
        <v>3</v>
      </c>
      <c r="G62" s="77">
        <v>254.16</v>
      </c>
      <c r="H62" s="76">
        <v>0.76200000000000001</v>
      </c>
      <c r="I62" s="13">
        <v>0</v>
      </c>
    </row>
    <row r="63" spans="1:22" ht="15.75" customHeight="1">
      <c r="A63" s="29"/>
      <c r="B63" s="84" t="s">
        <v>47</v>
      </c>
      <c r="C63" s="72"/>
      <c r="D63" s="73"/>
      <c r="E63" s="74"/>
      <c r="F63" s="75"/>
      <c r="G63" s="75"/>
      <c r="H63" s="76" t="s">
        <v>124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29">
        <v>22</v>
      </c>
      <c r="B64" s="113" t="s">
        <v>48</v>
      </c>
      <c r="C64" s="114" t="s">
        <v>116</v>
      </c>
      <c r="D64" s="97" t="s">
        <v>170</v>
      </c>
      <c r="E64" s="17">
        <v>15</v>
      </c>
      <c r="F64" s="121">
        <v>15</v>
      </c>
      <c r="G64" s="34">
        <v>318.82</v>
      </c>
      <c r="H64" s="79">
        <f t="shared" ref="H64:H80" si="7">SUM(F64*G64/1000)</f>
        <v>4.7823000000000002</v>
      </c>
      <c r="I64" s="13">
        <f>G64*1</f>
        <v>318.82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29">
        <v>20</v>
      </c>
      <c r="B65" s="113" t="s">
        <v>49</v>
      </c>
      <c r="C65" s="114" t="s">
        <v>116</v>
      </c>
      <c r="D65" s="97" t="s">
        <v>170</v>
      </c>
      <c r="E65" s="17">
        <v>9</v>
      </c>
      <c r="F65" s="121">
        <f>E65*1</f>
        <v>9</v>
      </c>
      <c r="G65" s="34">
        <v>109.32</v>
      </c>
      <c r="H65" s="79">
        <f t="shared" si="7"/>
        <v>0.98387999999999987</v>
      </c>
      <c r="I65" s="13">
        <f>G65*1</f>
        <v>109.32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/>
      <c r="B66" s="113" t="s">
        <v>50</v>
      </c>
      <c r="C66" s="164" t="s">
        <v>118</v>
      </c>
      <c r="D66" s="97" t="s">
        <v>56</v>
      </c>
      <c r="E66" s="120">
        <v>24123</v>
      </c>
      <c r="F66" s="165">
        <f>SUM(E66/100)</f>
        <v>241.23</v>
      </c>
      <c r="G66" s="34">
        <v>304.13</v>
      </c>
      <c r="H66" s="79">
        <f t="shared" si="7"/>
        <v>73.36527989999999</v>
      </c>
      <c r="I66" s="13">
        <f>F66*G66</f>
        <v>73365.279899999994</v>
      </c>
      <c r="J66" s="5"/>
      <c r="K66" s="5"/>
      <c r="L66" s="5"/>
      <c r="M66" s="5"/>
      <c r="N66" s="5"/>
      <c r="O66" s="5"/>
      <c r="P66" s="5"/>
      <c r="Q66" s="5"/>
      <c r="R66" s="178"/>
      <c r="S66" s="178"/>
      <c r="T66" s="178"/>
      <c r="U66" s="178"/>
    </row>
    <row r="67" spans="1:21" ht="15.75" hidden="1" customHeight="1">
      <c r="A67" s="29"/>
      <c r="B67" s="113" t="s">
        <v>51</v>
      </c>
      <c r="C67" s="114" t="s">
        <v>119</v>
      </c>
      <c r="D67" s="97"/>
      <c r="E67" s="120">
        <v>24123</v>
      </c>
      <c r="F67" s="34">
        <f>SUM(E67/1000)</f>
        <v>24.123000000000001</v>
      </c>
      <c r="G67" s="34">
        <v>236.84</v>
      </c>
      <c r="H67" s="79">
        <f t="shared" si="7"/>
        <v>5.7132913200000006</v>
      </c>
      <c r="I67" s="13">
        <f t="shared" ref="I67:I71" si="8">F67*G67</f>
        <v>5713.2913200000003</v>
      </c>
    </row>
    <row r="68" spans="1:21" ht="15.75" hidden="1" customHeight="1">
      <c r="A68" s="29"/>
      <c r="B68" s="113" t="s">
        <v>52</v>
      </c>
      <c r="C68" s="114" t="s">
        <v>78</v>
      </c>
      <c r="D68" s="97" t="s">
        <v>56</v>
      </c>
      <c r="E68" s="120">
        <v>2730</v>
      </c>
      <c r="F68" s="34">
        <f>SUM(E68/100)</f>
        <v>27.3</v>
      </c>
      <c r="G68" s="34">
        <v>2974.1</v>
      </c>
      <c r="H68" s="79">
        <f t="shared" si="7"/>
        <v>81.19292999999999</v>
      </c>
      <c r="I68" s="13">
        <f t="shared" si="8"/>
        <v>81192.929999999993</v>
      </c>
    </row>
    <row r="69" spans="1:21" ht="15.75" hidden="1" customHeight="1">
      <c r="A69" s="29"/>
      <c r="B69" s="166" t="s">
        <v>120</v>
      </c>
      <c r="C69" s="114" t="s">
        <v>33</v>
      </c>
      <c r="D69" s="97"/>
      <c r="E69" s="120">
        <v>12.3</v>
      </c>
      <c r="F69" s="34">
        <f>SUM(E69)</f>
        <v>12.3</v>
      </c>
      <c r="G69" s="34">
        <v>47.98</v>
      </c>
      <c r="H69" s="79">
        <f t="shared" si="7"/>
        <v>0.59015399999999996</v>
      </c>
      <c r="I69" s="13">
        <f t="shared" si="8"/>
        <v>590.154</v>
      </c>
    </row>
    <row r="70" spans="1:21" ht="15.75" hidden="1" customHeight="1">
      <c r="A70" s="29"/>
      <c r="B70" s="166" t="s">
        <v>121</v>
      </c>
      <c r="C70" s="114" t="s">
        <v>33</v>
      </c>
      <c r="D70" s="97"/>
      <c r="E70" s="120">
        <v>12.3</v>
      </c>
      <c r="F70" s="34">
        <f>SUM(E70)</f>
        <v>12.3</v>
      </c>
      <c r="G70" s="34">
        <v>51.75</v>
      </c>
      <c r="H70" s="79">
        <f t="shared" si="7"/>
        <v>0.63652500000000012</v>
      </c>
      <c r="I70" s="13">
        <f t="shared" si="8"/>
        <v>636.52500000000009</v>
      </c>
    </row>
    <row r="71" spans="1:21" ht="15.75" customHeight="1">
      <c r="A71" s="29">
        <v>21</v>
      </c>
      <c r="B71" s="97" t="s">
        <v>59</v>
      </c>
      <c r="C71" s="114" t="s">
        <v>60</v>
      </c>
      <c r="D71" s="97" t="s">
        <v>164</v>
      </c>
      <c r="E71" s="17">
        <v>8</v>
      </c>
      <c r="F71" s="121">
        <f>SUM(E71)</f>
        <v>8</v>
      </c>
      <c r="G71" s="34">
        <v>71.510000000000005</v>
      </c>
      <c r="H71" s="79">
        <f t="shared" si="7"/>
        <v>0.57208000000000003</v>
      </c>
      <c r="I71" s="13">
        <f t="shared" si="8"/>
        <v>572.08000000000004</v>
      </c>
    </row>
    <row r="72" spans="1:21" ht="15.75" customHeight="1">
      <c r="A72" s="29"/>
      <c r="B72" s="168" t="s">
        <v>182</v>
      </c>
      <c r="C72" s="16"/>
      <c r="D72" s="14"/>
      <c r="E72" s="18"/>
      <c r="F72" s="13"/>
      <c r="G72" s="13"/>
      <c r="H72" s="13"/>
      <c r="I72" s="13"/>
    </row>
    <row r="73" spans="1:21" ht="32.25" customHeight="1">
      <c r="A73" s="29">
        <v>22</v>
      </c>
      <c r="B73" s="97" t="s">
        <v>183</v>
      </c>
      <c r="C73" s="126" t="s">
        <v>184</v>
      </c>
      <c r="D73" s="127"/>
      <c r="E73" s="128">
        <v>4591.2</v>
      </c>
      <c r="F73" s="129">
        <f>E73*12</f>
        <v>55094.399999999994</v>
      </c>
      <c r="G73" s="129">
        <v>2.4900000000000002</v>
      </c>
      <c r="H73" s="13"/>
      <c r="I73" s="13">
        <f>G73*F73/12</f>
        <v>11432.088000000002</v>
      </c>
    </row>
    <row r="74" spans="1:21" ht="15.75" customHeight="1">
      <c r="A74" s="29"/>
      <c r="B74" s="168" t="s">
        <v>74</v>
      </c>
      <c r="C74" s="16"/>
      <c r="D74" s="14"/>
      <c r="E74" s="18"/>
      <c r="F74" s="13"/>
      <c r="G74" s="13"/>
      <c r="H74" s="79" t="s">
        <v>124</v>
      </c>
      <c r="I74" s="13"/>
    </row>
    <row r="75" spans="1:21" ht="15.75" hidden="1" customHeight="1">
      <c r="A75" s="29"/>
      <c r="B75" s="14" t="s">
        <v>75</v>
      </c>
      <c r="C75" s="16" t="s">
        <v>31</v>
      </c>
      <c r="D75" s="14"/>
      <c r="E75" s="18">
        <v>2</v>
      </c>
      <c r="F75" s="56">
        <v>0.2</v>
      </c>
      <c r="G75" s="13">
        <v>536.23</v>
      </c>
      <c r="H75" s="79">
        <v>0.251</v>
      </c>
      <c r="I75" s="13">
        <v>0</v>
      </c>
    </row>
    <row r="76" spans="1:21" ht="15.75" hidden="1" customHeight="1">
      <c r="A76" s="29"/>
      <c r="B76" s="14" t="s">
        <v>87</v>
      </c>
      <c r="C76" s="16" t="s">
        <v>30</v>
      </c>
      <c r="D76" s="14"/>
      <c r="E76" s="18">
        <v>1</v>
      </c>
      <c r="F76" s="64">
        <f>SUM(E76)</f>
        <v>1</v>
      </c>
      <c r="G76" s="13">
        <v>383.25</v>
      </c>
      <c r="H76" s="79">
        <f t="shared" si="7"/>
        <v>0.38324999999999998</v>
      </c>
      <c r="I76" s="13">
        <v>0</v>
      </c>
    </row>
    <row r="77" spans="1:21" ht="15.75" hidden="1" customHeight="1">
      <c r="A77" s="29"/>
      <c r="B77" s="14" t="s">
        <v>76</v>
      </c>
      <c r="C77" s="16" t="s">
        <v>30</v>
      </c>
      <c r="D77" s="14"/>
      <c r="E77" s="18">
        <v>2</v>
      </c>
      <c r="F77" s="13">
        <v>2</v>
      </c>
      <c r="G77" s="13">
        <v>911.85</v>
      </c>
      <c r="H77" s="79">
        <f>F77*G77/1000</f>
        <v>1.8237000000000001</v>
      </c>
      <c r="I77" s="13">
        <v>0</v>
      </c>
    </row>
    <row r="78" spans="1:21" ht="34.5" customHeight="1">
      <c r="A78" s="29">
        <v>23</v>
      </c>
      <c r="B78" s="97" t="s">
        <v>179</v>
      </c>
      <c r="C78" s="114" t="s">
        <v>30</v>
      </c>
      <c r="D78" s="97" t="s">
        <v>164</v>
      </c>
      <c r="E78" s="17">
        <v>2</v>
      </c>
      <c r="F78" s="34">
        <f>E78*12</f>
        <v>24</v>
      </c>
      <c r="G78" s="34">
        <v>404</v>
      </c>
      <c r="H78" s="79"/>
      <c r="I78" s="13">
        <f>G78*2</f>
        <v>808</v>
      </c>
    </row>
    <row r="79" spans="1:21" ht="15.75" hidden="1" customHeight="1">
      <c r="A79" s="29"/>
      <c r="B79" s="81" t="s">
        <v>77</v>
      </c>
      <c r="C79" s="16"/>
      <c r="D79" s="14"/>
      <c r="E79" s="18"/>
      <c r="F79" s="13"/>
      <c r="G79" s="13" t="s">
        <v>124</v>
      </c>
      <c r="H79" s="79" t="s">
        <v>124</v>
      </c>
      <c r="I79" s="13"/>
    </row>
    <row r="80" spans="1:21" ht="15.75" hidden="1" customHeight="1">
      <c r="A80" s="29"/>
      <c r="B80" s="44" t="s">
        <v>125</v>
      </c>
      <c r="C80" s="16" t="s">
        <v>78</v>
      </c>
      <c r="D80" s="14"/>
      <c r="E80" s="18"/>
      <c r="F80" s="13">
        <v>1.35</v>
      </c>
      <c r="G80" s="13">
        <v>2949.85</v>
      </c>
      <c r="H80" s="79">
        <f t="shared" si="7"/>
        <v>3.9822975</v>
      </c>
      <c r="I80" s="13">
        <v>0</v>
      </c>
    </row>
    <row r="81" spans="1:9" ht="15.75" customHeight="1">
      <c r="A81" s="29"/>
      <c r="B81" s="67" t="s">
        <v>122</v>
      </c>
      <c r="C81" s="81"/>
      <c r="D81" s="31"/>
      <c r="E81" s="32"/>
      <c r="F81" s="68"/>
      <c r="G81" s="68"/>
      <c r="H81" s="82">
        <f>SUM(H56:H80)</f>
        <v>3581.6033925360002</v>
      </c>
      <c r="I81" s="68"/>
    </row>
    <row r="82" spans="1:9" ht="15.75" customHeight="1">
      <c r="A82" s="29">
        <v>24</v>
      </c>
      <c r="B82" s="62" t="s">
        <v>123</v>
      </c>
      <c r="C82" s="16"/>
      <c r="D82" s="14"/>
      <c r="E82" s="57"/>
      <c r="F82" s="13">
        <v>1</v>
      </c>
      <c r="G82" s="13">
        <v>19342.2</v>
      </c>
      <c r="H82" s="79">
        <f>G82*F82/1000</f>
        <v>19.342200000000002</v>
      </c>
      <c r="I82" s="13">
        <v>1209.7</v>
      </c>
    </row>
    <row r="83" spans="1:9" ht="15.75" customHeight="1">
      <c r="A83" s="191" t="s">
        <v>133</v>
      </c>
      <c r="B83" s="192"/>
      <c r="C83" s="192"/>
      <c r="D83" s="192"/>
      <c r="E83" s="192"/>
      <c r="F83" s="192"/>
      <c r="G83" s="192"/>
      <c r="H83" s="192"/>
      <c r="I83" s="193"/>
    </row>
    <row r="84" spans="1:9" ht="15.75" customHeight="1">
      <c r="A84" s="29">
        <v>25</v>
      </c>
      <c r="B84" s="97" t="s">
        <v>126</v>
      </c>
      <c r="C84" s="114" t="s">
        <v>57</v>
      </c>
      <c r="D84" s="130"/>
      <c r="E84" s="34">
        <v>4591.2</v>
      </c>
      <c r="F84" s="34">
        <f>SUM(E84*12)</f>
        <v>55094.399999999994</v>
      </c>
      <c r="G84" s="34">
        <v>3.38</v>
      </c>
      <c r="H84" s="79">
        <f>SUM(F84*G84/1000)</f>
        <v>186.21907199999998</v>
      </c>
      <c r="I84" s="13">
        <f>F84/12*G84</f>
        <v>15518.255999999999</v>
      </c>
    </row>
    <row r="85" spans="1:9" ht="31.5" customHeight="1">
      <c r="A85" s="29">
        <v>26</v>
      </c>
      <c r="B85" s="131" t="s">
        <v>180</v>
      </c>
      <c r="C85" s="132" t="s">
        <v>25</v>
      </c>
      <c r="D85" s="133"/>
      <c r="E85" s="134">
        <f>E84</f>
        <v>4591.2</v>
      </c>
      <c r="F85" s="119">
        <f>E85*12</f>
        <v>55094.399999999994</v>
      </c>
      <c r="G85" s="119">
        <v>3.05</v>
      </c>
      <c r="H85" s="79">
        <f>F85*G85/1000</f>
        <v>168.03791999999999</v>
      </c>
      <c r="I85" s="13">
        <f>F85/12*G85</f>
        <v>14003.159999999998</v>
      </c>
    </row>
    <row r="86" spans="1:9" ht="15.75" customHeight="1">
      <c r="A86" s="169"/>
      <c r="B86" s="36" t="s">
        <v>80</v>
      </c>
      <c r="C86" s="37"/>
      <c r="D86" s="15"/>
      <c r="E86" s="15"/>
      <c r="F86" s="15"/>
      <c r="G86" s="18"/>
      <c r="H86" s="18"/>
      <c r="I86" s="32">
        <f>I85+I84+I78+I73+I71+I65+I60+I57+I52+I51+I50+I49+I48+I47+I46++I44+I45+I32+I30+I29+I21+I20+I18+I17+I16+I82</f>
        <v>95524.006913833335</v>
      </c>
    </row>
    <row r="87" spans="1:9" ht="15.75" customHeight="1">
      <c r="A87" s="188" t="s">
        <v>62</v>
      </c>
      <c r="B87" s="189"/>
      <c r="C87" s="189"/>
      <c r="D87" s="189"/>
      <c r="E87" s="189"/>
      <c r="F87" s="189"/>
      <c r="G87" s="189"/>
      <c r="H87" s="189"/>
      <c r="I87" s="190"/>
    </row>
    <row r="88" spans="1:9" ht="15.75" customHeight="1">
      <c r="A88" s="29">
        <v>27</v>
      </c>
      <c r="B88" s="95" t="s">
        <v>155</v>
      </c>
      <c r="C88" s="114" t="s">
        <v>159</v>
      </c>
      <c r="D88" s="95" t="s">
        <v>327</v>
      </c>
      <c r="E88" s="34"/>
      <c r="F88" s="34">
        <v>98</v>
      </c>
      <c r="G88" s="34">
        <v>295.36</v>
      </c>
      <c r="H88" s="94"/>
      <c r="I88" s="13">
        <v>0</v>
      </c>
    </row>
    <row r="89" spans="1:9" ht="15.75" customHeight="1">
      <c r="A89" s="29">
        <v>28</v>
      </c>
      <c r="B89" s="95" t="s">
        <v>320</v>
      </c>
      <c r="C89" s="114" t="s">
        <v>292</v>
      </c>
      <c r="D89" s="95"/>
      <c r="E89" s="34"/>
      <c r="F89" s="34">
        <v>1</v>
      </c>
      <c r="G89" s="34">
        <v>236.08</v>
      </c>
      <c r="H89" s="94"/>
      <c r="I89" s="13">
        <f>G89*1</f>
        <v>236.08</v>
      </c>
    </row>
    <row r="90" spans="1:9" ht="28.5" customHeight="1">
      <c r="A90" s="29">
        <v>29</v>
      </c>
      <c r="B90" s="92" t="s">
        <v>163</v>
      </c>
      <c r="C90" s="93" t="s">
        <v>88</v>
      </c>
      <c r="D90" s="95" t="s">
        <v>324</v>
      </c>
      <c r="E90" s="34"/>
      <c r="F90" s="34">
        <v>1</v>
      </c>
      <c r="G90" s="34">
        <v>697.33</v>
      </c>
      <c r="H90" s="94"/>
      <c r="I90" s="13">
        <f>G90*1</f>
        <v>697.33</v>
      </c>
    </row>
    <row r="91" spans="1:9" ht="30" customHeight="1">
      <c r="A91" s="29">
        <v>30</v>
      </c>
      <c r="B91" s="92" t="s">
        <v>274</v>
      </c>
      <c r="C91" s="93" t="s">
        <v>202</v>
      </c>
      <c r="D91" s="95" t="s">
        <v>325</v>
      </c>
      <c r="E91" s="34"/>
      <c r="F91" s="34">
        <f>0.197+0.98+0.19</f>
        <v>1.367</v>
      </c>
      <c r="G91" s="34">
        <v>5273.1</v>
      </c>
      <c r="H91" s="94"/>
      <c r="I91" s="13">
        <f>G91*0.19</f>
        <v>1001.8890000000001</v>
      </c>
    </row>
    <row r="92" spans="1:9" ht="19.5" customHeight="1">
      <c r="A92" s="29">
        <v>31</v>
      </c>
      <c r="B92" s="92" t="s">
        <v>204</v>
      </c>
      <c r="C92" s="93" t="s">
        <v>116</v>
      </c>
      <c r="D92" s="95" t="s">
        <v>262</v>
      </c>
      <c r="E92" s="34"/>
      <c r="F92" s="34">
        <v>7</v>
      </c>
      <c r="G92" s="34">
        <v>420</v>
      </c>
      <c r="H92" s="94"/>
      <c r="I92" s="13">
        <f>G92*1</f>
        <v>420</v>
      </c>
    </row>
    <row r="93" spans="1:9" ht="28.5" customHeight="1">
      <c r="A93" s="29">
        <v>32</v>
      </c>
      <c r="B93" s="92" t="s">
        <v>321</v>
      </c>
      <c r="C93" s="93" t="s">
        <v>29</v>
      </c>
      <c r="D93" s="95"/>
      <c r="E93" s="34"/>
      <c r="F93" s="34">
        <f>0.257+0.04</f>
        <v>0.29699999999999999</v>
      </c>
      <c r="G93" s="34">
        <v>4683.09</v>
      </c>
      <c r="H93" s="94"/>
      <c r="I93" s="13">
        <f>G93*0.04</f>
        <v>187.3236</v>
      </c>
    </row>
    <row r="94" spans="1:9" ht="15.75" customHeight="1">
      <c r="A94" s="29">
        <v>33</v>
      </c>
      <c r="B94" s="92" t="s">
        <v>322</v>
      </c>
      <c r="C94" s="93" t="s">
        <v>323</v>
      </c>
      <c r="D94" s="95"/>
      <c r="E94" s="34"/>
      <c r="F94" s="34">
        <v>0.2</v>
      </c>
      <c r="G94" s="34">
        <v>2601.6999999999998</v>
      </c>
      <c r="H94" s="94"/>
      <c r="I94" s="13">
        <f>G94*0.2</f>
        <v>520.34</v>
      </c>
    </row>
    <row r="95" spans="1:9" ht="15.75" customHeight="1">
      <c r="A95" s="29">
        <v>34</v>
      </c>
      <c r="B95" s="92" t="s">
        <v>208</v>
      </c>
      <c r="C95" s="93" t="s">
        <v>83</v>
      </c>
      <c r="D95" s="95" t="s">
        <v>326</v>
      </c>
      <c r="E95" s="34"/>
      <c r="F95" s="34">
        <v>6</v>
      </c>
      <c r="G95" s="34">
        <v>231.54</v>
      </c>
      <c r="H95" s="94"/>
      <c r="I95" s="13">
        <v>0</v>
      </c>
    </row>
    <row r="96" spans="1:9" ht="15.75" customHeight="1">
      <c r="A96" s="29">
        <v>35</v>
      </c>
      <c r="B96" s="92" t="s">
        <v>254</v>
      </c>
      <c r="C96" s="93" t="s">
        <v>41</v>
      </c>
      <c r="D96" s="95" t="s">
        <v>170</v>
      </c>
      <c r="E96" s="34"/>
      <c r="F96" s="34">
        <v>0.03</v>
      </c>
      <c r="G96" s="34">
        <v>28224.75</v>
      </c>
      <c r="H96" s="94"/>
      <c r="I96" s="13">
        <v>0</v>
      </c>
    </row>
    <row r="97" spans="1:9" ht="15.75" customHeight="1">
      <c r="A97" s="29"/>
      <c r="B97" s="42" t="s">
        <v>53</v>
      </c>
      <c r="C97" s="38"/>
      <c r="D97" s="46"/>
      <c r="E97" s="38">
        <v>1</v>
      </c>
      <c r="F97" s="38"/>
      <c r="G97" s="38"/>
      <c r="H97" s="38"/>
      <c r="I97" s="32">
        <f>SUM(I88:I95)</f>
        <v>3062.9626000000003</v>
      </c>
    </row>
    <row r="98" spans="1:9" ht="15.75" customHeight="1">
      <c r="A98" s="29"/>
      <c r="B98" s="44" t="s">
        <v>79</v>
      </c>
      <c r="C98" s="15"/>
      <c r="D98" s="15"/>
      <c r="E98" s="39"/>
      <c r="F98" s="39"/>
      <c r="G98" s="40"/>
      <c r="H98" s="40"/>
      <c r="I98" s="17">
        <v>0</v>
      </c>
    </row>
    <row r="99" spans="1:9" ht="15.75" customHeight="1">
      <c r="A99" s="47"/>
      <c r="B99" s="43" t="s">
        <v>150</v>
      </c>
      <c r="C99" s="33"/>
      <c r="D99" s="33"/>
      <c r="E99" s="33"/>
      <c r="F99" s="33"/>
      <c r="G99" s="33"/>
      <c r="H99" s="33"/>
      <c r="I99" s="41">
        <f>I86+I97</f>
        <v>98586.969513833334</v>
      </c>
    </row>
    <row r="100" spans="1:9" ht="15.75" customHeight="1">
      <c r="A100" s="185" t="s">
        <v>328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55"/>
      <c r="B101" s="186" t="s">
        <v>329</v>
      </c>
      <c r="C101" s="186"/>
      <c r="D101" s="186"/>
      <c r="E101" s="186"/>
      <c r="F101" s="186"/>
      <c r="G101" s="186"/>
      <c r="H101" s="61"/>
      <c r="I101" s="3"/>
    </row>
    <row r="102" spans="1:9" ht="15.75" customHeight="1">
      <c r="A102" s="49"/>
      <c r="B102" s="176" t="s">
        <v>6</v>
      </c>
      <c r="C102" s="176"/>
      <c r="D102" s="176"/>
      <c r="E102" s="176"/>
      <c r="F102" s="176"/>
      <c r="G102" s="176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87" t="s">
        <v>7</v>
      </c>
      <c r="B104" s="187"/>
      <c r="C104" s="187"/>
      <c r="D104" s="187"/>
      <c r="E104" s="187"/>
      <c r="F104" s="187"/>
      <c r="G104" s="187"/>
      <c r="H104" s="187"/>
      <c r="I104" s="187"/>
    </row>
    <row r="105" spans="1:9" ht="15.75" customHeight="1">
      <c r="A105" s="187" t="s">
        <v>8</v>
      </c>
      <c r="B105" s="187"/>
      <c r="C105" s="187"/>
      <c r="D105" s="187"/>
      <c r="E105" s="187"/>
      <c r="F105" s="187"/>
      <c r="G105" s="187"/>
      <c r="H105" s="187"/>
      <c r="I105" s="187"/>
    </row>
    <row r="106" spans="1:9" ht="15.75" customHeight="1">
      <c r="A106" s="180" t="s">
        <v>63</v>
      </c>
      <c r="B106" s="180"/>
      <c r="C106" s="180"/>
      <c r="D106" s="180"/>
      <c r="E106" s="180"/>
      <c r="F106" s="180"/>
      <c r="G106" s="180"/>
      <c r="H106" s="180"/>
      <c r="I106" s="180"/>
    </row>
    <row r="107" spans="1:9" ht="15.75" customHeight="1">
      <c r="A107" s="11"/>
    </row>
    <row r="108" spans="1:9" ht="15.75" customHeight="1">
      <c r="A108" s="174" t="s">
        <v>9</v>
      </c>
      <c r="B108" s="174"/>
      <c r="C108" s="174"/>
      <c r="D108" s="174"/>
      <c r="E108" s="174"/>
      <c r="F108" s="174"/>
      <c r="G108" s="174"/>
      <c r="H108" s="174"/>
      <c r="I108" s="174"/>
    </row>
    <row r="109" spans="1:9" ht="15.75" customHeight="1">
      <c r="A109" s="4"/>
    </row>
    <row r="110" spans="1:9" ht="15.75" customHeight="1">
      <c r="B110" s="52" t="s">
        <v>10</v>
      </c>
      <c r="C110" s="175" t="s">
        <v>206</v>
      </c>
      <c r="D110" s="175"/>
      <c r="E110" s="175"/>
      <c r="F110" s="59"/>
      <c r="I110" s="51"/>
    </row>
    <row r="111" spans="1:9" ht="15.75" customHeight="1">
      <c r="A111" s="49"/>
      <c r="C111" s="176" t="s">
        <v>11</v>
      </c>
      <c r="D111" s="176"/>
      <c r="E111" s="176"/>
      <c r="F111" s="24"/>
      <c r="I111" s="50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52" t="s">
        <v>13</v>
      </c>
      <c r="C113" s="177"/>
      <c r="D113" s="177"/>
      <c r="E113" s="177"/>
      <c r="F113" s="60"/>
      <c r="I113" s="51"/>
    </row>
    <row r="114" spans="1:9" ht="15.75" customHeight="1">
      <c r="A114" s="49"/>
      <c r="C114" s="178" t="s">
        <v>11</v>
      </c>
      <c r="D114" s="178"/>
      <c r="E114" s="178"/>
      <c r="F114" s="49"/>
      <c r="I114" s="50" t="s">
        <v>12</v>
      </c>
    </row>
    <row r="115" spans="1:9" ht="15.75" customHeight="1">
      <c r="A115" s="4" t="s">
        <v>14</v>
      </c>
    </row>
    <row r="116" spans="1:9" ht="15.75" customHeight="1">
      <c r="A116" s="179" t="s">
        <v>15</v>
      </c>
      <c r="B116" s="179"/>
      <c r="C116" s="179"/>
      <c r="D116" s="179"/>
      <c r="E116" s="179"/>
      <c r="F116" s="179"/>
      <c r="G116" s="179"/>
      <c r="H116" s="179"/>
      <c r="I116" s="179"/>
    </row>
    <row r="117" spans="1:9" ht="45" customHeight="1">
      <c r="A117" s="173" t="s">
        <v>16</v>
      </c>
      <c r="B117" s="173"/>
      <c r="C117" s="173"/>
      <c r="D117" s="173"/>
      <c r="E117" s="173"/>
      <c r="F117" s="173"/>
      <c r="G117" s="173"/>
      <c r="H117" s="173"/>
      <c r="I117" s="173"/>
    </row>
    <row r="118" spans="1:9" ht="30" customHeight="1">
      <c r="A118" s="173" t="s">
        <v>17</v>
      </c>
      <c r="B118" s="173"/>
      <c r="C118" s="173"/>
      <c r="D118" s="173"/>
      <c r="E118" s="173"/>
      <c r="F118" s="173"/>
      <c r="G118" s="173"/>
      <c r="H118" s="173"/>
      <c r="I118" s="173"/>
    </row>
    <row r="119" spans="1:9" ht="30" customHeight="1">
      <c r="A119" s="173" t="s">
        <v>21</v>
      </c>
      <c r="B119" s="173"/>
      <c r="C119" s="173"/>
      <c r="D119" s="173"/>
      <c r="E119" s="173"/>
      <c r="F119" s="173"/>
      <c r="G119" s="173"/>
      <c r="H119" s="173"/>
      <c r="I119" s="173"/>
    </row>
    <row r="120" spans="1:9" ht="15" customHeight="1">
      <c r="A120" s="173" t="s">
        <v>20</v>
      </c>
      <c r="B120" s="173"/>
      <c r="C120" s="173"/>
      <c r="D120" s="173"/>
      <c r="E120" s="173"/>
      <c r="F120" s="173"/>
      <c r="G120" s="173"/>
      <c r="H120" s="173"/>
      <c r="I120" s="173"/>
    </row>
  </sheetData>
  <autoFilter ref="I12:I61"/>
  <mergeCells count="29">
    <mergeCell ref="R66:U66"/>
    <mergeCell ref="A83:I83"/>
    <mergeCell ref="A3:I3"/>
    <mergeCell ref="A4:I4"/>
    <mergeCell ref="A5:I5"/>
    <mergeCell ref="A8:I8"/>
    <mergeCell ref="A10:I10"/>
    <mergeCell ref="A14:I14"/>
    <mergeCell ref="A106:I106"/>
    <mergeCell ref="A15:I15"/>
    <mergeCell ref="A27:I27"/>
    <mergeCell ref="A43:I43"/>
    <mergeCell ref="A54:I54"/>
    <mergeCell ref="A100:I100"/>
    <mergeCell ref="B101:G101"/>
    <mergeCell ref="B102:G102"/>
    <mergeCell ref="A104:I104"/>
    <mergeCell ref="A105:I105"/>
    <mergeCell ref="A87:I87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2021-02-11T08:36:52Z</cp:lastPrinted>
  <dcterms:created xsi:type="dcterms:W3CDTF">2016-03-25T08:33:47Z</dcterms:created>
  <dcterms:modified xsi:type="dcterms:W3CDTF">2022-01-19T13:28:00Z</dcterms:modified>
</cp:coreProperties>
</file>