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20115" windowHeight="7905"/>
  </bookViews>
  <sheets>
    <sheet name="Стр.,5" sheetId="1" r:id="rId1"/>
  </sheets>
  <definedNames>
    <definedName name="_xlnm.Print_Area" localSheetId="0">'Стр.,5'!$A$1:$U$160</definedName>
  </definedNames>
  <calcPr calcId="124519"/>
</workbook>
</file>

<file path=xl/calcChain.xml><?xml version="1.0" encoding="utf-8"?>
<calcChain xmlns="http://schemas.openxmlformats.org/spreadsheetml/2006/main">
  <c r="U146" i="1"/>
  <c r="S146"/>
  <c r="H146"/>
  <c r="U145"/>
  <c r="S145"/>
  <c r="H145"/>
  <c r="L40" l="1"/>
  <c r="K40"/>
  <c r="F40"/>
  <c r="T62"/>
  <c r="C158" l="1"/>
  <c r="C155"/>
  <c r="F144"/>
  <c r="S144" s="1"/>
  <c r="U144" s="1"/>
  <c r="T111"/>
  <c r="K112"/>
  <c r="H112"/>
  <c r="H144" l="1"/>
  <c r="T112"/>
  <c r="U112" s="1"/>
  <c r="T147"/>
  <c r="U147" s="1"/>
  <c r="H147"/>
  <c r="T116"/>
  <c r="T71"/>
  <c r="T136"/>
  <c r="F117"/>
  <c r="S143"/>
  <c r="U143" s="1"/>
  <c r="F143"/>
  <c r="H143" s="1"/>
  <c r="R111"/>
  <c r="R71"/>
  <c r="T94"/>
  <c r="S94"/>
  <c r="R94"/>
  <c r="Q94"/>
  <c r="T98"/>
  <c r="F98"/>
  <c r="T91"/>
  <c r="S62"/>
  <c r="R113"/>
  <c r="R88"/>
  <c r="R98"/>
  <c r="R110"/>
  <c r="R142"/>
  <c r="U142" s="1"/>
  <c r="H142"/>
  <c r="R105" l="1"/>
  <c r="R127"/>
  <c r="R104"/>
  <c r="R114"/>
  <c r="R128"/>
  <c r="R106"/>
  <c r="R100"/>
  <c r="R62"/>
  <c r="U59"/>
  <c r="U63"/>
  <c r="U72"/>
  <c r="U73"/>
  <c r="U75"/>
  <c r="U29"/>
  <c r="U30"/>
  <c r="P98"/>
  <c r="P110"/>
  <c r="O130"/>
  <c r="U130" s="1"/>
  <c r="H130"/>
  <c r="O103" l="1"/>
  <c r="O104"/>
  <c r="O106"/>
  <c r="O129"/>
  <c r="U129" s="1"/>
  <c r="H129"/>
  <c r="O102"/>
  <c r="O125"/>
  <c r="U125" s="1"/>
  <c r="O100"/>
  <c r="Q62"/>
  <c r="P94"/>
  <c r="Q111"/>
  <c r="Q141"/>
  <c r="U141" s="1"/>
  <c r="Q98"/>
  <c r="Q92"/>
  <c r="Q110"/>
  <c r="Q140"/>
  <c r="U140" s="1"/>
  <c r="H140"/>
  <c r="Q88"/>
  <c r="P135" l="1"/>
  <c r="U135" s="1"/>
  <c r="H135"/>
  <c r="P138"/>
  <c r="U138" s="1"/>
  <c r="P139"/>
  <c r="U139" s="1"/>
  <c r="H138"/>
  <c r="H139"/>
  <c r="F137"/>
  <c r="P137" s="1"/>
  <c r="U137" s="1"/>
  <c r="H137" l="1"/>
  <c r="O95"/>
  <c r="O133"/>
  <c r="U133" s="1"/>
  <c r="H133"/>
  <c r="N124" l="1"/>
  <c r="U124" s="1"/>
  <c r="O131"/>
  <c r="U131" s="1"/>
  <c r="H131"/>
  <c r="O132"/>
  <c r="U132" s="1"/>
  <c r="H124"/>
  <c r="F132"/>
  <c r="H132" s="1"/>
  <c r="P111"/>
  <c r="P136"/>
  <c r="U136" s="1"/>
  <c r="O94"/>
  <c r="N94"/>
  <c r="O111"/>
  <c r="O116"/>
  <c r="N123"/>
  <c r="U123" s="1"/>
  <c r="F123"/>
  <c r="H123" s="1"/>
  <c r="P62"/>
  <c r="P134"/>
  <c r="U134" s="1"/>
  <c r="P119"/>
  <c r="O110"/>
  <c r="O62"/>
  <c r="O98"/>
  <c r="O108"/>
  <c r="O105"/>
  <c r="O128"/>
  <c r="U128" s="1"/>
  <c r="H128"/>
  <c r="O127"/>
  <c r="U127" s="1"/>
  <c r="H127"/>
  <c r="O126"/>
  <c r="U126" s="1"/>
  <c r="H126"/>
  <c r="H125"/>
  <c r="N100"/>
  <c r="O92"/>
  <c r="O88"/>
  <c r="N88"/>
  <c r="N91"/>
  <c r="N110"/>
  <c r="N92"/>
  <c r="N98"/>
  <c r="N62"/>
  <c r="N122"/>
  <c r="U122" s="1"/>
  <c r="H122"/>
  <c r="N121"/>
  <c r="U121" s="1"/>
  <c r="H121"/>
  <c r="N120"/>
  <c r="U120" s="1"/>
  <c r="H120"/>
  <c r="L110"/>
  <c r="L91"/>
  <c r="L88"/>
  <c r="M98"/>
  <c r="M62"/>
  <c r="M118"/>
  <c r="U118" s="1"/>
  <c r="H118"/>
  <c r="M119"/>
  <c r="U119" s="1"/>
  <c r="H119"/>
  <c r="L117"/>
  <c r="U117" s="1"/>
  <c r="H117"/>
  <c r="M94" l="1"/>
  <c r="L94"/>
  <c r="L111"/>
  <c r="L71"/>
  <c r="L116"/>
  <c r="U116" s="1"/>
  <c r="K71"/>
  <c r="K94"/>
  <c r="K111"/>
  <c r="U111" s="1"/>
  <c r="U71" l="1"/>
  <c r="L62"/>
  <c r="L98"/>
  <c r="L115"/>
  <c r="U115" s="1"/>
  <c r="H115"/>
  <c r="L108"/>
  <c r="L106"/>
  <c r="L114"/>
  <c r="U114" s="1"/>
  <c r="H114"/>
  <c r="L100" l="1"/>
  <c r="L113"/>
  <c r="U113" s="1"/>
  <c r="H113"/>
  <c r="K110" l="1"/>
  <c r="U110" s="1"/>
  <c r="K98"/>
  <c r="K88"/>
  <c r="K109"/>
  <c r="U109" s="1"/>
  <c r="H109"/>
  <c r="K108" l="1"/>
  <c r="U108" s="1"/>
  <c r="H108"/>
  <c r="K106" l="1"/>
  <c r="U106" s="1"/>
  <c r="K100"/>
  <c r="U100" s="1"/>
  <c r="K107"/>
  <c r="U107" s="1"/>
  <c r="H107"/>
  <c r="K93"/>
  <c r="K92"/>
  <c r="K103"/>
  <c r="U103" s="1"/>
  <c r="H103"/>
  <c r="K105"/>
  <c r="U105" s="1"/>
  <c r="H105"/>
  <c r="H106" l="1"/>
  <c r="K104"/>
  <c r="U104" s="1"/>
  <c r="H104"/>
  <c r="K102" l="1"/>
  <c r="U102" s="1"/>
  <c r="H102"/>
  <c r="K101" l="1"/>
  <c r="U101" s="1"/>
  <c r="H101"/>
  <c r="H100"/>
  <c r="L37" l="1"/>
  <c r="U37" s="1"/>
  <c r="J95"/>
  <c r="J94"/>
  <c r="J99"/>
  <c r="U99" s="1"/>
  <c r="H99"/>
  <c r="J62" l="1"/>
  <c r="J98"/>
  <c r="U98" s="1"/>
  <c r="J88"/>
  <c r="J97"/>
  <c r="U97" s="1"/>
  <c r="H97"/>
  <c r="H89" l="1"/>
  <c r="H90"/>
  <c r="H91"/>
  <c r="H92"/>
  <c r="H93"/>
  <c r="H94"/>
  <c r="H95"/>
  <c r="H96"/>
  <c r="I96"/>
  <c r="U96" s="1"/>
  <c r="I95"/>
  <c r="U95" s="1"/>
  <c r="I94"/>
  <c r="U94" s="1"/>
  <c r="I62"/>
  <c r="U62" s="1"/>
  <c r="I93"/>
  <c r="U93" s="1"/>
  <c r="I92"/>
  <c r="U92" s="1"/>
  <c r="I91"/>
  <c r="U91" s="1"/>
  <c r="I90"/>
  <c r="U90" s="1"/>
  <c r="I89" l="1"/>
  <c r="U89" s="1"/>
  <c r="I88"/>
  <c r="U88" s="1"/>
  <c r="U148" l="1"/>
  <c r="H110" l="1"/>
  <c r="H98" l="1"/>
  <c r="P52" l="1"/>
  <c r="L52"/>
  <c r="Q51"/>
  <c r="L48"/>
  <c r="H116" l="1"/>
  <c r="H141" l="1"/>
  <c r="H136" l="1"/>
  <c r="H134"/>
  <c r="L77"/>
  <c r="U77" s="1"/>
  <c r="T41" l="1"/>
  <c r="S41"/>
  <c r="T35"/>
  <c r="S35"/>
  <c r="T34"/>
  <c r="S34"/>
  <c r="Q69"/>
  <c r="U69" s="1"/>
  <c r="I56"/>
  <c r="U56" s="1"/>
  <c r="F27"/>
  <c r="R27" s="1"/>
  <c r="H88"/>
  <c r="L41"/>
  <c r="L35"/>
  <c r="L34"/>
  <c r="H111"/>
  <c r="K41"/>
  <c r="K35"/>
  <c r="K34"/>
  <c r="O27" l="1"/>
  <c r="Q27"/>
  <c r="M27"/>
  <c r="N27"/>
  <c r="P27"/>
  <c r="H77"/>
  <c r="U27" l="1"/>
  <c r="F78"/>
  <c r="J78" s="1"/>
  <c r="F57"/>
  <c r="K51"/>
  <c r="U51" s="1"/>
  <c r="J41"/>
  <c r="J35"/>
  <c r="J34"/>
  <c r="H148"/>
  <c r="I41"/>
  <c r="U41" s="1"/>
  <c r="F52"/>
  <c r="T52" s="1"/>
  <c r="U52" s="1"/>
  <c r="I35"/>
  <c r="I34"/>
  <c r="U35" l="1"/>
  <c r="H57"/>
  <c r="J57"/>
  <c r="U57" s="1"/>
  <c r="U34"/>
  <c r="K78"/>
  <c r="S78"/>
  <c r="R78"/>
  <c r="P78"/>
  <c r="N78"/>
  <c r="M78"/>
  <c r="L78"/>
  <c r="T78"/>
  <c r="Q78"/>
  <c r="O78"/>
  <c r="H56"/>
  <c r="F60"/>
  <c r="F55"/>
  <c r="F50"/>
  <c r="H35"/>
  <c r="F36"/>
  <c r="F26"/>
  <c r="F20"/>
  <c r="F19"/>
  <c r="N19" s="1"/>
  <c r="H59"/>
  <c r="O50" l="1"/>
  <c r="L50"/>
  <c r="T19"/>
  <c r="Q19"/>
  <c r="O19"/>
  <c r="M19"/>
  <c r="K19"/>
  <c r="I19"/>
  <c r="S19"/>
  <c r="R19"/>
  <c r="P19"/>
  <c r="L19"/>
  <c r="J19"/>
  <c r="S60"/>
  <c r="R60"/>
  <c r="P60"/>
  <c r="N60"/>
  <c r="M60"/>
  <c r="T60"/>
  <c r="Q60"/>
  <c r="O60"/>
  <c r="L60"/>
  <c r="T20"/>
  <c r="Q20"/>
  <c r="O20"/>
  <c r="M20"/>
  <c r="K20"/>
  <c r="I20"/>
  <c r="S20"/>
  <c r="R20"/>
  <c r="P20"/>
  <c r="N20"/>
  <c r="L20"/>
  <c r="J20"/>
  <c r="T36"/>
  <c r="S36"/>
  <c r="L36"/>
  <c r="S55"/>
  <c r="L55"/>
  <c r="T55"/>
  <c r="H60"/>
  <c r="Q26"/>
  <c r="O26"/>
  <c r="M26"/>
  <c r="R26"/>
  <c r="P26"/>
  <c r="N26"/>
  <c r="I36"/>
  <c r="K36"/>
  <c r="J36"/>
  <c r="H50"/>
  <c r="I55"/>
  <c r="K55"/>
  <c r="J55"/>
  <c r="I60"/>
  <c r="K60"/>
  <c r="J60"/>
  <c r="F45"/>
  <c r="F39"/>
  <c r="H26"/>
  <c r="F16"/>
  <c r="U60" l="1"/>
  <c r="U55"/>
  <c r="U36"/>
  <c r="U26"/>
  <c r="U20"/>
  <c r="U19"/>
  <c r="U50"/>
  <c r="M45"/>
  <c r="Q45"/>
  <c r="T39"/>
  <c r="S39"/>
  <c r="L39"/>
  <c r="T16"/>
  <c r="Q16"/>
  <c r="O16"/>
  <c r="L16"/>
  <c r="S16"/>
  <c r="R16"/>
  <c r="P16"/>
  <c r="N16"/>
  <c r="M16"/>
  <c r="I16"/>
  <c r="K16"/>
  <c r="J16"/>
  <c r="I39"/>
  <c r="K39"/>
  <c r="J39"/>
  <c r="H37"/>
  <c r="U39" l="1"/>
  <c r="U16"/>
  <c r="U45"/>
  <c r="F15"/>
  <c r="H36"/>
  <c r="H73"/>
  <c r="T15" l="1"/>
  <c r="R15"/>
  <c r="P15"/>
  <c r="N15"/>
  <c r="M15"/>
  <c r="S15"/>
  <c r="Q15"/>
  <c r="O15"/>
  <c r="L15"/>
  <c r="I15"/>
  <c r="K15"/>
  <c r="J15"/>
  <c r="H72"/>
  <c r="U15" l="1"/>
  <c r="F14"/>
  <c r="M14" s="1"/>
  <c r="U14" s="1"/>
  <c r="F17"/>
  <c r="F18"/>
  <c r="M17" l="1"/>
  <c r="U17" s="1"/>
  <c r="M18"/>
  <c r="U18" s="1"/>
  <c r="F151"/>
  <c r="H150"/>
  <c r="E80"/>
  <c r="H84" s="1"/>
  <c r="I78"/>
  <c r="U78" s="1"/>
  <c r="H75"/>
  <c r="H71"/>
  <c r="H69"/>
  <c r="F68"/>
  <c r="F67"/>
  <c r="F66"/>
  <c r="F65"/>
  <c r="F64"/>
  <c r="H63"/>
  <c r="H62"/>
  <c r="H55"/>
  <c r="H52"/>
  <c r="H51"/>
  <c r="F49"/>
  <c r="F48"/>
  <c r="F47"/>
  <c r="F46"/>
  <c r="H45"/>
  <c r="F44"/>
  <c r="H41"/>
  <c r="H39"/>
  <c r="F38"/>
  <c r="H34"/>
  <c r="F31"/>
  <c r="H30"/>
  <c r="H29"/>
  <c r="F28"/>
  <c r="H27"/>
  <c r="F25"/>
  <c r="F24"/>
  <c r="F23"/>
  <c r="H20"/>
  <c r="H18"/>
  <c r="H17"/>
  <c r="H14"/>
  <c r="F13"/>
  <c r="F12"/>
  <c r="F11"/>
  <c r="O49" l="1"/>
  <c r="M44"/>
  <c r="Q44"/>
  <c r="M46"/>
  <c r="Q46"/>
  <c r="Q48"/>
  <c r="T48"/>
  <c r="M48"/>
  <c r="M47"/>
  <c r="U47" s="1"/>
  <c r="Q47"/>
  <c r="L49"/>
  <c r="U49" s="1"/>
  <c r="H23"/>
  <c r="R23"/>
  <c r="P23"/>
  <c r="N23"/>
  <c r="M23"/>
  <c r="Q23"/>
  <c r="O23"/>
  <c r="T28"/>
  <c r="Q28"/>
  <c r="O28"/>
  <c r="S28"/>
  <c r="R28"/>
  <c r="P28"/>
  <c r="N28"/>
  <c r="M28"/>
  <c r="L28"/>
  <c r="H47"/>
  <c r="H64"/>
  <c r="M64"/>
  <c r="U64" s="1"/>
  <c r="H66"/>
  <c r="M66"/>
  <c r="U66" s="1"/>
  <c r="H68"/>
  <c r="M68"/>
  <c r="U68" s="1"/>
  <c r="T12"/>
  <c r="Q12"/>
  <c r="O12"/>
  <c r="M12"/>
  <c r="S12"/>
  <c r="R12"/>
  <c r="P12"/>
  <c r="N12"/>
  <c r="L12"/>
  <c r="H25"/>
  <c r="M25"/>
  <c r="U25" s="1"/>
  <c r="T11"/>
  <c r="R11"/>
  <c r="P11"/>
  <c r="N11"/>
  <c r="L11"/>
  <c r="S11"/>
  <c r="Q11"/>
  <c r="O11"/>
  <c r="M11"/>
  <c r="T13"/>
  <c r="R13"/>
  <c r="P13"/>
  <c r="N13"/>
  <c r="L13"/>
  <c r="S13"/>
  <c r="Q13"/>
  <c r="O13"/>
  <c r="M13"/>
  <c r="H24"/>
  <c r="Q24"/>
  <c r="O24"/>
  <c r="R24"/>
  <c r="P24"/>
  <c r="N24"/>
  <c r="M24"/>
  <c r="T31"/>
  <c r="R31"/>
  <c r="P31"/>
  <c r="N31"/>
  <c r="M31"/>
  <c r="L31"/>
  <c r="S31"/>
  <c r="Q31"/>
  <c r="O31"/>
  <c r="T38"/>
  <c r="L38"/>
  <c r="S38"/>
  <c r="H44"/>
  <c r="H46"/>
  <c r="H65"/>
  <c r="M65"/>
  <c r="U65" s="1"/>
  <c r="H67"/>
  <c r="M67"/>
  <c r="U67" s="1"/>
  <c r="I11"/>
  <c r="K11"/>
  <c r="J11"/>
  <c r="K31"/>
  <c r="J31"/>
  <c r="I12"/>
  <c r="K12"/>
  <c r="J12"/>
  <c r="I28"/>
  <c r="K28"/>
  <c r="J28"/>
  <c r="H49"/>
  <c r="I13"/>
  <c r="K13"/>
  <c r="J13"/>
  <c r="K38"/>
  <c r="J38"/>
  <c r="I48"/>
  <c r="U48" s="1"/>
  <c r="J48"/>
  <c r="H31"/>
  <c r="I31"/>
  <c r="U31" s="1"/>
  <c r="H38"/>
  <c r="I38"/>
  <c r="H40"/>
  <c r="H78"/>
  <c r="H79" s="1"/>
  <c r="U79"/>
  <c r="H28"/>
  <c r="H32" s="1"/>
  <c r="H48"/>
  <c r="H53" s="1"/>
  <c r="H11"/>
  <c r="H12"/>
  <c r="H16"/>
  <c r="H13"/>
  <c r="H15"/>
  <c r="F80"/>
  <c r="H19"/>
  <c r="H76"/>
  <c r="U40" l="1"/>
  <c r="U38"/>
  <c r="U13"/>
  <c r="U28"/>
  <c r="U11"/>
  <c r="U24"/>
  <c r="U23"/>
  <c r="U46"/>
  <c r="U44"/>
  <c r="U12"/>
  <c r="H42"/>
  <c r="S80"/>
  <c r="P80"/>
  <c r="P151" s="1"/>
  <c r="O80"/>
  <c r="T80"/>
  <c r="T151" s="1"/>
  <c r="R80"/>
  <c r="Q80"/>
  <c r="Q151" s="1"/>
  <c r="N80"/>
  <c r="M80"/>
  <c r="M151" s="1"/>
  <c r="L80"/>
  <c r="L151"/>
  <c r="U76"/>
  <c r="O151"/>
  <c r="S151"/>
  <c r="N151"/>
  <c r="R151"/>
  <c r="U42"/>
  <c r="I80"/>
  <c r="K80"/>
  <c r="K151" s="1"/>
  <c r="J80"/>
  <c r="J151" s="1"/>
  <c r="H80"/>
  <c r="H81" s="1"/>
  <c r="C157"/>
  <c r="H21"/>
  <c r="U32"/>
  <c r="U53" l="1"/>
  <c r="U80"/>
  <c r="U81" s="1"/>
  <c r="U21"/>
  <c r="I151"/>
  <c r="H82"/>
  <c r="H85" s="1"/>
  <c r="G151" s="1"/>
  <c r="H151" s="1"/>
  <c r="U82" l="1"/>
  <c r="U151" s="1"/>
  <c r="C160" s="1"/>
  <c r="C156" l="1"/>
</calcChain>
</file>

<file path=xl/sharedStrings.xml><?xml version="1.0" encoding="utf-8"?>
<sst xmlns="http://schemas.openxmlformats.org/spreadsheetml/2006/main" count="446" uniqueCount="307">
  <si>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</si>
  <si>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</si>
  <si>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</si>
  <si>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</si>
  <si>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</si>
  <si>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</si>
  <si>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</si>
  <si>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</si>
  <si>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</si>
  <si>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</si>
  <si>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</si>
  <si>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</si>
  <si>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</si>
  <si>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</si>
  <si>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</si>
  <si>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</si>
  <si>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</si>
  <si>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</si>
  <si>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</si>
  <si>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</si>
  <si>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</si>
  <si>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</si>
  <si>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</si>
  <si>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</si>
  <si>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</si>
  <si>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</si>
  <si>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</si>
  <si>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</si>
  <si>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</si>
  <si>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</si>
  <si>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</si>
  <si>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</si>
  <si>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</si>
  <si>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</si>
  <si>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</si>
  <si>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</si>
  <si>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</si>
  <si>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</si>
  <si>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</si>
  <si>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</si>
  <si>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</si>
  <si>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</si>
  <si>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</si>
  <si>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</si>
  <si>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</si>
  <si>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</si>
  <si>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</si>
  <si>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</si>
  <si>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Перекидывания снега и скола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</si>
  <si>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</si>
  <si>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</si>
  <si>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</si>
  <si>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</si>
  <si>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</si>
  <si>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</si>
  <si>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</si>
  <si>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</si>
  <si>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</si>
  <si>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</si>
  <si>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</si>
  <si>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</si>
  <si>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</si>
  <si>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</si>
  <si>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</si>
  <si>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</si>
  <si>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</si>
  <si>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</si>
  <si>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</si>
  <si>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</si>
  <si>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</si>
  <si>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</si>
  <si>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</si>
  <si>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</si>
  <si>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</si>
  <si>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</si>
  <si>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</si>
  <si>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</si>
  <si>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</si>
  <si>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</si>
  <si>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</si>
  <si>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</si>
  <si>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</si>
  <si>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</si>
  <si>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</si>
  <si>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</si>
  <si>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</si>
  <si>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</si>
  <si>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</si>
  <si>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</si>
  <si>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</si>
  <si>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</si>
  <si>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</si>
  <si>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</si>
  <si>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</si>
  <si>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</si>
  <si>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</si>
  <si>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</si>
  <si>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</si>
  <si>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</si>
  <si>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</si>
  <si>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</si>
  <si>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</si>
  <si>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</si>
  <si>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</si>
  <si>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</si>
  <si>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</si>
  <si>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 xml:space="preserve">1 раз в месяц </t>
  </si>
  <si>
    <t>Вывоз снега с придомовой территории</t>
  </si>
  <si>
    <t>1 раз в месяц</t>
  </si>
  <si>
    <t>Очистка урн от мусора</t>
  </si>
  <si>
    <t>50 раз за сезон</t>
  </si>
  <si>
    <t>Дератизация</t>
  </si>
  <si>
    <t xml:space="preserve">1 раз в месяц  </t>
  </si>
  <si>
    <t>25 раз за сезон</t>
  </si>
  <si>
    <t>Очистка  от мусора</t>
  </si>
  <si>
    <t>Очистка внутреннего водостока</t>
  </si>
  <si>
    <t>водосток</t>
  </si>
  <si>
    <t>Очистка водостоков от наледи</t>
  </si>
  <si>
    <t>4 раза в год</t>
  </si>
  <si>
    <t>Ремонт групповых щитков на лестничной клетке без ремонта автоматов</t>
  </si>
  <si>
    <t>1 шт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</si>
  <si>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</si>
  <si>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</si>
  <si>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</si>
  <si>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</si>
  <si>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</si>
  <si>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</si>
  <si>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</si>
  <si>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</si>
  <si>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</si>
  <si>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</si>
  <si>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</si>
  <si>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</si>
  <si>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Снятие показаний эл.счетчика коммунального назначения</t>
  </si>
  <si>
    <t>калькуляция</t>
  </si>
  <si>
    <t>5 этажей, 6 подъездов</t>
  </si>
  <si>
    <t>Стоимость (руб.)</t>
  </si>
  <si>
    <t>договор</t>
  </si>
  <si>
    <t>ТО внутридомового газ.оборудования</t>
  </si>
  <si>
    <t>Подключение и отключение сварочного аппарата</t>
  </si>
  <si>
    <t>место</t>
  </si>
  <si>
    <t>Выполне ние       май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</si>
  <si>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</si>
  <si>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</si>
  <si>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дверных приборов (замки навесные)</t>
  </si>
  <si>
    <t>Установка заглушек диаметром трубопроводов до 100 мм</t>
  </si>
  <si>
    <t>заглушка</t>
  </si>
  <si>
    <t>Внеплановая проверка вентканалов</t>
  </si>
  <si>
    <t>Смена арматуры - вентилей и клапанов обратных муфтовых диаметром до 20 мм</t>
  </si>
  <si>
    <t>1 сгон</t>
  </si>
  <si>
    <t>1 м</t>
  </si>
  <si>
    <t xml:space="preserve">Погрузка травы, ветвей </t>
  </si>
  <si>
    <t xml:space="preserve">Пескопосыпка территории: крыльца и тротуары </t>
  </si>
  <si>
    <t>Очистка края кровли от слежавшегося снега со сбрасыванием сосулек (козырьки)</t>
  </si>
  <si>
    <t>смета</t>
  </si>
  <si>
    <t>Смена арматуры - вентилей и клапанов обратных муфтовых диаметром до 32 мм</t>
  </si>
  <si>
    <t>Смена сгонов у трубопроводов диаметром до  32 мм</t>
  </si>
  <si>
    <t>Внеплановый осмотр электросетей, армазуры и электрооборудования на лестничных клетках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</si>
  <si>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</si>
  <si>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</si>
  <si>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</si>
  <si>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</si>
  <si>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</si>
  <si>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Стоимость песка -100м2-0,002м3</t>
  </si>
  <si>
    <t>Устройство хомута диаметром до 50 мм</t>
  </si>
  <si>
    <t>100шт</t>
  </si>
  <si>
    <t>маш/час</t>
  </si>
  <si>
    <t>Сдвигание снега в дни снегопада (крыльца, тротуары)</t>
  </si>
  <si>
    <t>Осмотр рулонной кровли</t>
  </si>
  <si>
    <t>счёт</t>
  </si>
  <si>
    <t>Манжета 110 мм</t>
  </si>
  <si>
    <t>3м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</si>
  <si>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</si>
  <si>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</si>
  <si>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</si>
  <si>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</si>
  <si>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</si>
  <si>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</si>
  <si>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</si>
  <si>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</si>
  <si>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</si>
  <si>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</si>
  <si>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</si>
  <si>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</si>
  <si>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</si>
  <si>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</si>
  <si>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</si>
  <si>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</si>
  <si>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</si>
  <si>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54-035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</si>
  <si>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</si>
  <si>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</si>
  <si>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</si>
  <si>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</si>
  <si>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</si>
  <si>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</si>
  <si>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</si>
  <si>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</si>
  <si>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</si>
  <si>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</si>
  <si>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</si>
  <si>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пр.ТЕР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</si>
  <si>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</si>
  <si>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</si>
  <si>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</si>
  <si>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</si>
  <si>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</si>
  <si>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</si>
  <si>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</si>
  <si>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</si>
  <si>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</si>
  <si>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</si>
  <si>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</si>
  <si>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пр.ТЕР 33-023</t>
  </si>
  <si>
    <t>ТЕР 33-037</t>
  </si>
  <si>
    <t>ТЕР 15-051</t>
  </si>
  <si>
    <t>ТЕР 2-2-1-2-7</t>
  </si>
  <si>
    <t>ТЕР 33-060</t>
  </si>
  <si>
    <t>ТЕР 32-027</t>
  </si>
  <si>
    <t>ТЕР 31-012</t>
  </si>
  <si>
    <t>ТЕР 2-1-1б</t>
  </si>
  <si>
    <t>пр.ТЕР 32-098</t>
  </si>
  <si>
    <t>ТЕР 33-030</t>
  </si>
  <si>
    <t>ТЕР 32-028</t>
  </si>
  <si>
    <t xml:space="preserve">ТЕР 31-010 </t>
  </si>
  <si>
    <t>пр.ТЕР 32-083</t>
  </si>
  <si>
    <t>Смена трубопроводов на полипропиленовые трубы PN25 диаметром 20 мм</t>
  </si>
  <si>
    <t>Смена трубопроводов на полипропиленовые трубы PN25 диаметром 25 мм</t>
  </si>
  <si>
    <t>Дезинфекция подвала</t>
  </si>
  <si>
    <t>Отвод 110*45°</t>
  </si>
  <si>
    <t>Баланс выполненных работ на 01.01.2017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</si>
  <si>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Строительная, 5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</si>
  <si>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С учетом показателя инфляции (К=1,054)</t>
  </si>
  <si>
    <t>Смена вентилей диаметром до 32 мм (без стоимости материалов)</t>
  </si>
  <si>
    <t>пр.ТЕР 32-071</t>
  </si>
  <si>
    <t>Ревизия вентеля диаметром до 20 мм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</si>
  <si>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</si>
  <si>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</si>
  <si>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</si>
  <si>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</si>
  <si>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пр.ТЕР 32-027</t>
  </si>
  <si>
    <t>Смена трубопроводов на металл-полимерные трубы диамером 15 мм</t>
  </si>
  <si>
    <t>Смена вентилей диаметром до 20 мм (без стоимости материалов)</t>
  </si>
  <si>
    <t>Смена полиэтиленовых канализационных труб 110×2000 мм</t>
  </si>
  <si>
    <t>Тройник 100-90°</t>
  </si>
  <si>
    <r>
      <t>Переход 110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</t>
    </r>
  </si>
  <si>
    <r>
      <t>Отвод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45°</t>
    </r>
  </si>
  <si>
    <t xml:space="preserve">Переход чугун-пластик Ду 110 </t>
  </si>
  <si>
    <t>пр.ТЕР 32-082</t>
  </si>
  <si>
    <r>
      <t>Смена полипропиленовых канализационных труб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 xml:space="preserve">2000 мм </t>
    </r>
  </si>
  <si>
    <r>
      <t>Отвод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90°</t>
    </r>
  </si>
  <si>
    <t>Прочистка засоров канализации</t>
  </si>
  <si>
    <t>пр.ТЕР 32-101</t>
  </si>
  <si>
    <r>
      <t>Патрубок компенсационный ПП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 xml:space="preserve"> 100</t>
    </r>
  </si>
  <si>
    <t>пр.ТЕР 15-006</t>
  </si>
  <si>
    <t xml:space="preserve">Ремонт дверных полотен </t>
  </si>
  <si>
    <t>ТЕР 17-011</t>
  </si>
  <si>
    <t>10 м2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</si>
  <si>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</si>
  <si>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Прочистка фановой трубы</t>
  </si>
  <si>
    <t>пр.ТЕР 32-035</t>
  </si>
  <si>
    <t>Смена арматуры - задвижек диаметром 80 мм</t>
  </si>
  <si>
    <t>ТЕР 32-091</t>
  </si>
  <si>
    <t xml:space="preserve">Смена внутренних трубопроводов из стальных труб диаметром до 80 мм </t>
  </si>
  <si>
    <t>ТЕР 32-086</t>
  </si>
  <si>
    <t>Смена внутренних трубопроводов из стальных труб диаметром до 25 мм</t>
  </si>
  <si>
    <t>Смена арматуры - вентилей и клапанов обратных муфтовых диаметром до 50 мм</t>
  </si>
  <si>
    <t>ТЕР 32-029</t>
  </si>
  <si>
    <r>
      <t>Тройник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50/90°</t>
    </r>
  </si>
  <si>
    <r>
      <t>Тройник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50/45°</t>
    </r>
  </si>
  <si>
    <t xml:space="preserve">Переход чугун-пластик Ду 50 </t>
  </si>
  <si>
    <t>Ревизия 110</t>
  </si>
  <si>
    <t>Внеплановый осмотр элекгросетей, арматуры и электрооборудования на чердаках и подвалах</t>
  </si>
  <si>
    <t>Ремонт штукатурки балкона цементно-известковым раствором площадью до 10 м2 толщиной слоя до 20 мм</t>
  </si>
  <si>
    <t>пр.ТЕР 21-007</t>
  </si>
  <si>
    <t>Устройство стяжек цементных толщиной 20 мм</t>
  </si>
  <si>
    <t>пр.ТЕР 16-038</t>
  </si>
  <si>
    <t>пр.ТЕР 15-046</t>
  </si>
  <si>
    <t>Укрепление стекол в оконной раме</t>
  </si>
  <si>
    <t>пр.ТЭР 24-046</t>
  </si>
  <si>
    <t>Установка почтовых ящиков</t>
  </si>
  <si>
    <t>пр.ТЕР 22-038</t>
  </si>
  <si>
    <t>Работа гона</t>
  </si>
  <si>
    <t>пр.ТЕР 16-005</t>
  </si>
  <si>
    <t>Ремонт деревянного настила (IV под.)</t>
  </si>
  <si>
    <t>Простая масляная окраска ранее окрашенных входных металлических дверей (I-VI под.)</t>
  </si>
  <si>
    <t>Смена трубопроводов на полипропиленовые трубы PN25 диаметром до 32 мм</t>
  </si>
  <si>
    <t>1м</t>
  </si>
  <si>
    <t>пр.ТЕР 31-047</t>
  </si>
  <si>
    <t>Смена пробко-спускных кранов (без материала)</t>
  </si>
  <si>
    <t>Тройник 100-45°</t>
  </si>
  <si>
    <t>пр.ТЕР 2-2-1-2-17</t>
  </si>
  <si>
    <t xml:space="preserve">Герметизация стыков трубопроводов    </t>
  </si>
  <si>
    <t>1 место</t>
  </si>
  <si>
    <t>Смена вентилей ПП диаметром до 20 мм</t>
  </si>
  <si>
    <t>10шт</t>
  </si>
  <si>
    <t>пр.ТЕР 33-017</t>
  </si>
  <si>
    <t>Демонтаж осветительных приборов. Светодиодные светильники (тамбур под.№5)</t>
  </si>
  <si>
    <t>Внеплановый осмотр вводных электрических щитков</t>
  </si>
  <si>
    <t>Смена светодиодных светильников в.о.</t>
  </si>
  <si>
    <t>Смена стекол в деревянных переплетах при площади стекла до 1,0 м2</t>
  </si>
  <si>
    <t>ТЕР 15-009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</si>
  <si>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</si>
  <si>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</si>
  <si>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15 раз за сезон</t>
  </si>
  <si>
    <t>Демонтаж тамбура (V подъезд)</t>
  </si>
  <si>
    <t>Ремонт крыльца (V подъезд)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</si>
</sst>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2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2" xfId="0" applyFont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4" fontId="1" fillId="7" borderId="1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1" fillId="5" borderId="18" xfId="0" applyFont="1" applyFill="1" applyBorder="1"/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4" fontId="1" fillId="8" borderId="12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0" fillId="13" borderId="0" xfId="0" applyFill="1"/>
    <xf numFmtId="0" fontId="1" fillId="4" borderId="3" xfId="0" applyNumberFormat="1" applyFont="1" applyFill="1" applyBorder="1" applyAlignment="1" applyProtection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0" fillId="4" borderId="3" xfId="0" applyFont="1" applyFill="1" applyBorder="1" applyAlignment="1">
      <alignment horizontal="left" vertical="center"/>
    </xf>
    <xf numFmtId="4" fontId="0" fillId="4" borderId="3" xfId="0" applyNumberFormat="1" applyFon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0" fontId="0" fillId="0" borderId="0" xfId="0" applyFill="1"/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64"/>
  <sheetViews>
    <sheetView tabSelected="1" view="pageBreakPreview" topLeftCell="D1" zoomScaleNormal="75" zoomScaleSheetLayoutView="100" workbookViewId="0">
      <pane ySplit="7" topLeftCell="A145" activePane="bottomLeft" state="frozen"/>
      <selection activeCell="B1" sqref="B1"/>
      <selection pane="bottomLeft" activeCell="G146" sqref="G146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6" width="10.140625" customWidth="1"/>
    <col min="7" max="7" width="10.28515625" customWidth="1"/>
    <col min="8" max="8" width="11.5703125" customWidth="1"/>
    <col min="9" max="9" width="11.140625" customWidth="1"/>
    <col min="10" max="10" width="11.28515625" customWidth="1"/>
    <col min="11" max="11" width="10.140625" customWidth="1"/>
    <col min="12" max="12" width="11.5703125" customWidth="1"/>
    <col min="13" max="13" width="11.28515625" customWidth="1"/>
    <col min="14" max="14" width="10.28515625" customWidth="1"/>
    <col min="15" max="15" width="10.140625" customWidth="1"/>
    <col min="16" max="16" width="9.85546875" customWidth="1"/>
    <col min="17" max="17" width="11.5703125" customWidth="1"/>
    <col min="18" max="18" width="11.42578125" customWidth="1"/>
    <col min="19" max="19" width="10.28515625" customWidth="1"/>
    <col min="20" max="20" width="11.85546875" customWidth="1"/>
    <col min="21" max="21" width="12.28515625" customWidth="1"/>
  </cols>
  <sheetData>
    <row r="1" spans="1:21" ht="14.25" customHeight="1">
      <c r="A1" s="114"/>
    </row>
    <row r="3" spans="1:21" ht="18">
      <c r="A3" s="121"/>
      <c r="B3" s="184" t="s">
        <v>0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65"/>
      <c r="N3" s="65"/>
      <c r="O3" s="65"/>
      <c r="P3" s="65"/>
      <c r="Q3" s="65"/>
      <c r="R3" s="65"/>
      <c r="S3" s="65"/>
      <c r="T3" s="65"/>
      <c r="U3" s="65"/>
    </row>
    <row r="4" spans="1:21" ht="35.25" customHeight="1">
      <c r="A4" s="65"/>
      <c r="B4" s="185" t="s">
        <v>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65"/>
      <c r="N4" s="65"/>
      <c r="O4" s="65"/>
      <c r="P4" s="65"/>
      <c r="Q4" s="65"/>
      <c r="R4" s="65"/>
      <c r="S4" s="65"/>
      <c r="T4" s="65"/>
      <c r="U4" s="65"/>
    </row>
    <row r="5" spans="1:21" ht="18">
      <c r="A5" s="65"/>
      <c r="B5" s="185" t="s">
        <v>231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65"/>
      <c r="N5" s="65"/>
      <c r="O5" s="65"/>
      <c r="P5" s="65"/>
      <c r="Q5" s="65"/>
      <c r="R5" s="65"/>
      <c r="S5" s="65"/>
      <c r="T5" s="65"/>
      <c r="U5" s="65"/>
    </row>
    <row r="6" spans="1:21" ht="15">
      <c r="A6" s="65"/>
      <c r="B6" s="186" t="s">
        <v>135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65"/>
      <c r="N6" s="65"/>
      <c r="O6" s="65"/>
      <c r="P6" s="65"/>
      <c r="Q6" s="65"/>
      <c r="R6" s="65"/>
      <c r="S6" s="65"/>
      <c r="T6" s="65"/>
      <c r="U6" s="65"/>
    </row>
    <row r="7" spans="1:21" ht="48" customHeight="1">
      <c r="A7" s="138" t="s">
        <v>2</v>
      </c>
      <c r="B7" s="139" t="s">
        <v>3</v>
      </c>
      <c r="C7" s="139" t="s">
        <v>4</v>
      </c>
      <c r="D7" s="139" t="s">
        <v>5</v>
      </c>
      <c r="E7" s="139" t="s">
        <v>6</v>
      </c>
      <c r="F7" s="139" t="s">
        <v>7</v>
      </c>
      <c r="G7" s="139" t="s">
        <v>8</v>
      </c>
      <c r="H7" s="140" t="s">
        <v>9</v>
      </c>
      <c r="I7" s="25" t="s">
        <v>121</v>
      </c>
      <c r="J7" s="25" t="s">
        <v>122</v>
      </c>
      <c r="K7" s="25" t="s">
        <v>123</v>
      </c>
      <c r="L7" s="25" t="s">
        <v>124</v>
      </c>
      <c r="M7" s="25" t="s">
        <v>141</v>
      </c>
      <c r="N7" s="25" t="s">
        <v>125</v>
      </c>
      <c r="O7" s="25" t="s">
        <v>126</v>
      </c>
      <c r="P7" s="25" t="s">
        <v>127</v>
      </c>
      <c r="Q7" s="25" t="s">
        <v>128</v>
      </c>
      <c r="R7" s="25" t="s">
        <v>129</v>
      </c>
      <c r="S7" s="25" t="s">
        <v>130</v>
      </c>
      <c r="T7" s="25" t="s">
        <v>131</v>
      </c>
      <c r="U7" s="25" t="s">
        <v>136</v>
      </c>
    </row>
    <row r="8" spans="1:21">
      <c r="A8" s="141">
        <v>1</v>
      </c>
      <c r="B8" s="7">
        <v>2</v>
      </c>
      <c r="C8" s="26">
        <v>3</v>
      </c>
      <c r="D8" s="7">
        <v>4</v>
      </c>
      <c r="E8" s="7">
        <v>5</v>
      </c>
      <c r="F8" s="26">
        <v>6</v>
      </c>
      <c r="G8" s="26">
        <v>7</v>
      </c>
      <c r="H8" s="122">
        <v>8</v>
      </c>
      <c r="I8" s="123">
        <v>9</v>
      </c>
      <c r="J8" s="123">
        <v>10</v>
      </c>
      <c r="K8" s="123">
        <v>11</v>
      </c>
      <c r="L8" s="123">
        <v>12</v>
      </c>
      <c r="M8" s="123">
        <v>13</v>
      </c>
      <c r="N8" s="123">
        <v>14</v>
      </c>
      <c r="O8" s="123">
        <v>15</v>
      </c>
      <c r="P8" s="123">
        <v>16</v>
      </c>
      <c r="Q8" s="123">
        <v>17</v>
      </c>
      <c r="R8" s="123">
        <v>18</v>
      </c>
      <c r="S8" s="123">
        <v>19</v>
      </c>
      <c r="T8" s="123">
        <v>20</v>
      </c>
      <c r="U8" s="123">
        <v>21</v>
      </c>
    </row>
    <row r="9" spans="1:21" ht="38.25">
      <c r="A9" s="141"/>
      <c r="B9" s="9" t="s">
        <v>10</v>
      </c>
      <c r="C9" s="26"/>
      <c r="D9" s="10"/>
      <c r="E9" s="10"/>
      <c r="F9" s="26"/>
      <c r="G9" s="26"/>
      <c r="H9" s="27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  <c r="T9" s="30"/>
      <c r="U9" s="30"/>
    </row>
    <row r="10" spans="1:21">
      <c r="A10" s="141"/>
      <c r="B10" s="9" t="s">
        <v>11</v>
      </c>
      <c r="C10" s="26"/>
      <c r="D10" s="10"/>
      <c r="E10" s="10"/>
      <c r="F10" s="26"/>
      <c r="G10" s="26"/>
      <c r="H10" s="27"/>
      <c r="I10" s="28"/>
      <c r="J10" s="28"/>
      <c r="K10" s="28"/>
      <c r="L10" s="28"/>
      <c r="M10" s="29"/>
      <c r="N10" s="30"/>
      <c r="O10" s="30"/>
      <c r="P10" s="30"/>
      <c r="Q10" s="30"/>
      <c r="R10" s="30"/>
      <c r="S10" s="30"/>
      <c r="T10" s="30"/>
      <c r="U10" s="30"/>
    </row>
    <row r="11" spans="1:21" ht="25.5">
      <c r="A11" s="141" t="s">
        <v>172</v>
      </c>
      <c r="B11" s="10" t="s">
        <v>12</v>
      </c>
      <c r="C11" s="26" t="s">
        <v>13</v>
      </c>
      <c r="D11" s="10" t="s">
        <v>14</v>
      </c>
      <c r="E11" s="31">
        <v>208.08</v>
      </c>
      <c r="F11" s="32">
        <f>SUM(E11*156/100)</f>
        <v>324.60480000000001</v>
      </c>
      <c r="G11" s="32">
        <v>175.38</v>
      </c>
      <c r="H11" s="33">
        <f t="shared" ref="H11:H20" si="0">SUM(F11*G11/1000)</f>
        <v>56.929189823999998</v>
      </c>
      <c r="I11" s="34">
        <f>F11/12*G11</f>
        <v>4744.0991519999998</v>
      </c>
      <c r="J11" s="34">
        <f>F11/12*G11</f>
        <v>4744.0991519999998</v>
      </c>
      <c r="K11" s="34">
        <f>F11/12*G11</f>
        <v>4744.0991519999998</v>
      </c>
      <c r="L11" s="34">
        <f>F11/12*G11</f>
        <v>4744.0991519999998</v>
      </c>
      <c r="M11" s="34">
        <f>F11/12*G11</f>
        <v>4744.0991519999998</v>
      </c>
      <c r="N11" s="34">
        <f>F11/12*G11</f>
        <v>4744.0991519999998</v>
      </c>
      <c r="O11" s="34">
        <f>F11/12*G11</f>
        <v>4744.0991519999998</v>
      </c>
      <c r="P11" s="34">
        <f>F11/12*G11</f>
        <v>4744.0991519999998</v>
      </c>
      <c r="Q11" s="34">
        <f>F11/12*G11</f>
        <v>4744.0991519999998</v>
      </c>
      <c r="R11" s="34">
        <f>F11/12*G11</f>
        <v>4744.0991519999998</v>
      </c>
      <c r="S11" s="34">
        <f>F11/12*G11</f>
        <v>4744.0991519999998</v>
      </c>
      <c r="T11" s="34">
        <f>F11/12*G11</f>
        <v>4744.0991519999998</v>
      </c>
      <c r="U11" s="34">
        <f>SUM(I11:T11)</f>
        <v>56929.189824000008</v>
      </c>
    </row>
    <row r="12" spans="1:21" ht="25.5">
      <c r="A12" s="141" t="s">
        <v>172</v>
      </c>
      <c r="B12" s="10" t="s">
        <v>15</v>
      </c>
      <c r="C12" s="26" t="s">
        <v>13</v>
      </c>
      <c r="D12" s="10" t="s">
        <v>16</v>
      </c>
      <c r="E12" s="31">
        <v>832.32</v>
      </c>
      <c r="F12" s="32">
        <f>SUM(E12*104/100)</f>
        <v>865.61279999999999</v>
      </c>
      <c r="G12" s="32">
        <v>175.38</v>
      </c>
      <c r="H12" s="33">
        <f t="shared" si="0"/>
        <v>151.81117286399999</v>
      </c>
      <c r="I12" s="34">
        <f>F12/12*G12</f>
        <v>12650.931071999999</v>
      </c>
      <c r="J12" s="34">
        <f>F12/12*G12</f>
        <v>12650.931071999999</v>
      </c>
      <c r="K12" s="34">
        <f>F12/12*G12</f>
        <v>12650.931071999999</v>
      </c>
      <c r="L12" s="34">
        <f>F12/12*G12</f>
        <v>12650.931071999999</v>
      </c>
      <c r="M12" s="34">
        <f>F12/12*G12</f>
        <v>12650.931071999999</v>
      </c>
      <c r="N12" s="34">
        <f>F12/12*G12</f>
        <v>12650.931071999999</v>
      </c>
      <c r="O12" s="34">
        <f>F12/12*G12</f>
        <v>12650.931071999999</v>
      </c>
      <c r="P12" s="34">
        <f>F12/12*G12</f>
        <v>12650.931071999999</v>
      </c>
      <c r="Q12" s="34">
        <f>F12/12*G12</f>
        <v>12650.931071999999</v>
      </c>
      <c r="R12" s="34">
        <f>F12/12*G12</f>
        <v>12650.931071999999</v>
      </c>
      <c r="S12" s="34">
        <f>F12/12*G12</f>
        <v>12650.931071999999</v>
      </c>
      <c r="T12" s="34">
        <f>F12/12*G12</f>
        <v>12650.931071999999</v>
      </c>
      <c r="U12" s="34">
        <f t="shared" ref="U12:U20" si="1">SUM(I12:T12)</f>
        <v>151811.17286400002</v>
      </c>
    </row>
    <row r="13" spans="1:21" ht="25.5">
      <c r="A13" s="141" t="s">
        <v>173</v>
      </c>
      <c r="B13" s="10" t="s">
        <v>17</v>
      </c>
      <c r="C13" s="26" t="s">
        <v>13</v>
      </c>
      <c r="D13" s="10" t="s">
        <v>18</v>
      </c>
      <c r="E13" s="31">
        <v>1040.4000000000001</v>
      </c>
      <c r="F13" s="32">
        <f>SUM(E13*24/100)</f>
        <v>249.69600000000003</v>
      </c>
      <c r="G13" s="32">
        <v>504.5</v>
      </c>
      <c r="H13" s="33">
        <f t="shared" si="0"/>
        <v>125.97163200000001</v>
      </c>
      <c r="I13" s="34">
        <f>F13/12*G13</f>
        <v>10497.636000000002</v>
      </c>
      <c r="J13" s="34">
        <f>F13/12*G13</f>
        <v>10497.636000000002</v>
      </c>
      <c r="K13" s="34">
        <f>F13/12*G13</f>
        <v>10497.636000000002</v>
      </c>
      <c r="L13" s="34">
        <f>F13/12*G13</f>
        <v>10497.636000000002</v>
      </c>
      <c r="M13" s="34">
        <f>F13/12*G13</f>
        <v>10497.636000000002</v>
      </c>
      <c r="N13" s="34">
        <f>F13/12*G13</f>
        <v>10497.636000000002</v>
      </c>
      <c r="O13" s="34">
        <f>F13/12*G13</f>
        <v>10497.636000000002</v>
      </c>
      <c r="P13" s="34">
        <f>F13/12*G13</f>
        <v>10497.636000000002</v>
      </c>
      <c r="Q13" s="34">
        <f>F13/12*G13</f>
        <v>10497.636000000002</v>
      </c>
      <c r="R13" s="34">
        <f>F13/12*G13</f>
        <v>10497.636000000002</v>
      </c>
      <c r="S13" s="34">
        <f>F13/12*G13</f>
        <v>10497.636000000002</v>
      </c>
      <c r="T13" s="34">
        <f>F13/12*G13</f>
        <v>10497.636000000002</v>
      </c>
      <c r="U13" s="34">
        <f t="shared" si="1"/>
        <v>125971.632</v>
      </c>
    </row>
    <row r="14" spans="1:21">
      <c r="A14" s="141" t="s">
        <v>174</v>
      </c>
      <c r="B14" s="10" t="s">
        <v>19</v>
      </c>
      <c r="C14" s="26" t="s">
        <v>20</v>
      </c>
      <c r="D14" s="10" t="s">
        <v>100</v>
      </c>
      <c r="E14" s="31">
        <v>48</v>
      </c>
      <c r="F14" s="32">
        <f>SUM(E14/10)</f>
        <v>4.8</v>
      </c>
      <c r="G14" s="32">
        <v>170.16</v>
      </c>
      <c r="H14" s="33">
        <f t="shared" si="0"/>
        <v>0.81676799999999994</v>
      </c>
      <c r="I14" s="34">
        <v>0</v>
      </c>
      <c r="J14" s="34">
        <v>0</v>
      </c>
      <c r="K14" s="34">
        <v>0</v>
      </c>
      <c r="L14" s="34">
        <v>0</v>
      </c>
      <c r="M14" s="34">
        <f>F14/2*G14</f>
        <v>408.38399999999996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f t="shared" si="1"/>
        <v>408.38399999999996</v>
      </c>
    </row>
    <row r="15" spans="1:21">
      <c r="A15" s="141" t="s">
        <v>175</v>
      </c>
      <c r="B15" s="10" t="s">
        <v>21</v>
      </c>
      <c r="C15" s="26" t="s">
        <v>13</v>
      </c>
      <c r="D15" s="10" t="s">
        <v>106</v>
      </c>
      <c r="E15" s="31">
        <v>30.6</v>
      </c>
      <c r="F15" s="32">
        <f>SUM(E15*12/100)</f>
        <v>3.6720000000000006</v>
      </c>
      <c r="G15" s="32">
        <v>217.88</v>
      </c>
      <c r="H15" s="33">
        <f t="shared" si="0"/>
        <v>0.8000553600000001</v>
      </c>
      <c r="I15" s="34">
        <f>F15/12*G15</f>
        <v>66.67128000000001</v>
      </c>
      <c r="J15" s="34">
        <f>F15/12*G15</f>
        <v>66.67128000000001</v>
      </c>
      <c r="K15" s="34">
        <f>F15/12*G15</f>
        <v>66.67128000000001</v>
      </c>
      <c r="L15" s="34">
        <f>F15/12*G15</f>
        <v>66.67128000000001</v>
      </c>
      <c r="M15" s="34">
        <f>F15/12*G15</f>
        <v>66.67128000000001</v>
      </c>
      <c r="N15" s="34">
        <f>F15/12*G15</f>
        <v>66.67128000000001</v>
      </c>
      <c r="O15" s="34">
        <f>F15/12*G15</f>
        <v>66.67128000000001</v>
      </c>
      <c r="P15" s="34">
        <f>F15/12*G15</f>
        <v>66.67128000000001</v>
      </c>
      <c r="Q15" s="34">
        <f>F15/12*G15</f>
        <v>66.67128000000001</v>
      </c>
      <c r="R15" s="34">
        <f>F15/12*G15</f>
        <v>66.67128000000001</v>
      </c>
      <c r="S15" s="34">
        <f>F15/12*G15</f>
        <v>66.67128000000001</v>
      </c>
      <c r="T15" s="34">
        <f>F15/12*G15</f>
        <v>66.67128000000001</v>
      </c>
      <c r="U15" s="34">
        <f t="shared" si="1"/>
        <v>800.05536000000018</v>
      </c>
    </row>
    <row r="16" spans="1:21">
      <c r="A16" s="141" t="s">
        <v>176</v>
      </c>
      <c r="B16" s="10" t="s">
        <v>22</v>
      </c>
      <c r="C16" s="26" t="s">
        <v>13</v>
      </c>
      <c r="D16" s="10" t="s">
        <v>108</v>
      </c>
      <c r="E16" s="31">
        <v>10.06</v>
      </c>
      <c r="F16" s="32">
        <f>SUM(E16*12/100)</f>
        <v>1.2072000000000001</v>
      </c>
      <c r="G16" s="32">
        <v>216.12</v>
      </c>
      <c r="H16" s="33">
        <f t="shared" si="0"/>
        <v>0.26090006400000004</v>
      </c>
      <c r="I16" s="34">
        <f>F16/12*G16</f>
        <v>21.741672000000001</v>
      </c>
      <c r="J16" s="34">
        <f>F16/12*G16</f>
        <v>21.741672000000001</v>
      </c>
      <c r="K16" s="34">
        <f>F16/12*G16</f>
        <v>21.741672000000001</v>
      </c>
      <c r="L16" s="34">
        <f>F16/12*G16</f>
        <v>21.741672000000001</v>
      </c>
      <c r="M16" s="34">
        <f>F16/12*G16</f>
        <v>21.741672000000001</v>
      </c>
      <c r="N16" s="34">
        <f>F16/12*G16</f>
        <v>21.741672000000001</v>
      </c>
      <c r="O16" s="34">
        <f>F16/12*G16</f>
        <v>21.741672000000001</v>
      </c>
      <c r="P16" s="34">
        <f>F16/12*G16</f>
        <v>21.741672000000001</v>
      </c>
      <c r="Q16" s="34">
        <f>F16/12*G16</f>
        <v>21.741672000000001</v>
      </c>
      <c r="R16" s="34">
        <f>F16/12*G16</f>
        <v>21.741672000000001</v>
      </c>
      <c r="S16" s="34">
        <f>F16/12*G16</f>
        <v>21.741672000000001</v>
      </c>
      <c r="T16" s="34">
        <f>F16/12*G16</f>
        <v>21.741672000000001</v>
      </c>
      <c r="U16" s="34">
        <f t="shared" si="1"/>
        <v>260.90006399999999</v>
      </c>
    </row>
    <row r="17" spans="1:21">
      <c r="A17" s="141" t="s">
        <v>177</v>
      </c>
      <c r="B17" s="10" t="s">
        <v>23</v>
      </c>
      <c r="C17" s="26" t="s">
        <v>24</v>
      </c>
      <c r="D17" s="10" t="s">
        <v>100</v>
      </c>
      <c r="E17" s="31">
        <v>769.2</v>
      </c>
      <c r="F17" s="32">
        <f>SUM(E17/100)</f>
        <v>7.6920000000000002</v>
      </c>
      <c r="G17" s="32">
        <v>269.26</v>
      </c>
      <c r="H17" s="33">
        <f t="shared" si="0"/>
        <v>2.07114792</v>
      </c>
      <c r="I17" s="34">
        <v>0</v>
      </c>
      <c r="J17" s="34">
        <v>0</v>
      </c>
      <c r="K17" s="34">
        <v>0</v>
      </c>
      <c r="L17" s="34">
        <v>0</v>
      </c>
      <c r="M17" s="34">
        <f>F17*G17</f>
        <v>2071.1479199999999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f t="shared" si="1"/>
        <v>2071.1479199999999</v>
      </c>
    </row>
    <row r="18" spans="1:21">
      <c r="A18" s="141" t="s">
        <v>178</v>
      </c>
      <c r="B18" s="10" t="s">
        <v>25</v>
      </c>
      <c r="C18" s="26" t="s">
        <v>24</v>
      </c>
      <c r="D18" s="10" t="s">
        <v>100</v>
      </c>
      <c r="E18" s="36">
        <v>35.28</v>
      </c>
      <c r="F18" s="32">
        <f>SUM(E18/100)</f>
        <v>0.3528</v>
      </c>
      <c r="G18" s="32">
        <v>44.29</v>
      </c>
      <c r="H18" s="33">
        <f t="shared" si="0"/>
        <v>1.5625512000000001E-2</v>
      </c>
      <c r="I18" s="34">
        <v>0</v>
      </c>
      <c r="J18" s="34">
        <v>0</v>
      </c>
      <c r="K18" s="34">
        <v>0</v>
      </c>
      <c r="L18" s="34">
        <v>0</v>
      </c>
      <c r="M18" s="34">
        <f>F18*G18</f>
        <v>15.625512000000001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f t="shared" si="1"/>
        <v>15.625512000000001</v>
      </c>
    </row>
    <row r="19" spans="1:21">
      <c r="A19" s="141" t="s">
        <v>179</v>
      </c>
      <c r="B19" s="10" t="s">
        <v>26</v>
      </c>
      <c r="C19" s="26" t="s">
        <v>24</v>
      </c>
      <c r="D19" s="10" t="s">
        <v>108</v>
      </c>
      <c r="E19" s="31">
        <v>10.8</v>
      </c>
      <c r="F19" s="32">
        <f>E19*12/100</f>
        <v>1.2960000000000003</v>
      </c>
      <c r="G19" s="32">
        <v>389.72</v>
      </c>
      <c r="H19" s="33">
        <f t="shared" si="0"/>
        <v>0.50507712000000016</v>
      </c>
      <c r="I19" s="34">
        <f>F19/12*G19</f>
        <v>42.089760000000012</v>
      </c>
      <c r="J19" s="34">
        <f>F19/12*G19</f>
        <v>42.089760000000012</v>
      </c>
      <c r="K19" s="34">
        <f>F19/12*G19</f>
        <v>42.089760000000012</v>
      </c>
      <c r="L19" s="34">
        <f>F19/12*G19</f>
        <v>42.089760000000012</v>
      </c>
      <c r="M19" s="34">
        <f>F19/12*G19</f>
        <v>42.089760000000012</v>
      </c>
      <c r="N19" s="34">
        <f>F19/12*G19</f>
        <v>42.089760000000012</v>
      </c>
      <c r="O19" s="34">
        <f>F19/12*G19</f>
        <v>42.089760000000012</v>
      </c>
      <c r="P19" s="34">
        <f>F19/12*G19</f>
        <v>42.089760000000012</v>
      </c>
      <c r="Q19" s="34">
        <f>F19/12*G19</f>
        <v>42.089760000000012</v>
      </c>
      <c r="R19" s="34">
        <f>F19/12*G19</f>
        <v>42.089760000000012</v>
      </c>
      <c r="S19" s="34">
        <f>F19/12*G19</f>
        <v>42.089760000000012</v>
      </c>
      <c r="T19" s="34">
        <f>F19/12*G19</f>
        <v>42.089760000000012</v>
      </c>
      <c r="U19" s="34">
        <f t="shared" si="1"/>
        <v>505.07712000000015</v>
      </c>
    </row>
    <row r="20" spans="1:21">
      <c r="A20" s="141" t="s">
        <v>180</v>
      </c>
      <c r="B20" s="10" t="s">
        <v>27</v>
      </c>
      <c r="C20" s="26" t="s">
        <v>24</v>
      </c>
      <c r="D20" s="10" t="s">
        <v>112</v>
      </c>
      <c r="E20" s="31">
        <v>21.6</v>
      </c>
      <c r="F20" s="32">
        <f>SUM(E20*12/100)</f>
        <v>2.5920000000000005</v>
      </c>
      <c r="G20" s="32">
        <v>520.79999999999995</v>
      </c>
      <c r="H20" s="33">
        <f t="shared" si="0"/>
        <v>1.3499136</v>
      </c>
      <c r="I20" s="34">
        <f>F20/12*G20</f>
        <v>112.49280000000002</v>
      </c>
      <c r="J20" s="34">
        <f>F20/12*G20</f>
        <v>112.49280000000002</v>
      </c>
      <c r="K20" s="34">
        <f>F20/12*G20</f>
        <v>112.49280000000002</v>
      </c>
      <c r="L20" s="34">
        <f>F20/12*G20</f>
        <v>112.49280000000002</v>
      </c>
      <c r="M20" s="34">
        <f>F20/12*G20</f>
        <v>112.49280000000002</v>
      </c>
      <c r="N20" s="34">
        <f>F20/12*G20</f>
        <v>112.49280000000002</v>
      </c>
      <c r="O20" s="34">
        <f>F20/12*G20</f>
        <v>112.49280000000002</v>
      </c>
      <c r="P20" s="34">
        <f>F20/12*G20</f>
        <v>112.49280000000002</v>
      </c>
      <c r="Q20" s="34">
        <f>F20/12*G20</f>
        <v>112.49280000000002</v>
      </c>
      <c r="R20" s="34">
        <f>F20/12*G20</f>
        <v>112.49280000000002</v>
      </c>
      <c r="S20" s="34">
        <f>F20/12*G20</f>
        <v>112.49280000000002</v>
      </c>
      <c r="T20" s="34">
        <f>F20/12*G20</f>
        <v>112.49280000000002</v>
      </c>
      <c r="U20" s="34">
        <f t="shared" si="1"/>
        <v>1349.9136000000001</v>
      </c>
    </row>
    <row r="21" spans="1:21" s="18" customFormat="1">
      <c r="A21" s="142"/>
      <c r="B21" s="19" t="s">
        <v>28</v>
      </c>
      <c r="C21" s="37"/>
      <c r="D21" s="19"/>
      <c r="E21" s="38"/>
      <c r="F21" s="39"/>
      <c r="G21" s="39"/>
      <c r="H21" s="40">
        <f>SUM(H11:H20)</f>
        <v>340.53148226399998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>
        <f>SUM(U11:U20)</f>
        <v>340123.09826400003</v>
      </c>
    </row>
    <row r="22" spans="1:21">
      <c r="A22" s="141"/>
      <c r="B22" s="11" t="s">
        <v>29</v>
      </c>
      <c r="C22" s="26"/>
      <c r="D22" s="10"/>
      <c r="E22" s="31"/>
      <c r="F22" s="32"/>
      <c r="G22" s="32"/>
      <c r="H22" s="3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1" ht="25.5" customHeight="1">
      <c r="A23" s="141" t="s">
        <v>181</v>
      </c>
      <c r="B23" s="10" t="s">
        <v>158</v>
      </c>
      <c r="C23" s="26" t="s">
        <v>31</v>
      </c>
      <c r="D23" s="10" t="s">
        <v>30</v>
      </c>
      <c r="E23" s="32">
        <v>1168.05</v>
      </c>
      <c r="F23" s="32">
        <f>SUM(E23*52/1000)</f>
        <v>60.738599999999998</v>
      </c>
      <c r="G23" s="32">
        <v>155.88999999999999</v>
      </c>
      <c r="H23" s="33">
        <f t="shared" ref="H23:H31" si="2">SUM(F23*G23/1000)</f>
        <v>9.4685403539999982</v>
      </c>
      <c r="I23" s="34">
        <v>0</v>
      </c>
      <c r="J23" s="34">
        <v>0</v>
      </c>
      <c r="K23" s="34">
        <v>0</v>
      </c>
      <c r="L23" s="34">
        <v>0</v>
      </c>
      <c r="M23" s="34">
        <f>F23/6*G23</f>
        <v>1578.0900589999997</v>
      </c>
      <c r="N23" s="34">
        <f>F23/6*G23</f>
        <v>1578.0900589999997</v>
      </c>
      <c r="O23" s="34">
        <f>F23/6*G23</f>
        <v>1578.0900589999997</v>
      </c>
      <c r="P23" s="34">
        <f>F23/6*G23</f>
        <v>1578.0900589999997</v>
      </c>
      <c r="Q23" s="34">
        <f>F23/6*G23</f>
        <v>1578.0900589999997</v>
      </c>
      <c r="R23" s="34">
        <f>F23/6*G23</f>
        <v>1578.0900589999997</v>
      </c>
      <c r="S23" s="34">
        <v>0</v>
      </c>
      <c r="T23" s="34">
        <v>0</v>
      </c>
      <c r="U23" s="34">
        <f t="shared" ref="U23:U31" si="3">SUM(I23:T23)</f>
        <v>9468.5403539999988</v>
      </c>
    </row>
    <row r="24" spans="1:21" ht="38.25" customHeight="1">
      <c r="A24" s="141" t="s">
        <v>182</v>
      </c>
      <c r="B24" s="10" t="s">
        <v>159</v>
      </c>
      <c r="C24" s="26" t="s">
        <v>31</v>
      </c>
      <c r="D24" s="10" t="s">
        <v>32</v>
      </c>
      <c r="E24" s="32">
        <v>1039.2</v>
      </c>
      <c r="F24" s="32">
        <f>SUM(E24*78/1000)</f>
        <v>81.057600000000008</v>
      </c>
      <c r="G24" s="32">
        <v>258.63</v>
      </c>
      <c r="H24" s="33">
        <f t="shared" si="2"/>
        <v>20.963927088000002</v>
      </c>
      <c r="I24" s="34">
        <v>0</v>
      </c>
      <c r="J24" s="34">
        <v>0</v>
      </c>
      <c r="K24" s="34">
        <v>0</v>
      </c>
      <c r="L24" s="34">
        <v>0</v>
      </c>
      <c r="M24" s="34">
        <f>F24/6*G24</f>
        <v>3493.9878480000002</v>
      </c>
      <c r="N24" s="34">
        <f>F24/6*G24</f>
        <v>3493.9878480000002</v>
      </c>
      <c r="O24" s="34">
        <f>F24/6*G24</f>
        <v>3493.9878480000002</v>
      </c>
      <c r="P24" s="34">
        <f>F24/6*G24</f>
        <v>3493.9878480000002</v>
      </c>
      <c r="Q24" s="34">
        <f>F24/6*G24</f>
        <v>3493.9878480000002</v>
      </c>
      <c r="R24" s="34">
        <f>F24/6*G24</f>
        <v>3493.9878480000002</v>
      </c>
      <c r="S24" s="34">
        <v>0</v>
      </c>
      <c r="T24" s="34">
        <v>0</v>
      </c>
      <c r="U24" s="34">
        <f t="shared" si="3"/>
        <v>20963.927088</v>
      </c>
    </row>
    <row r="25" spans="1:21">
      <c r="A25" s="141" t="s">
        <v>183</v>
      </c>
      <c r="B25" s="10" t="s">
        <v>33</v>
      </c>
      <c r="C25" s="26" t="s">
        <v>31</v>
      </c>
      <c r="D25" s="10" t="s">
        <v>34</v>
      </c>
      <c r="E25" s="32">
        <v>584.03</v>
      </c>
      <c r="F25" s="32">
        <f>SUM(E25/1000)</f>
        <v>0.58402999999999994</v>
      </c>
      <c r="G25" s="32">
        <v>3020.33</v>
      </c>
      <c r="H25" s="33">
        <f t="shared" si="2"/>
        <v>1.7639633298999997</v>
      </c>
      <c r="I25" s="34">
        <v>0</v>
      </c>
      <c r="J25" s="34">
        <v>0</v>
      </c>
      <c r="K25" s="34">
        <v>0</v>
      </c>
      <c r="L25" s="34">
        <v>0</v>
      </c>
      <c r="M25" s="34">
        <f>F25*G25</f>
        <v>1763.9633298999997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f t="shared" si="3"/>
        <v>1763.9633298999997</v>
      </c>
    </row>
    <row r="26" spans="1:21">
      <c r="A26" s="141" t="s">
        <v>184</v>
      </c>
      <c r="B26" s="10" t="s">
        <v>109</v>
      </c>
      <c r="C26" s="26" t="s">
        <v>62</v>
      </c>
      <c r="D26" s="10" t="s">
        <v>37</v>
      </c>
      <c r="E26" s="32">
        <v>6</v>
      </c>
      <c r="F26" s="32">
        <f>E26*155/100</f>
        <v>9.3000000000000007</v>
      </c>
      <c r="G26" s="32">
        <v>1302.02</v>
      </c>
      <c r="H26" s="33">
        <f>G26*F26/1000</f>
        <v>12.108786</v>
      </c>
      <c r="I26" s="34">
        <v>0</v>
      </c>
      <c r="J26" s="34">
        <v>0</v>
      </c>
      <c r="K26" s="34">
        <v>0</v>
      </c>
      <c r="L26" s="34">
        <v>0</v>
      </c>
      <c r="M26" s="34">
        <f>F26/6*G26</f>
        <v>2018.1310000000001</v>
      </c>
      <c r="N26" s="34">
        <f>F26/6*G26</f>
        <v>2018.1310000000001</v>
      </c>
      <c r="O26" s="34">
        <f>F26/6*G26</f>
        <v>2018.1310000000001</v>
      </c>
      <c r="P26" s="34">
        <f>F26/6*G26</f>
        <v>2018.1310000000001</v>
      </c>
      <c r="Q26" s="34">
        <f>F26/6*G26</f>
        <v>2018.1310000000001</v>
      </c>
      <c r="R26" s="34">
        <f>F26/6*G26</f>
        <v>2018.1310000000001</v>
      </c>
      <c r="S26" s="34">
        <v>0</v>
      </c>
      <c r="T26" s="34">
        <v>0</v>
      </c>
      <c r="U26" s="34">
        <f t="shared" si="3"/>
        <v>12108.786</v>
      </c>
    </row>
    <row r="27" spans="1:21">
      <c r="A27" s="141" t="s">
        <v>185</v>
      </c>
      <c r="B27" s="10" t="s">
        <v>35</v>
      </c>
      <c r="C27" s="26" t="s">
        <v>36</v>
      </c>
      <c r="D27" s="10" t="s">
        <v>37</v>
      </c>
      <c r="E27" s="43">
        <v>0.33333333333333331</v>
      </c>
      <c r="F27" s="32">
        <f>155/3</f>
        <v>51.666666666666664</v>
      </c>
      <c r="G27" s="32">
        <v>56.69</v>
      </c>
      <c r="H27" s="33">
        <f>SUM(G27*155/3/1000)</f>
        <v>2.9289833333333331</v>
      </c>
      <c r="I27" s="34">
        <v>0</v>
      </c>
      <c r="J27" s="34">
        <v>0</v>
      </c>
      <c r="K27" s="34">
        <v>0</v>
      </c>
      <c r="L27" s="34">
        <v>0</v>
      </c>
      <c r="M27" s="34">
        <f>F27/6*G27</f>
        <v>488.16388888888883</v>
      </c>
      <c r="N27" s="34">
        <f>F27/6*G27</f>
        <v>488.16388888888883</v>
      </c>
      <c r="O27" s="34">
        <f>F27/6*G27</f>
        <v>488.16388888888883</v>
      </c>
      <c r="P27" s="34">
        <f>F27/6*G27</f>
        <v>488.16388888888883</v>
      </c>
      <c r="Q27" s="34">
        <f>F27/6*G27</f>
        <v>488.16388888888883</v>
      </c>
      <c r="R27" s="34">
        <f>F27/6*G27</f>
        <v>488.16388888888883</v>
      </c>
      <c r="S27" s="34">
        <v>0</v>
      </c>
      <c r="T27" s="34">
        <v>0</v>
      </c>
      <c r="U27" s="34">
        <f t="shared" si="3"/>
        <v>2928.9833333333331</v>
      </c>
    </row>
    <row r="28" spans="1:21" ht="12.75" customHeight="1">
      <c r="A28" s="141" t="s">
        <v>186</v>
      </c>
      <c r="B28" s="10" t="s">
        <v>38</v>
      </c>
      <c r="C28" s="26" t="s">
        <v>39</v>
      </c>
      <c r="D28" s="10" t="s">
        <v>40</v>
      </c>
      <c r="E28" s="44">
        <v>0.1</v>
      </c>
      <c r="F28" s="32">
        <f>SUM(E28*365)</f>
        <v>36.5</v>
      </c>
      <c r="G28" s="32">
        <v>147.03</v>
      </c>
      <c r="H28" s="33">
        <f t="shared" si="2"/>
        <v>5.3665950000000002</v>
      </c>
      <c r="I28" s="34">
        <f>F28/12*G28</f>
        <v>447.21625</v>
      </c>
      <c r="J28" s="34">
        <f>F28/12*G28</f>
        <v>447.21625</v>
      </c>
      <c r="K28" s="34">
        <f>F28/12*G28</f>
        <v>447.21625</v>
      </c>
      <c r="L28" s="34">
        <f>F28/12*G28</f>
        <v>447.21625</v>
      </c>
      <c r="M28" s="34">
        <f>F28/12*G28</f>
        <v>447.21625</v>
      </c>
      <c r="N28" s="34">
        <f>F28/12*G28</f>
        <v>447.21625</v>
      </c>
      <c r="O28" s="34">
        <f>F28/12*G28</f>
        <v>447.21625</v>
      </c>
      <c r="P28" s="34">
        <f>F28/12*G28</f>
        <v>447.21625</v>
      </c>
      <c r="Q28" s="34">
        <f>F28/12*G28</f>
        <v>447.21625</v>
      </c>
      <c r="R28" s="34">
        <f>F28/12*G28</f>
        <v>447.21625</v>
      </c>
      <c r="S28" s="34">
        <f>F28/12*G28</f>
        <v>447.21625</v>
      </c>
      <c r="T28" s="34">
        <f>F28/12*G28</f>
        <v>447.21625</v>
      </c>
      <c r="U28" s="34">
        <f t="shared" si="3"/>
        <v>5366.5950000000012</v>
      </c>
    </row>
    <row r="29" spans="1:21" ht="12.75" customHeight="1">
      <c r="A29" s="141" t="s">
        <v>187</v>
      </c>
      <c r="B29" s="10" t="s">
        <v>151</v>
      </c>
      <c r="C29" s="26" t="s">
        <v>39</v>
      </c>
      <c r="D29" s="10" t="s">
        <v>41</v>
      </c>
      <c r="E29" s="31"/>
      <c r="F29" s="32">
        <v>4</v>
      </c>
      <c r="G29" s="32">
        <v>180.15</v>
      </c>
      <c r="H29" s="33">
        <f t="shared" si="2"/>
        <v>0.72060000000000002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f t="shared" si="3"/>
        <v>0</v>
      </c>
    </row>
    <row r="30" spans="1:21" ht="12.75" customHeight="1">
      <c r="A30" s="141" t="s">
        <v>134</v>
      </c>
      <c r="B30" s="10" t="s">
        <v>160</v>
      </c>
      <c r="C30" s="26" t="s">
        <v>42</v>
      </c>
      <c r="D30" s="10" t="s">
        <v>41</v>
      </c>
      <c r="E30" s="31"/>
      <c r="F30" s="32">
        <v>3</v>
      </c>
      <c r="G30" s="32">
        <v>1136.33</v>
      </c>
      <c r="H30" s="33">
        <f t="shared" si="2"/>
        <v>3.4089899999999997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f t="shared" si="3"/>
        <v>0</v>
      </c>
    </row>
    <row r="31" spans="1:21">
      <c r="A31" s="141"/>
      <c r="B31" s="45" t="s">
        <v>43</v>
      </c>
      <c r="C31" s="26" t="s">
        <v>44</v>
      </c>
      <c r="D31" s="45" t="s">
        <v>45</v>
      </c>
      <c r="E31" s="31">
        <v>6980.3</v>
      </c>
      <c r="F31" s="32">
        <f>SUM(E31*12)</f>
        <v>83763.600000000006</v>
      </c>
      <c r="G31" s="32">
        <v>4.4000000000000004</v>
      </c>
      <c r="H31" s="33">
        <f t="shared" si="2"/>
        <v>368.55984000000007</v>
      </c>
      <c r="I31" s="34">
        <f>F31/12*G31</f>
        <v>30713.320000000003</v>
      </c>
      <c r="J31" s="34">
        <f>F31/12*G31</f>
        <v>30713.320000000003</v>
      </c>
      <c r="K31" s="34">
        <f>F31/12*G31</f>
        <v>30713.320000000003</v>
      </c>
      <c r="L31" s="34">
        <f>F31/12*G31</f>
        <v>30713.320000000003</v>
      </c>
      <c r="M31" s="34">
        <f>F31/12*G31</f>
        <v>30713.320000000003</v>
      </c>
      <c r="N31" s="34">
        <f>F31/12*G31</f>
        <v>30713.320000000003</v>
      </c>
      <c r="O31" s="34">
        <f>F31/12*G31</f>
        <v>30713.320000000003</v>
      </c>
      <c r="P31" s="34">
        <f>F31/12*G31</f>
        <v>30713.320000000003</v>
      </c>
      <c r="Q31" s="34">
        <f>F31/12*G31</f>
        <v>30713.320000000003</v>
      </c>
      <c r="R31" s="34">
        <f>F31/12*G31</f>
        <v>30713.320000000003</v>
      </c>
      <c r="S31" s="34">
        <f>F31/12*G31</f>
        <v>30713.320000000003</v>
      </c>
      <c r="T31" s="34">
        <f>F31/12*G31</f>
        <v>30713.320000000003</v>
      </c>
      <c r="U31" s="34">
        <f t="shared" si="3"/>
        <v>368559.84</v>
      </c>
    </row>
    <row r="32" spans="1:21" s="18" customFormat="1">
      <c r="A32" s="142"/>
      <c r="B32" s="19" t="s">
        <v>28</v>
      </c>
      <c r="C32" s="37"/>
      <c r="D32" s="19"/>
      <c r="E32" s="38"/>
      <c r="F32" s="39"/>
      <c r="G32" s="39"/>
      <c r="H32" s="46">
        <f>SUM(H23:H31)</f>
        <v>425.29022510523339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>
        <f>SUM(U23:U31)</f>
        <v>421160.63510523335</v>
      </c>
    </row>
    <row r="33" spans="1:21">
      <c r="A33" s="141"/>
      <c r="B33" s="11" t="s">
        <v>46</v>
      </c>
      <c r="C33" s="26"/>
      <c r="D33" s="10"/>
      <c r="E33" s="31"/>
      <c r="F33" s="32"/>
      <c r="G33" s="32"/>
      <c r="H33" s="33" t="s">
        <v>45</v>
      </c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1:21" ht="12.75" customHeight="1">
      <c r="A34" s="141" t="s">
        <v>134</v>
      </c>
      <c r="B34" s="12" t="s">
        <v>47</v>
      </c>
      <c r="C34" s="26" t="s">
        <v>42</v>
      </c>
      <c r="D34" s="10"/>
      <c r="E34" s="31"/>
      <c r="F34" s="32">
        <v>10</v>
      </c>
      <c r="G34" s="32">
        <v>1527.22</v>
      </c>
      <c r="H34" s="33">
        <f t="shared" ref="H34:H41" si="4">SUM(F34*G34/1000)</f>
        <v>15.272200000000002</v>
      </c>
      <c r="I34" s="34">
        <f>F34/6*G34</f>
        <v>2545.3666666666668</v>
      </c>
      <c r="J34" s="34">
        <f>F34/6*G34</f>
        <v>2545.3666666666668</v>
      </c>
      <c r="K34" s="34">
        <f>F34/6*G34</f>
        <v>2545.3666666666668</v>
      </c>
      <c r="L34" s="34">
        <f>F34/6*G34</f>
        <v>2545.3666666666668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f>F34/6*G34</f>
        <v>2545.3666666666668</v>
      </c>
      <c r="T34" s="34">
        <f>F34/6*G34</f>
        <v>2545.3666666666668</v>
      </c>
      <c r="U34" s="34">
        <f t="shared" ref="U34:U41" si="5">SUM(I34:T34)</f>
        <v>15272.2</v>
      </c>
    </row>
    <row r="35" spans="1:21">
      <c r="A35" s="141" t="s">
        <v>189</v>
      </c>
      <c r="B35" s="10" t="s">
        <v>48</v>
      </c>
      <c r="C35" s="26" t="s">
        <v>39</v>
      </c>
      <c r="D35" s="10"/>
      <c r="E35" s="31"/>
      <c r="F35" s="47">
        <v>10</v>
      </c>
      <c r="G35" s="32">
        <v>77.94</v>
      </c>
      <c r="H35" s="33">
        <f>G35*F35/1000</f>
        <v>0.77939999999999998</v>
      </c>
      <c r="I35" s="34">
        <f>F35/6*G35</f>
        <v>129.9</v>
      </c>
      <c r="J35" s="34">
        <f>F35/6*G35</f>
        <v>129.9</v>
      </c>
      <c r="K35" s="34">
        <f>F35/6*G35</f>
        <v>129.9</v>
      </c>
      <c r="L35" s="34">
        <f>F35/6*G35</f>
        <v>129.9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f>F35/6*G35</f>
        <v>129.9</v>
      </c>
      <c r="T35" s="34">
        <f>F35/6*G35</f>
        <v>129.9</v>
      </c>
      <c r="U35" s="34">
        <f t="shared" si="5"/>
        <v>779.4</v>
      </c>
    </row>
    <row r="36" spans="1:21" ht="25.5">
      <c r="A36" s="143" t="s">
        <v>188</v>
      </c>
      <c r="B36" s="12" t="s">
        <v>167</v>
      </c>
      <c r="C36" s="48" t="s">
        <v>49</v>
      </c>
      <c r="D36" s="10" t="s">
        <v>113</v>
      </c>
      <c r="E36" s="31">
        <v>1039.2</v>
      </c>
      <c r="F36" s="47">
        <f>E36*25/1000</f>
        <v>25.98</v>
      </c>
      <c r="G36" s="32">
        <v>2102.71</v>
      </c>
      <c r="H36" s="33">
        <f>G36*F36/1000</f>
        <v>54.628405800000003</v>
      </c>
      <c r="I36" s="34">
        <f>F36/6*G36</f>
        <v>9104.7343000000001</v>
      </c>
      <c r="J36" s="34">
        <f>F36/6*G36</f>
        <v>9104.7343000000001</v>
      </c>
      <c r="K36" s="34">
        <f>F36/6*G36</f>
        <v>9104.7343000000001</v>
      </c>
      <c r="L36" s="34">
        <f>F36/6*G36</f>
        <v>9104.7343000000001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f>F36/6*G36</f>
        <v>9104.7343000000001</v>
      </c>
      <c r="T36" s="34">
        <f>F36/6*G36</f>
        <v>9104.7343000000001</v>
      </c>
      <c r="U36" s="34">
        <f t="shared" si="5"/>
        <v>54628.405799999993</v>
      </c>
    </row>
    <row r="37" spans="1:21">
      <c r="A37" s="141" t="s">
        <v>134</v>
      </c>
      <c r="B37" s="10" t="s">
        <v>107</v>
      </c>
      <c r="C37" s="26" t="s">
        <v>70</v>
      </c>
      <c r="D37" s="10" t="s">
        <v>41</v>
      </c>
      <c r="E37" s="31"/>
      <c r="F37" s="47">
        <v>50</v>
      </c>
      <c r="G37" s="32">
        <v>213.2</v>
      </c>
      <c r="H37" s="33">
        <f>G37*F37/1000</f>
        <v>10.66</v>
      </c>
      <c r="I37" s="34">
        <v>0</v>
      </c>
      <c r="J37" s="34">
        <v>0</v>
      </c>
      <c r="K37" s="34">
        <v>0</v>
      </c>
      <c r="L37" s="34">
        <f>G37*39</f>
        <v>8314.7999999999993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f t="shared" si="5"/>
        <v>8314.7999999999993</v>
      </c>
    </row>
    <row r="38" spans="1:21" ht="24.75" customHeight="1">
      <c r="A38" s="141" t="s">
        <v>190</v>
      </c>
      <c r="B38" s="10" t="s">
        <v>161</v>
      </c>
      <c r="C38" s="26" t="s">
        <v>49</v>
      </c>
      <c r="D38" s="10" t="s">
        <v>50</v>
      </c>
      <c r="E38" s="32">
        <v>153</v>
      </c>
      <c r="F38" s="47">
        <f>SUM(E38*155/1000)</f>
        <v>23.715</v>
      </c>
      <c r="G38" s="32">
        <v>350.75</v>
      </c>
      <c r="H38" s="33">
        <f t="shared" si="4"/>
        <v>8.3180362499999987</v>
      </c>
      <c r="I38" s="34">
        <f>F38/6*G38</f>
        <v>1386.339375</v>
      </c>
      <c r="J38" s="34">
        <f>F38/6*G38</f>
        <v>1386.339375</v>
      </c>
      <c r="K38" s="34">
        <f>F38/6*G38</f>
        <v>1386.339375</v>
      </c>
      <c r="L38" s="34">
        <f>F38/6*G38</f>
        <v>1386.339375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f>F38/6*G38</f>
        <v>1386.339375</v>
      </c>
      <c r="T38" s="34">
        <f>F38/6*G38</f>
        <v>1386.339375</v>
      </c>
      <c r="U38" s="34">
        <f t="shared" si="5"/>
        <v>8318.0362499999992</v>
      </c>
    </row>
    <row r="39" spans="1:21" ht="51" customHeight="1">
      <c r="A39" s="141" t="s">
        <v>191</v>
      </c>
      <c r="B39" s="10" t="s">
        <v>162</v>
      </c>
      <c r="C39" s="26" t="s">
        <v>31</v>
      </c>
      <c r="D39" s="10" t="s">
        <v>110</v>
      </c>
      <c r="E39" s="32">
        <v>24</v>
      </c>
      <c r="F39" s="47">
        <f>SUM(E39*50/1000)</f>
        <v>1.2</v>
      </c>
      <c r="G39" s="32">
        <v>5803.28</v>
      </c>
      <c r="H39" s="33">
        <f t="shared" si="4"/>
        <v>6.9639359999999995</v>
      </c>
      <c r="I39" s="34">
        <f>F39/6*G39</f>
        <v>1160.6559999999999</v>
      </c>
      <c r="J39" s="34">
        <f>F39/6*G39</f>
        <v>1160.6559999999999</v>
      </c>
      <c r="K39" s="34">
        <f>F39/6*G39</f>
        <v>1160.6559999999999</v>
      </c>
      <c r="L39" s="34">
        <f>F39/6*G39</f>
        <v>1160.6559999999999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f>F39/6*G39</f>
        <v>1160.6559999999999</v>
      </c>
      <c r="T39" s="34">
        <f>F39/6*G39</f>
        <v>1160.6559999999999</v>
      </c>
      <c r="U39" s="34">
        <f t="shared" si="5"/>
        <v>6963.9359999999997</v>
      </c>
    </row>
    <row r="40" spans="1:21" ht="12.75" customHeight="1">
      <c r="A40" s="141" t="s">
        <v>192</v>
      </c>
      <c r="B40" s="10" t="s">
        <v>152</v>
      </c>
      <c r="C40" s="26" t="s">
        <v>31</v>
      </c>
      <c r="D40" s="10" t="s">
        <v>304</v>
      </c>
      <c r="E40" s="32">
        <v>153</v>
      </c>
      <c r="F40" s="47">
        <f>SUM(E40*15/1000)</f>
        <v>2.2949999999999999</v>
      </c>
      <c r="G40" s="32">
        <v>428.7</v>
      </c>
      <c r="H40" s="33">
        <f t="shared" si="4"/>
        <v>0.98386649999999998</v>
      </c>
      <c r="I40" s="34">
        <v>0</v>
      </c>
      <c r="J40" s="34">
        <v>0</v>
      </c>
      <c r="K40" s="34">
        <f>F40/2*G40</f>
        <v>491.93324999999999</v>
      </c>
      <c r="L40" s="34">
        <f>F40/2*G40</f>
        <v>491.93324999999999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f t="shared" si="5"/>
        <v>983.86649999999997</v>
      </c>
    </row>
    <row r="41" spans="1:21" s="1" customFormat="1">
      <c r="A41" s="143"/>
      <c r="B41" s="12" t="s">
        <v>163</v>
      </c>
      <c r="C41" s="48" t="s">
        <v>39</v>
      </c>
      <c r="D41" s="12"/>
      <c r="E41" s="44"/>
      <c r="F41" s="47">
        <v>0.9</v>
      </c>
      <c r="G41" s="47">
        <v>798</v>
      </c>
      <c r="H41" s="33">
        <f t="shared" si="4"/>
        <v>0.71820000000000006</v>
      </c>
      <c r="I41" s="49">
        <f>F41/6*G41</f>
        <v>119.69999999999999</v>
      </c>
      <c r="J41" s="49">
        <f>F41/6*G41</f>
        <v>119.69999999999999</v>
      </c>
      <c r="K41" s="49">
        <f>F41/6*G41</f>
        <v>119.69999999999999</v>
      </c>
      <c r="L41" s="49">
        <f>F41/6*G41</f>
        <v>119.69999999999999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f>F41/6*G41</f>
        <v>119.69999999999999</v>
      </c>
      <c r="T41" s="49">
        <f>F41/6*G41</f>
        <v>119.69999999999999</v>
      </c>
      <c r="U41" s="34">
        <f t="shared" si="5"/>
        <v>718.2</v>
      </c>
    </row>
    <row r="42" spans="1:21" s="18" customFormat="1">
      <c r="A42" s="142"/>
      <c r="B42" s="19" t="s">
        <v>28</v>
      </c>
      <c r="C42" s="37"/>
      <c r="D42" s="19"/>
      <c r="E42" s="38"/>
      <c r="F42" s="39" t="s">
        <v>45</v>
      </c>
      <c r="G42" s="39"/>
      <c r="H42" s="46">
        <f>SUM(H34:H41)</f>
        <v>98.324044550000011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>
        <f>SUM(U34:U41)</f>
        <v>95978.844550000009</v>
      </c>
    </row>
    <row r="43" spans="1:21">
      <c r="A43" s="141"/>
      <c r="B43" s="13" t="s">
        <v>51</v>
      </c>
      <c r="C43" s="26"/>
      <c r="D43" s="10"/>
      <c r="E43" s="31"/>
      <c r="F43" s="32"/>
      <c r="G43" s="32"/>
      <c r="H43" s="33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  <row r="44" spans="1:21">
      <c r="A44" s="141" t="s">
        <v>193</v>
      </c>
      <c r="B44" s="10" t="s">
        <v>168</v>
      </c>
      <c r="C44" s="26" t="s">
        <v>31</v>
      </c>
      <c r="D44" s="10" t="s">
        <v>52</v>
      </c>
      <c r="E44" s="31">
        <v>1895</v>
      </c>
      <c r="F44" s="32">
        <f>SUM(E44*2/1000)</f>
        <v>3.79</v>
      </c>
      <c r="G44" s="50">
        <v>849.49</v>
      </c>
      <c r="H44" s="33">
        <f t="shared" ref="H44:H52" si="6">SUM(F44*G44/1000)</f>
        <v>3.2195671000000003</v>
      </c>
      <c r="I44" s="34">
        <v>0</v>
      </c>
      <c r="J44" s="34">
        <v>0</v>
      </c>
      <c r="K44" s="34">
        <v>0</v>
      </c>
      <c r="L44" s="34">
        <v>0</v>
      </c>
      <c r="M44" s="34">
        <f>F44/2*G44</f>
        <v>1609.7835500000001</v>
      </c>
      <c r="N44" s="34">
        <v>0</v>
      </c>
      <c r="O44" s="34">
        <v>0</v>
      </c>
      <c r="P44" s="34">
        <v>0</v>
      </c>
      <c r="Q44" s="34">
        <f>F44/2*G44</f>
        <v>1609.7835500000001</v>
      </c>
      <c r="R44" s="34">
        <v>0</v>
      </c>
      <c r="S44" s="34">
        <v>0</v>
      </c>
      <c r="T44" s="34">
        <v>0</v>
      </c>
      <c r="U44" s="34">
        <f t="shared" ref="U44:U52" si="7">SUM(I44:T44)</f>
        <v>3219.5671000000002</v>
      </c>
    </row>
    <row r="45" spans="1:21">
      <c r="A45" s="141" t="s">
        <v>194</v>
      </c>
      <c r="B45" s="10" t="s">
        <v>53</v>
      </c>
      <c r="C45" s="26" t="s">
        <v>31</v>
      </c>
      <c r="D45" s="10" t="s">
        <v>52</v>
      </c>
      <c r="E45" s="31">
        <v>118.2</v>
      </c>
      <c r="F45" s="32">
        <f>E45*2/1000</f>
        <v>0.2364</v>
      </c>
      <c r="G45" s="50">
        <v>579.48</v>
      </c>
      <c r="H45" s="33">
        <f t="shared" si="6"/>
        <v>0.13698907199999999</v>
      </c>
      <c r="I45" s="34">
        <v>0</v>
      </c>
      <c r="J45" s="34">
        <v>0</v>
      </c>
      <c r="K45" s="34">
        <v>0</v>
      </c>
      <c r="L45" s="34">
        <v>0</v>
      </c>
      <c r="M45" s="34">
        <f t="shared" ref="M45:M47" si="8">F45/2*G45</f>
        <v>68.494535999999997</v>
      </c>
      <c r="N45" s="34">
        <v>0</v>
      </c>
      <c r="O45" s="34">
        <v>0</v>
      </c>
      <c r="P45" s="34">
        <v>0</v>
      </c>
      <c r="Q45" s="34">
        <f>F45/2*G45</f>
        <v>68.494535999999997</v>
      </c>
      <c r="R45" s="34">
        <v>0</v>
      </c>
      <c r="S45" s="34">
        <v>0</v>
      </c>
      <c r="T45" s="34">
        <v>0</v>
      </c>
      <c r="U45" s="34">
        <f t="shared" si="7"/>
        <v>136.98907199999999</v>
      </c>
    </row>
    <row r="46" spans="1:21" ht="12.75" customHeight="1">
      <c r="A46" s="141" t="s">
        <v>195</v>
      </c>
      <c r="B46" s="10" t="s">
        <v>54</v>
      </c>
      <c r="C46" s="26" t="s">
        <v>31</v>
      </c>
      <c r="D46" s="10" t="s">
        <v>52</v>
      </c>
      <c r="E46" s="31">
        <v>4675</v>
      </c>
      <c r="F46" s="32">
        <f>SUM(E46*2/1000)</f>
        <v>9.35</v>
      </c>
      <c r="G46" s="50">
        <v>579.48</v>
      </c>
      <c r="H46" s="33">
        <f t="shared" si="6"/>
        <v>5.4181379999999999</v>
      </c>
      <c r="I46" s="34">
        <v>0</v>
      </c>
      <c r="J46" s="34">
        <v>0</v>
      </c>
      <c r="K46" s="34">
        <v>0</v>
      </c>
      <c r="L46" s="34">
        <v>0</v>
      </c>
      <c r="M46" s="34">
        <f t="shared" si="8"/>
        <v>2709.069</v>
      </c>
      <c r="N46" s="34">
        <v>0</v>
      </c>
      <c r="O46" s="34">
        <v>0</v>
      </c>
      <c r="P46" s="34">
        <v>0</v>
      </c>
      <c r="Q46" s="34">
        <f>F46/2*G46</f>
        <v>2709.069</v>
      </c>
      <c r="R46" s="34">
        <v>0</v>
      </c>
      <c r="S46" s="34">
        <v>0</v>
      </c>
      <c r="T46" s="34">
        <v>0</v>
      </c>
      <c r="U46" s="34">
        <f t="shared" si="7"/>
        <v>5418.1379999999999</v>
      </c>
    </row>
    <row r="47" spans="1:21">
      <c r="A47" s="141" t="s">
        <v>196</v>
      </c>
      <c r="B47" s="10" t="s">
        <v>55</v>
      </c>
      <c r="C47" s="26" t="s">
        <v>31</v>
      </c>
      <c r="D47" s="10" t="s">
        <v>52</v>
      </c>
      <c r="E47" s="31">
        <v>4675</v>
      </c>
      <c r="F47" s="32">
        <f>SUM(E47*2/1000)</f>
        <v>9.35</v>
      </c>
      <c r="G47" s="50">
        <v>606.77</v>
      </c>
      <c r="H47" s="33">
        <f t="shared" si="6"/>
        <v>5.6732994999999988</v>
      </c>
      <c r="I47" s="34">
        <v>0</v>
      </c>
      <c r="J47" s="34">
        <v>0</v>
      </c>
      <c r="K47" s="34">
        <v>0</v>
      </c>
      <c r="L47" s="34">
        <v>0</v>
      </c>
      <c r="M47" s="34">
        <f t="shared" si="8"/>
        <v>2836.6497499999996</v>
      </c>
      <c r="N47" s="34">
        <v>0</v>
      </c>
      <c r="O47" s="34">
        <v>0</v>
      </c>
      <c r="P47" s="34">
        <v>0</v>
      </c>
      <c r="Q47" s="34">
        <f>F47/2*G47</f>
        <v>2836.6497499999996</v>
      </c>
      <c r="R47" s="34">
        <v>0</v>
      </c>
      <c r="S47" s="34">
        <v>0</v>
      </c>
      <c r="T47" s="34">
        <v>0</v>
      </c>
      <c r="U47" s="34">
        <f t="shared" si="7"/>
        <v>5673.2994999999992</v>
      </c>
    </row>
    <row r="48" spans="1:21" ht="25.5">
      <c r="A48" s="141" t="s">
        <v>197</v>
      </c>
      <c r="B48" s="10" t="s">
        <v>56</v>
      </c>
      <c r="C48" s="26" t="s">
        <v>31</v>
      </c>
      <c r="D48" s="10" t="s">
        <v>57</v>
      </c>
      <c r="E48" s="31">
        <v>3988</v>
      </c>
      <c r="F48" s="32">
        <f>SUM(E48*5/1000)</f>
        <v>19.940000000000001</v>
      </c>
      <c r="G48" s="50">
        <v>1142.7</v>
      </c>
      <c r="H48" s="33">
        <f t="shared" si="6"/>
        <v>22.785438000000003</v>
      </c>
      <c r="I48" s="34">
        <f>F48/5*G48</f>
        <v>4557.0876000000007</v>
      </c>
      <c r="J48" s="34">
        <f>F48/5*G48</f>
        <v>4557.0876000000007</v>
      </c>
      <c r="K48" s="34">
        <v>0</v>
      </c>
      <c r="L48" s="34">
        <f>0</f>
        <v>0</v>
      </c>
      <c r="M48" s="34">
        <f>F48/5*G48</f>
        <v>4557.0876000000007</v>
      </c>
      <c r="N48" s="34">
        <v>0</v>
      </c>
      <c r="O48" s="34">
        <v>0</v>
      </c>
      <c r="P48" s="34">
        <v>0</v>
      </c>
      <c r="Q48" s="34">
        <f>F48/5*G48</f>
        <v>4557.0876000000007</v>
      </c>
      <c r="R48" s="34">
        <v>0</v>
      </c>
      <c r="S48" s="34">
        <v>0</v>
      </c>
      <c r="T48" s="34">
        <f>F48/5*G48</f>
        <v>4557.0876000000007</v>
      </c>
      <c r="U48" s="34">
        <f t="shared" si="7"/>
        <v>22785.438000000002</v>
      </c>
    </row>
    <row r="49" spans="1:21" ht="38.25" customHeight="1">
      <c r="A49" s="141" t="s">
        <v>198</v>
      </c>
      <c r="B49" s="10" t="s">
        <v>58</v>
      </c>
      <c r="C49" s="26" t="s">
        <v>31</v>
      </c>
      <c r="D49" s="10" t="s">
        <v>52</v>
      </c>
      <c r="E49" s="31">
        <v>3988</v>
      </c>
      <c r="F49" s="32">
        <f>SUM(E49*2/1000)</f>
        <v>7.976</v>
      </c>
      <c r="G49" s="50">
        <v>1213.55</v>
      </c>
      <c r="H49" s="33">
        <f t="shared" si="6"/>
        <v>9.6792748</v>
      </c>
      <c r="I49" s="34">
        <v>0</v>
      </c>
      <c r="J49" s="34">
        <v>0</v>
      </c>
      <c r="K49" s="34">
        <v>0</v>
      </c>
      <c r="L49" s="34">
        <f>F49/2*G49</f>
        <v>4839.6373999999996</v>
      </c>
      <c r="M49" s="34">
        <v>0</v>
      </c>
      <c r="N49" s="34">
        <v>0</v>
      </c>
      <c r="O49" s="34">
        <f>F49/2*G49</f>
        <v>4839.6373999999996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f t="shared" si="7"/>
        <v>9679.2747999999992</v>
      </c>
    </row>
    <row r="50" spans="1:21" ht="25.5" customHeight="1">
      <c r="A50" s="141" t="s">
        <v>199</v>
      </c>
      <c r="B50" s="10" t="s">
        <v>59</v>
      </c>
      <c r="C50" s="26" t="s">
        <v>60</v>
      </c>
      <c r="D50" s="10" t="s">
        <v>52</v>
      </c>
      <c r="E50" s="31">
        <v>30</v>
      </c>
      <c r="F50" s="32">
        <f>SUM(E50*2/100)</f>
        <v>0.6</v>
      </c>
      <c r="G50" s="50">
        <v>2730.49</v>
      </c>
      <c r="H50" s="33">
        <f>SUM(F50*G50/1000)</f>
        <v>1.6382939999999999</v>
      </c>
      <c r="I50" s="34">
        <v>0</v>
      </c>
      <c r="J50" s="34">
        <v>0</v>
      </c>
      <c r="K50" s="34">
        <v>0</v>
      </c>
      <c r="L50" s="34">
        <f>F50/2*G50</f>
        <v>819.14699999999993</v>
      </c>
      <c r="M50" s="34">
        <v>0</v>
      </c>
      <c r="N50" s="34">
        <v>0</v>
      </c>
      <c r="O50" s="34">
        <f>F50/2*G50</f>
        <v>819.14699999999993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f t="shared" si="7"/>
        <v>1638.2939999999999</v>
      </c>
    </row>
    <row r="51" spans="1:21">
      <c r="A51" s="141" t="s">
        <v>200</v>
      </c>
      <c r="B51" s="10" t="s">
        <v>61</v>
      </c>
      <c r="C51" s="26" t="s">
        <v>62</v>
      </c>
      <c r="D51" s="10" t="s">
        <v>52</v>
      </c>
      <c r="E51" s="31">
        <v>1</v>
      </c>
      <c r="F51" s="32">
        <v>0.02</v>
      </c>
      <c r="G51" s="50">
        <v>5652.13</v>
      </c>
      <c r="H51" s="33">
        <f t="shared" si="6"/>
        <v>0.11304260000000001</v>
      </c>
      <c r="I51" s="34">
        <v>0</v>
      </c>
      <c r="J51" s="34">
        <v>0</v>
      </c>
      <c r="K51" s="34">
        <f>F51/2*G51</f>
        <v>56.521300000000004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f>F51/2*G51</f>
        <v>56.521300000000004</v>
      </c>
      <c r="R51" s="34">
        <v>0</v>
      </c>
      <c r="S51" s="34">
        <v>0</v>
      </c>
      <c r="T51" s="34">
        <v>0</v>
      </c>
      <c r="U51" s="34">
        <f t="shared" si="7"/>
        <v>113.04260000000001</v>
      </c>
    </row>
    <row r="52" spans="1:21" ht="13.5" customHeight="1">
      <c r="A52" s="141" t="s">
        <v>64</v>
      </c>
      <c r="B52" s="10" t="s">
        <v>65</v>
      </c>
      <c r="C52" s="26" t="s">
        <v>63</v>
      </c>
      <c r="D52" s="10" t="s">
        <v>132</v>
      </c>
      <c r="E52" s="31">
        <v>236</v>
      </c>
      <c r="F52" s="32">
        <f>SUM(E52)*3</f>
        <v>708</v>
      </c>
      <c r="G52" s="51">
        <v>65.67</v>
      </c>
      <c r="H52" s="33">
        <f t="shared" si="6"/>
        <v>46.49436</v>
      </c>
      <c r="I52" s="34">
        <v>0</v>
      </c>
      <c r="J52" s="34">
        <v>0</v>
      </c>
      <c r="K52" s="34">
        <v>0</v>
      </c>
      <c r="L52" s="34">
        <f>E52*G52</f>
        <v>15498.12</v>
      </c>
      <c r="M52" s="34">
        <v>0</v>
      </c>
      <c r="N52" s="34">
        <v>0</v>
      </c>
      <c r="O52" s="34">
        <v>0</v>
      </c>
      <c r="P52" s="34">
        <f>E52*G52</f>
        <v>15498.12</v>
      </c>
      <c r="Q52" s="34">
        <v>0</v>
      </c>
      <c r="R52" s="34">
        <v>0</v>
      </c>
      <c r="S52" s="34">
        <v>0</v>
      </c>
      <c r="T52" s="34">
        <f>F52/3*G52</f>
        <v>15498.12</v>
      </c>
      <c r="U52" s="34">
        <f t="shared" si="7"/>
        <v>46494.36</v>
      </c>
    </row>
    <row r="53" spans="1:21" s="20" customFormat="1">
      <c r="A53" s="144"/>
      <c r="B53" s="19" t="s">
        <v>28</v>
      </c>
      <c r="C53" s="52"/>
      <c r="D53" s="19"/>
      <c r="E53" s="53"/>
      <c r="F53" s="54"/>
      <c r="G53" s="54"/>
      <c r="H53" s="46">
        <f>SUM(H44:H52)</f>
        <v>95.158403071999999</v>
      </c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>
        <f>SUM(U44:U52)</f>
        <v>95158.403072000001</v>
      </c>
    </row>
    <row r="54" spans="1:21">
      <c r="A54" s="141"/>
      <c r="B54" s="11" t="s">
        <v>66</v>
      </c>
      <c r="C54" s="26"/>
      <c r="D54" s="10"/>
      <c r="E54" s="31"/>
      <c r="F54" s="32"/>
      <c r="G54" s="32"/>
      <c r="H54" s="33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</row>
    <row r="55" spans="1:21" ht="25.5" customHeight="1">
      <c r="A55" s="141" t="s">
        <v>201</v>
      </c>
      <c r="B55" s="10" t="s">
        <v>153</v>
      </c>
      <c r="C55" s="26" t="s">
        <v>13</v>
      </c>
      <c r="D55" s="10" t="s">
        <v>67</v>
      </c>
      <c r="E55" s="31">
        <v>30</v>
      </c>
      <c r="F55" s="32">
        <f>SUM(E55*6/100)</f>
        <v>1.8</v>
      </c>
      <c r="G55" s="50">
        <v>1547.28</v>
      </c>
      <c r="H55" s="33">
        <f>SUM(F55*G55/1000)</f>
        <v>2.785104</v>
      </c>
      <c r="I55" s="34">
        <f>F55/6*G55</f>
        <v>464.18399999999997</v>
      </c>
      <c r="J55" s="34">
        <f>F55/6*G55</f>
        <v>464.18399999999997</v>
      </c>
      <c r="K55" s="34">
        <f>F55/6*G55</f>
        <v>464.18399999999997</v>
      </c>
      <c r="L55" s="34">
        <f>F55/6*G55</f>
        <v>464.18399999999997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f>F55/6*G55</f>
        <v>464.18399999999997</v>
      </c>
      <c r="T55" s="34">
        <f>F55/6*G55</f>
        <v>464.18399999999997</v>
      </c>
      <c r="U55" s="34">
        <f t="shared" ref="U55:U80" si="9">SUM(I55:T55)</f>
        <v>2785.1040000000003</v>
      </c>
    </row>
    <row r="56" spans="1:21" ht="12.75" customHeight="1">
      <c r="A56" s="145" t="s">
        <v>202</v>
      </c>
      <c r="B56" s="21" t="s">
        <v>115</v>
      </c>
      <c r="C56" s="56" t="s">
        <v>116</v>
      </c>
      <c r="D56" s="21" t="s">
        <v>52</v>
      </c>
      <c r="E56" s="57">
        <v>6</v>
      </c>
      <c r="F56" s="58">
        <v>12</v>
      </c>
      <c r="G56" s="50">
        <v>180.78</v>
      </c>
      <c r="H56" s="59">
        <f>G56*F56/1000</f>
        <v>2.1693600000000002</v>
      </c>
      <c r="I56" s="34">
        <f>F56/2*G56</f>
        <v>1084.68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f t="shared" si="9"/>
        <v>1084.68</v>
      </c>
    </row>
    <row r="57" spans="1:21" ht="12.75" customHeight="1">
      <c r="A57" s="146" t="s">
        <v>201</v>
      </c>
      <c r="B57" s="21" t="s">
        <v>117</v>
      </c>
      <c r="C57" s="56" t="s">
        <v>24</v>
      </c>
      <c r="D57" s="21" t="s">
        <v>118</v>
      </c>
      <c r="E57" s="57">
        <v>6</v>
      </c>
      <c r="F57" s="58">
        <f>E57*4/100</f>
        <v>0.24</v>
      </c>
      <c r="G57" s="50">
        <v>1547.28</v>
      </c>
      <c r="H57" s="59">
        <f>G57*F57/1000</f>
        <v>0.37134719999999999</v>
      </c>
      <c r="I57" s="34">
        <v>0</v>
      </c>
      <c r="J57" s="34">
        <f>F57/4*G57</f>
        <v>92.836799999999997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f t="shared" si="9"/>
        <v>92.836799999999997</v>
      </c>
    </row>
    <row r="58" spans="1:21" ht="12.75" customHeight="1">
      <c r="A58" s="145"/>
      <c r="B58" s="22" t="s">
        <v>68</v>
      </c>
      <c r="C58" s="56"/>
      <c r="D58" s="21"/>
      <c r="E58" s="57"/>
      <c r="F58" s="58"/>
      <c r="G58" s="50"/>
      <c r="H58" s="59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1:21" ht="12.75" customHeight="1">
      <c r="A59" s="141" t="s">
        <v>203</v>
      </c>
      <c r="B59" s="21" t="s">
        <v>114</v>
      </c>
      <c r="C59" s="56" t="s">
        <v>24</v>
      </c>
      <c r="D59" s="21" t="s">
        <v>34</v>
      </c>
      <c r="E59" s="57">
        <v>997</v>
      </c>
      <c r="F59" s="58">
        <v>9.9700000000000006</v>
      </c>
      <c r="G59" s="50">
        <v>793.61</v>
      </c>
      <c r="H59" s="59">
        <f>F59*G59/1000</f>
        <v>7.9122917000000008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f t="shared" si="9"/>
        <v>0</v>
      </c>
    </row>
    <row r="60" spans="1:21" ht="12.75" customHeight="1">
      <c r="A60" s="141"/>
      <c r="B60" s="21" t="s">
        <v>111</v>
      </c>
      <c r="C60" s="56" t="s">
        <v>69</v>
      </c>
      <c r="D60" s="21" t="s">
        <v>108</v>
      </c>
      <c r="E60" s="57">
        <v>394</v>
      </c>
      <c r="F60" s="60">
        <f>E60*12</f>
        <v>4728</v>
      </c>
      <c r="G60" s="61">
        <v>2.6</v>
      </c>
      <c r="H60" s="58">
        <f>F60*G60/1000</f>
        <v>12.292800000000002</v>
      </c>
      <c r="I60" s="34">
        <f>F60/12*G60</f>
        <v>1024.4000000000001</v>
      </c>
      <c r="J60" s="34">
        <f>F60/12*G60</f>
        <v>1024.4000000000001</v>
      </c>
      <c r="K60" s="34">
        <f>F60/12*G60</f>
        <v>1024.4000000000001</v>
      </c>
      <c r="L60" s="34">
        <f>F60/12*G60</f>
        <v>1024.4000000000001</v>
      </c>
      <c r="M60" s="34">
        <f>F60/12*G60</f>
        <v>1024.4000000000001</v>
      </c>
      <c r="N60" s="34">
        <f>F60/12*G60</f>
        <v>1024.4000000000001</v>
      </c>
      <c r="O60" s="34">
        <f>F60/12*G60</f>
        <v>1024.4000000000001</v>
      </c>
      <c r="P60" s="34">
        <f>F60/12*G60</f>
        <v>1024.4000000000001</v>
      </c>
      <c r="Q60" s="34">
        <f>F60/12*G60</f>
        <v>1024.4000000000001</v>
      </c>
      <c r="R60" s="34">
        <f>F60/12*G60</f>
        <v>1024.4000000000001</v>
      </c>
      <c r="S60" s="34">
        <f>F60/12*G60</f>
        <v>1024.4000000000001</v>
      </c>
      <c r="T60" s="34">
        <f>F60/12*G60</f>
        <v>1024.4000000000001</v>
      </c>
      <c r="U60" s="34">
        <f t="shared" si="9"/>
        <v>12292.799999999997</v>
      </c>
    </row>
    <row r="61" spans="1:21">
      <c r="A61" s="145"/>
      <c r="B61" s="14" t="s">
        <v>71</v>
      </c>
      <c r="C61" s="56"/>
      <c r="D61" s="21"/>
      <c r="E61" s="57"/>
      <c r="F61" s="60"/>
      <c r="G61" s="60"/>
      <c r="H61" s="58" t="s">
        <v>45</v>
      </c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</row>
    <row r="62" spans="1:21" ht="12.75" customHeight="1">
      <c r="A62" s="62" t="s">
        <v>204</v>
      </c>
      <c r="B62" s="15" t="s">
        <v>72</v>
      </c>
      <c r="C62" s="62" t="s">
        <v>63</v>
      </c>
      <c r="D62" s="8" t="s">
        <v>41</v>
      </c>
      <c r="E62" s="63">
        <v>15</v>
      </c>
      <c r="F62" s="32">
        <v>15</v>
      </c>
      <c r="G62" s="50">
        <v>222.4</v>
      </c>
      <c r="H62" s="129">
        <f t="shared" ref="H62:H75" si="10">SUM(F62*G62/1000)</f>
        <v>3.3359999999999999</v>
      </c>
      <c r="I62" s="49">
        <f>G62</f>
        <v>222.4</v>
      </c>
      <c r="J62" s="34">
        <f>G62*3</f>
        <v>667.2</v>
      </c>
      <c r="K62" s="34">
        <v>0</v>
      </c>
      <c r="L62" s="34">
        <f>G62</f>
        <v>222.4</v>
      </c>
      <c r="M62" s="34">
        <f>G62*3</f>
        <v>667.2</v>
      </c>
      <c r="N62" s="34">
        <f>G62*3</f>
        <v>667.2</v>
      </c>
      <c r="O62" s="34">
        <f>G62*16</f>
        <v>3558.4</v>
      </c>
      <c r="P62" s="34">
        <f>G62</f>
        <v>222.4</v>
      </c>
      <c r="Q62" s="34">
        <f>G62*11</f>
        <v>2446.4</v>
      </c>
      <c r="R62" s="34">
        <f>G62</f>
        <v>222.4</v>
      </c>
      <c r="S62" s="34">
        <f>G62</f>
        <v>222.4</v>
      </c>
      <c r="T62" s="34">
        <f>G62</f>
        <v>222.4</v>
      </c>
      <c r="U62" s="34">
        <f t="shared" si="9"/>
        <v>9340.7999999999993</v>
      </c>
    </row>
    <row r="63" spans="1:21" ht="12.75" customHeight="1">
      <c r="A63" s="62" t="s">
        <v>205</v>
      </c>
      <c r="B63" s="15" t="s">
        <v>73</v>
      </c>
      <c r="C63" s="62" t="s">
        <v>63</v>
      </c>
      <c r="D63" s="8" t="s">
        <v>41</v>
      </c>
      <c r="E63" s="63">
        <v>10</v>
      </c>
      <c r="F63" s="32">
        <v>10</v>
      </c>
      <c r="G63" s="50">
        <v>76.25</v>
      </c>
      <c r="H63" s="129">
        <f t="shared" si="10"/>
        <v>0.76249999999999996</v>
      </c>
      <c r="I63" s="49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f t="shared" si="9"/>
        <v>0</v>
      </c>
    </row>
    <row r="64" spans="1:21" s="1" customFormat="1">
      <c r="A64" s="64" t="s">
        <v>206</v>
      </c>
      <c r="B64" s="15" t="s">
        <v>74</v>
      </c>
      <c r="C64" s="64" t="s">
        <v>75</v>
      </c>
      <c r="D64" s="8" t="s">
        <v>34</v>
      </c>
      <c r="E64" s="31">
        <v>28608</v>
      </c>
      <c r="F64" s="51">
        <f>SUM(E64/100)</f>
        <v>286.08</v>
      </c>
      <c r="G64" s="50">
        <v>199.77</v>
      </c>
      <c r="H64" s="129">
        <f t="shared" si="10"/>
        <v>57.150201600000003</v>
      </c>
      <c r="I64" s="49">
        <v>0</v>
      </c>
      <c r="J64" s="49">
        <v>0</v>
      </c>
      <c r="K64" s="49">
        <v>0</v>
      </c>
      <c r="L64" s="49">
        <v>0</v>
      </c>
      <c r="M64" s="49">
        <f>F64*G64</f>
        <v>57150.2016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34">
        <f t="shared" si="9"/>
        <v>57150.2016</v>
      </c>
    </row>
    <row r="65" spans="1:21" ht="12.75" customHeight="1">
      <c r="A65" s="62" t="s">
        <v>207</v>
      </c>
      <c r="B65" s="15" t="s">
        <v>76</v>
      </c>
      <c r="C65" s="62" t="s">
        <v>77</v>
      </c>
      <c r="D65" s="8"/>
      <c r="E65" s="31">
        <v>28608</v>
      </c>
      <c r="F65" s="50">
        <f>SUM(E65/1000)</f>
        <v>28.608000000000001</v>
      </c>
      <c r="G65" s="50">
        <v>155.57</v>
      </c>
      <c r="H65" s="129">
        <f t="shared" si="10"/>
        <v>4.4505465599999994</v>
      </c>
      <c r="I65" s="34">
        <v>0</v>
      </c>
      <c r="J65" s="34">
        <v>0</v>
      </c>
      <c r="K65" s="34">
        <v>0</v>
      </c>
      <c r="L65" s="34">
        <v>0</v>
      </c>
      <c r="M65" s="34">
        <f>F65*G65</f>
        <v>4450.5465599999998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f t="shared" si="9"/>
        <v>4450.5465599999998</v>
      </c>
    </row>
    <row r="66" spans="1:21">
      <c r="A66" s="62" t="s">
        <v>208</v>
      </c>
      <c r="B66" s="15" t="s">
        <v>78</v>
      </c>
      <c r="C66" s="62" t="s">
        <v>79</v>
      </c>
      <c r="D66" s="8" t="s">
        <v>34</v>
      </c>
      <c r="E66" s="31">
        <v>4550</v>
      </c>
      <c r="F66" s="50">
        <f>SUM(E66/100)</f>
        <v>45.5</v>
      </c>
      <c r="G66" s="50">
        <v>2074.63</v>
      </c>
      <c r="H66" s="129">
        <f t="shared" si="10"/>
        <v>94.395665000000008</v>
      </c>
      <c r="I66" s="34">
        <v>0</v>
      </c>
      <c r="J66" s="34">
        <v>0</v>
      </c>
      <c r="K66" s="34">
        <v>0</v>
      </c>
      <c r="L66" s="34">
        <v>0</v>
      </c>
      <c r="M66" s="34">
        <f>F66*G66</f>
        <v>94395.665000000008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f t="shared" si="9"/>
        <v>94395.665000000008</v>
      </c>
    </row>
    <row r="67" spans="1:21">
      <c r="A67" s="62"/>
      <c r="B67" s="16" t="s">
        <v>101</v>
      </c>
      <c r="C67" s="62" t="s">
        <v>39</v>
      </c>
      <c r="D67" s="8"/>
      <c r="E67" s="31">
        <v>58.5</v>
      </c>
      <c r="F67" s="50">
        <f>SUM(E67)</f>
        <v>58.5</v>
      </c>
      <c r="G67" s="50">
        <v>45.32</v>
      </c>
      <c r="H67" s="129">
        <f t="shared" si="10"/>
        <v>2.6512199999999999</v>
      </c>
      <c r="I67" s="34">
        <v>0</v>
      </c>
      <c r="J67" s="34">
        <v>0</v>
      </c>
      <c r="K67" s="34">
        <v>0</v>
      </c>
      <c r="L67" s="34">
        <v>0</v>
      </c>
      <c r="M67" s="34">
        <f>F67*G67</f>
        <v>2651.22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f t="shared" si="9"/>
        <v>2651.22</v>
      </c>
    </row>
    <row r="68" spans="1:21" ht="12.75" customHeight="1">
      <c r="A68" s="147"/>
      <c r="B68" s="16" t="s">
        <v>102</v>
      </c>
      <c r="C68" s="62" t="s">
        <v>39</v>
      </c>
      <c r="D68" s="8"/>
      <c r="E68" s="31">
        <v>58.5</v>
      </c>
      <c r="F68" s="50">
        <f>SUM(E68)</f>
        <v>58.5</v>
      </c>
      <c r="G68" s="50">
        <v>42.28</v>
      </c>
      <c r="H68" s="129">
        <f t="shared" si="10"/>
        <v>2.4733800000000001</v>
      </c>
      <c r="I68" s="34">
        <v>0</v>
      </c>
      <c r="J68" s="34">
        <v>0</v>
      </c>
      <c r="K68" s="34">
        <v>0</v>
      </c>
      <c r="L68" s="34">
        <v>0</v>
      </c>
      <c r="M68" s="34">
        <f>F68*G68</f>
        <v>2473.38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f t="shared" si="9"/>
        <v>2473.38</v>
      </c>
    </row>
    <row r="69" spans="1:21">
      <c r="A69" s="62" t="s">
        <v>209</v>
      </c>
      <c r="B69" s="8" t="s">
        <v>80</v>
      </c>
      <c r="C69" s="62" t="s">
        <v>81</v>
      </c>
      <c r="D69" s="8" t="s">
        <v>34</v>
      </c>
      <c r="E69" s="63">
        <v>5</v>
      </c>
      <c r="F69" s="32">
        <v>5</v>
      </c>
      <c r="G69" s="50">
        <v>49.88</v>
      </c>
      <c r="H69" s="129">
        <f t="shared" si="10"/>
        <v>0.24940000000000001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f>F69*G69</f>
        <v>249.4</v>
      </c>
      <c r="R69" s="34">
        <v>0</v>
      </c>
      <c r="S69" s="34">
        <v>0</v>
      </c>
      <c r="T69" s="34">
        <v>0</v>
      </c>
      <c r="U69" s="34">
        <f t="shared" si="9"/>
        <v>249.4</v>
      </c>
    </row>
    <row r="70" spans="1:21">
      <c r="A70" s="147"/>
      <c r="B70" s="17" t="s">
        <v>82</v>
      </c>
      <c r="C70" s="62"/>
      <c r="D70" s="8"/>
      <c r="E70" s="63"/>
      <c r="F70" s="50"/>
      <c r="G70" s="50"/>
      <c r="H70" s="129" t="s">
        <v>45</v>
      </c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</row>
    <row r="71" spans="1:21">
      <c r="A71" s="62" t="s">
        <v>210</v>
      </c>
      <c r="B71" s="8" t="s">
        <v>83</v>
      </c>
      <c r="C71" s="62" t="s">
        <v>84</v>
      </c>
      <c r="D71" s="8"/>
      <c r="E71" s="63">
        <v>10</v>
      </c>
      <c r="F71" s="50">
        <v>1</v>
      </c>
      <c r="G71" s="50">
        <v>501.62</v>
      </c>
      <c r="H71" s="129">
        <f t="shared" si="10"/>
        <v>0.50161999999999995</v>
      </c>
      <c r="I71" s="34">
        <v>0</v>
      </c>
      <c r="J71" s="34">
        <v>0</v>
      </c>
      <c r="K71" s="34">
        <f>G71*1.3</f>
        <v>652.10599999999999</v>
      </c>
      <c r="L71" s="34">
        <f>G71*0.3</f>
        <v>150.48599999999999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f>G71*2</f>
        <v>1003.24</v>
      </c>
      <c r="S71" s="34">
        <v>0</v>
      </c>
      <c r="T71" s="34">
        <f>G71*1.2</f>
        <v>601.94399999999996</v>
      </c>
      <c r="U71" s="34">
        <f t="shared" si="9"/>
        <v>2407.7759999999998</v>
      </c>
    </row>
    <row r="72" spans="1:21">
      <c r="A72" s="62" t="s">
        <v>211</v>
      </c>
      <c r="B72" s="8" t="s">
        <v>103</v>
      </c>
      <c r="C72" s="62" t="s">
        <v>36</v>
      </c>
      <c r="D72" s="8"/>
      <c r="E72" s="63">
        <v>3</v>
      </c>
      <c r="F72" s="61">
        <v>3</v>
      </c>
      <c r="G72" s="50">
        <v>852.99</v>
      </c>
      <c r="H72" s="129">
        <f>F72*G72/1000</f>
        <v>2.5589700000000004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f t="shared" si="9"/>
        <v>0</v>
      </c>
    </row>
    <row r="73" spans="1:21">
      <c r="A73" s="62" t="s">
        <v>212</v>
      </c>
      <c r="B73" s="8" t="s">
        <v>105</v>
      </c>
      <c r="C73" s="62" t="s">
        <v>36</v>
      </c>
      <c r="D73" s="8"/>
      <c r="E73" s="63">
        <v>1</v>
      </c>
      <c r="F73" s="50">
        <v>1</v>
      </c>
      <c r="G73" s="50">
        <v>358.51</v>
      </c>
      <c r="H73" s="129">
        <f>G73*F73/1000</f>
        <v>0.35851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f t="shared" si="9"/>
        <v>0</v>
      </c>
    </row>
    <row r="74" spans="1:21">
      <c r="A74" s="147"/>
      <c r="B74" s="66" t="s">
        <v>85</v>
      </c>
      <c r="C74" s="62"/>
      <c r="D74" s="8"/>
      <c r="E74" s="63"/>
      <c r="F74" s="50"/>
      <c r="G74" s="50" t="s">
        <v>45</v>
      </c>
      <c r="H74" s="129" t="s">
        <v>45</v>
      </c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</row>
    <row r="75" spans="1:21" s="1" customFormat="1">
      <c r="A75" s="64" t="s">
        <v>86</v>
      </c>
      <c r="B75" s="67" t="s">
        <v>87</v>
      </c>
      <c r="C75" s="64" t="s">
        <v>79</v>
      </c>
      <c r="D75" s="15"/>
      <c r="E75" s="68"/>
      <c r="F75" s="51">
        <v>1.2</v>
      </c>
      <c r="G75" s="51">
        <v>2759.44</v>
      </c>
      <c r="H75" s="129">
        <f t="shared" si="10"/>
        <v>3.311328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34">
        <f t="shared" si="9"/>
        <v>0</v>
      </c>
    </row>
    <row r="76" spans="1:21" s="20" customFormat="1">
      <c r="A76" s="148"/>
      <c r="B76" s="19" t="s">
        <v>28</v>
      </c>
      <c r="C76" s="69"/>
      <c r="D76" s="70"/>
      <c r="E76" s="71"/>
      <c r="F76" s="55"/>
      <c r="G76" s="55"/>
      <c r="H76" s="72">
        <f>SUM(H55:H75)</f>
        <v>197.73024405999999</v>
      </c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>
        <f>SUM(U55:U75)</f>
        <v>189374.40996000002</v>
      </c>
    </row>
    <row r="77" spans="1:21">
      <c r="A77" s="149" t="s">
        <v>137</v>
      </c>
      <c r="B77" s="10" t="s">
        <v>138</v>
      </c>
      <c r="C77" s="74"/>
      <c r="D77" s="75"/>
      <c r="E77" s="128"/>
      <c r="F77" s="76">
        <v>1</v>
      </c>
      <c r="G77" s="77">
        <v>24989.1</v>
      </c>
      <c r="H77" s="129">
        <f>G77*F77/1000</f>
        <v>24.989099999999997</v>
      </c>
      <c r="I77" s="34">
        <v>0</v>
      </c>
      <c r="J77" s="34">
        <v>0</v>
      </c>
      <c r="K77" s="34">
        <v>0</v>
      </c>
      <c r="L77" s="34">
        <f>G77</f>
        <v>24989.1</v>
      </c>
      <c r="M77" s="35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f t="shared" si="9"/>
        <v>24989.1</v>
      </c>
    </row>
    <row r="78" spans="1:21" ht="12.75" customHeight="1">
      <c r="A78" s="62"/>
      <c r="B78" s="73" t="s">
        <v>88</v>
      </c>
      <c r="C78" s="62" t="s">
        <v>89</v>
      </c>
      <c r="D78" s="78"/>
      <c r="E78" s="50">
        <v>6980.3</v>
      </c>
      <c r="F78" s="50">
        <f>SUM(E78*12)</f>
        <v>83763.600000000006</v>
      </c>
      <c r="G78" s="79">
        <v>2.1</v>
      </c>
      <c r="H78" s="129">
        <f>SUM(F78*G78/1000)</f>
        <v>175.90356000000003</v>
      </c>
      <c r="I78" s="34">
        <f>F78/12*G78</f>
        <v>14658.630000000001</v>
      </c>
      <c r="J78" s="34">
        <f>F78/12*G78</f>
        <v>14658.630000000001</v>
      </c>
      <c r="K78" s="34">
        <f>F78/12*G78</f>
        <v>14658.630000000001</v>
      </c>
      <c r="L78" s="34">
        <f>F78/12*G78</f>
        <v>14658.630000000001</v>
      </c>
      <c r="M78" s="34">
        <f>F78/12*G78</f>
        <v>14658.630000000001</v>
      </c>
      <c r="N78" s="34">
        <f>F78/12*G78</f>
        <v>14658.630000000001</v>
      </c>
      <c r="O78" s="34">
        <f>F78/12*G78</f>
        <v>14658.630000000001</v>
      </c>
      <c r="P78" s="34">
        <f>F78/12*G78</f>
        <v>14658.630000000001</v>
      </c>
      <c r="Q78" s="34">
        <f>F78/12*G78</f>
        <v>14658.630000000001</v>
      </c>
      <c r="R78" s="34">
        <f>F78/12*G78</f>
        <v>14658.630000000001</v>
      </c>
      <c r="S78" s="34">
        <f>F78/12*G78</f>
        <v>14658.630000000001</v>
      </c>
      <c r="T78" s="34">
        <f>F78/12*G78</f>
        <v>14658.630000000001</v>
      </c>
      <c r="U78" s="34">
        <f t="shared" si="9"/>
        <v>175903.56000000003</v>
      </c>
    </row>
    <row r="79" spans="1:21" s="18" customFormat="1">
      <c r="A79" s="80"/>
      <c r="B79" s="19" t="s">
        <v>28</v>
      </c>
      <c r="C79" s="81"/>
      <c r="D79" s="82"/>
      <c r="E79" s="83"/>
      <c r="F79" s="41"/>
      <c r="G79" s="84"/>
      <c r="H79" s="42">
        <f>SUM(H77:H78)</f>
        <v>200.89266000000003</v>
      </c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>
        <f>SUM(U77:U78)</f>
        <v>200892.66000000003</v>
      </c>
    </row>
    <row r="80" spans="1:21" ht="25.5" customHeight="1">
      <c r="A80" s="147"/>
      <c r="B80" s="8" t="s">
        <v>90</v>
      </c>
      <c r="C80" s="62"/>
      <c r="D80" s="85"/>
      <c r="E80" s="31">
        <f>E78</f>
        <v>6980.3</v>
      </c>
      <c r="F80" s="50">
        <f>E80*12</f>
        <v>83763.600000000006</v>
      </c>
      <c r="G80" s="50">
        <v>1.63</v>
      </c>
      <c r="H80" s="129">
        <f>F80*G80/1000</f>
        <v>136.53466800000001</v>
      </c>
      <c r="I80" s="34">
        <f>F80/12*G80</f>
        <v>11377.888999999999</v>
      </c>
      <c r="J80" s="34">
        <f>F80/12*G80</f>
        <v>11377.888999999999</v>
      </c>
      <c r="K80" s="34">
        <f>F80/12*G80</f>
        <v>11377.888999999999</v>
      </c>
      <c r="L80" s="34">
        <f>F80/12*G80</f>
        <v>11377.888999999999</v>
      </c>
      <c r="M80" s="34">
        <f>F80/12*G80</f>
        <v>11377.888999999999</v>
      </c>
      <c r="N80" s="34">
        <f>F80/12*G80</f>
        <v>11377.888999999999</v>
      </c>
      <c r="O80" s="34">
        <f>F80/12*G80</f>
        <v>11377.888999999999</v>
      </c>
      <c r="P80" s="34">
        <f>F80/12*G80</f>
        <v>11377.888999999999</v>
      </c>
      <c r="Q80" s="34">
        <f>F80/12*G80</f>
        <v>11377.888999999999</v>
      </c>
      <c r="R80" s="34">
        <f>F80/12*G80</f>
        <v>11377.888999999999</v>
      </c>
      <c r="S80" s="34">
        <f>F80/12*G80</f>
        <v>11377.888999999999</v>
      </c>
      <c r="T80" s="34">
        <f>F80/12*G80</f>
        <v>11377.888999999999</v>
      </c>
      <c r="U80" s="34">
        <f t="shared" si="9"/>
        <v>136534.66799999998</v>
      </c>
    </row>
    <row r="81" spans="1:27" s="18" customFormat="1">
      <c r="A81" s="80"/>
      <c r="B81" s="86" t="s">
        <v>91</v>
      </c>
      <c r="C81" s="87"/>
      <c r="D81" s="86"/>
      <c r="E81" s="41"/>
      <c r="F81" s="41"/>
      <c r="G81" s="41"/>
      <c r="H81" s="72">
        <f>H80</f>
        <v>136.53466800000001</v>
      </c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124">
        <f>U80</f>
        <v>136534.66799999998</v>
      </c>
    </row>
    <row r="82" spans="1:27" s="18" customFormat="1">
      <c r="A82" s="80"/>
      <c r="B82" s="86" t="s">
        <v>92</v>
      </c>
      <c r="C82" s="88"/>
      <c r="D82" s="89"/>
      <c r="E82" s="90"/>
      <c r="F82" s="90"/>
      <c r="G82" s="90"/>
      <c r="H82" s="72">
        <f>SUM(H81+H79+H76+H53+H42+H32+H21)</f>
        <v>1494.4617270512333</v>
      </c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124">
        <f>SUM(U81+U79+U76+U53+U42+U32+U21)*1.054</f>
        <v>1559100.7457746004</v>
      </c>
      <c r="X82" s="183"/>
      <c r="Y82" s="183"/>
      <c r="Z82" s="183"/>
      <c r="AA82" s="183"/>
    </row>
    <row r="83" spans="1:27" s="119" customFormat="1" ht="51" customHeight="1">
      <c r="A83" s="150"/>
      <c r="B83" s="66"/>
      <c r="C83" s="62"/>
      <c r="D83" s="85"/>
      <c r="E83" s="50"/>
      <c r="F83" s="50"/>
      <c r="G83" s="50"/>
      <c r="H83" s="118"/>
      <c r="I83" s="50"/>
      <c r="J83" s="50"/>
      <c r="K83" s="50"/>
      <c r="L83" s="50"/>
      <c r="M83" s="50"/>
      <c r="N83" s="50"/>
      <c r="O83" s="50"/>
      <c r="P83" s="50"/>
      <c r="Q83" s="50"/>
      <c r="R83" s="130"/>
      <c r="S83" s="130"/>
      <c r="T83" s="130"/>
      <c r="U83" s="131" t="s">
        <v>232</v>
      </c>
    </row>
    <row r="84" spans="1:27">
      <c r="A84" s="151"/>
      <c r="B84" s="85" t="s">
        <v>93</v>
      </c>
      <c r="C84" s="62"/>
      <c r="D84" s="85"/>
      <c r="E84" s="50"/>
      <c r="F84" s="50"/>
      <c r="G84" s="50" t="s">
        <v>94</v>
      </c>
      <c r="H84" s="91">
        <f>E80</f>
        <v>6980.3</v>
      </c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</row>
    <row r="85" spans="1:27" s="18" customFormat="1">
      <c r="A85" s="80"/>
      <c r="B85" s="89" t="s">
        <v>95</v>
      </c>
      <c r="C85" s="88"/>
      <c r="D85" s="89"/>
      <c r="E85" s="90"/>
      <c r="F85" s="90"/>
      <c r="G85" s="90"/>
      <c r="H85" s="92">
        <f>SUM(H82/H84/12*1000)</f>
        <v>17.841421895086093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125"/>
    </row>
    <row r="86" spans="1:27">
      <c r="A86" s="93"/>
      <c r="B86" s="85"/>
      <c r="C86" s="62"/>
      <c r="D86" s="85"/>
      <c r="E86" s="50"/>
      <c r="F86" s="50"/>
      <c r="G86" s="50"/>
      <c r="H86" s="9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126"/>
    </row>
    <row r="87" spans="1:27">
      <c r="A87" s="147"/>
      <c r="B87" s="66" t="s">
        <v>96</v>
      </c>
      <c r="C87" s="62"/>
      <c r="D87" s="85"/>
      <c r="E87" s="50"/>
      <c r="F87" s="50"/>
      <c r="G87" s="50"/>
      <c r="H87" s="50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</row>
    <row r="88" spans="1:27">
      <c r="A88" s="132" t="s">
        <v>221</v>
      </c>
      <c r="B88" s="133" t="s">
        <v>164</v>
      </c>
      <c r="C88" s="132" t="s">
        <v>140</v>
      </c>
      <c r="D88" s="8"/>
      <c r="E88" s="63"/>
      <c r="F88" s="50">
        <v>11</v>
      </c>
      <c r="G88" s="50">
        <v>195.85</v>
      </c>
      <c r="H88" s="129">
        <f>G88*F88/1000</f>
        <v>2.15435</v>
      </c>
      <c r="I88" s="34">
        <f>G88</f>
        <v>195.85</v>
      </c>
      <c r="J88" s="34">
        <f>G88</f>
        <v>195.85</v>
      </c>
      <c r="K88" s="34">
        <f>G88</f>
        <v>195.85</v>
      </c>
      <c r="L88" s="34">
        <f>G88*2</f>
        <v>391.7</v>
      </c>
      <c r="M88" s="34">
        <v>0</v>
      </c>
      <c r="N88" s="34">
        <f>G88</f>
        <v>195.85</v>
      </c>
      <c r="O88" s="34">
        <f>G88</f>
        <v>195.85</v>
      </c>
      <c r="P88" s="34">
        <v>0</v>
      </c>
      <c r="Q88" s="34">
        <f>G88</f>
        <v>195.85</v>
      </c>
      <c r="R88" s="34">
        <f>G88*3</f>
        <v>587.54999999999995</v>
      </c>
      <c r="S88" s="34">
        <v>0</v>
      </c>
      <c r="T88" s="34">
        <v>0</v>
      </c>
      <c r="U88" s="34">
        <f t="shared" ref="U88:U147" si="11">SUM(I88:T88)</f>
        <v>2154.3499999999995</v>
      </c>
    </row>
    <row r="89" spans="1:27" ht="25.5" customHeight="1">
      <c r="A89" s="134" t="s">
        <v>223</v>
      </c>
      <c r="B89" s="133" t="s">
        <v>233</v>
      </c>
      <c r="C89" s="132" t="s">
        <v>120</v>
      </c>
      <c r="D89" s="8"/>
      <c r="E89" s="63"/>
      <c r="F89" s="50">
        <v>1</v>
      </c>
      <c r="G89" s="50">
        <v>666.24</v>
      </c>
      <c r="H89" s="129">
        <f t="shared" ref="H89:H96" si="12">G89*F89/1000</f>
        <v>0.66624000000000005</v>
      </c>
      <c r="I89" s="34">
        <f>G89</f>
        <v>666.24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f t="shared" si="11"/>
        <v>666.24</v>
      </c>
    </row>
    <row r="90" spans="1:27" ht="12.75" customHeight="1">
      <c r="A90" s="24" t="s">
        <v>234</v>
      </c>
      <c r="B90" s="23" t="s">
        <v>235</v>
      </c>
      <c r="C90" s="24" t="s">
        <v>120</v>
      </c>
      <c r="D90" s="8"/>
      <c r="E90" s="63"/>
      <c r="F90" s="50">
        <v>1</v>
      </c>
      <c r="G90" s="50">
        <v>525.01</v>
      </c>
      <c r="H90" s="129">
        <f t="shared" si="12"/>
        <v>0.52500999999999998</v>
      </c>
      <c r="I90" s="34">
        <f>G90</f>
        <v>525.01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f t="shared" si="11"/>
        <v>525.01</v>
      </c>
    </row>
    <row r="91" spans="1:27" ht="25.5" customHeight="1">
      <c r="A91" s="115" t="s">
        <v>154</v>
      </c>
      <c r="B91" s="116" t="s">
        <v>226</v>
      </c>
      <c r="C91" s="117" t="s">
        <v>150</v>
      </c>
      <c r="D91" s="8"/>
      <c r="E91" s="63"/>
      <c r="F91" s="50">
        <v>50</v>
      </c>
      <c r="G91" s="153">
        <v>1187</v>
      </c>
      <c r="H91" s="129">
        <f t="shared" si="12"/>
        <v>59.35</v>
      </c>
      <c r="I91" s="34">
        <f>G91*24</f>
        <v>28488</v>
      </c>
      <c r="J91" s="34">
        <v>0</v>
      </c>
      <c r="K91" s="34">
        <v>0</v>
      </c>
      <c r="L91" s="34">
        <f>G91*(6+8)</f>
        <v>16618</v>
      </c>
      <c r="M91" s="34">
        <v>0</v>
      </c>
      <c r="N91" s="34">
        <f>G91*(8+1.5)</f>
        <v>11276.5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f>G91*2.5</f>
        <v>2967.5</v>
      </c>
      <c r="U91" s="34">
        <f t="shared" si="11"/>
        <v>59350</v>
      </c>
    </row>
    <row r="92" spans="1:27" ht="25.5">
      <c r="A92" s="134" t="s">
        <v>218</v>
      </c>
      <c r="B92" s="133" t="s">
        <v>148</v>
      </c>
      <c r="C92" s="132" t="s">
        <v>120</v>
      </c>
      <c r="D92" s="8"/>
      <c r="E92" s="63"/>
      <c r="F92" s="50">
        <v>13</v>
      </c>
      <c r="G92" s="50">
        <v>589.54</v>
      </c>
      <c r="H92" s="129">
        <f t="shared" si="12"/>
        <v>7.6640199999999998</v>
      </c>
      <c r="I92" s="34">
        <f>G92*2</f>
        <v>1179.08</v>
      </c>
      <c r="J92" s="34">
        <v>0</v>
      </c>
      <c r="K92" s="34">
        <f>G92*5</f>
        <v>2947.7</v>
      </c>
      <c r="L92" s="34">
        <v>0</v>
      </c>
      <c r="M92" s="34">
        <v>0</v>
      </c>
      <c r="N92" s="34">
        <f>G92</f>
        <v>589.54</v>
      </c>
      <c r="O92" s="34">
        <f>G92*3</f>
        <v>1768.62</v>
      </c>
      <c r="P92" s="34">
        <v>0</v>
      </c>
      <c r="Q92" s="34">
        <f>G92*2</f>
        <v>1179.08</v>
      </c>
      <c r="R92" s="34">
        <v>0</v>
      </c>
      <c r="S92" s="34">
        <v>0</v>
      </c>
      <c r="T92" s="34">
        <v>0</v>
      </c>
      <c r="U92" s="34">
        <f t="shared" si="11"/>
        <v>7664.0199999999995</v>
      </c>
    </row>
    <row r="93" spans="1:27" ht="25.5" customHeight="1">
      <c r="A93" s="134" t="s">
        <v>223</v>
      </c>
      <c r="B93" s="133" t="s">
        <v>155</v>
      </c>
      <c r="C93" s="132" t="s">
        <v>120</v>
      </c>
      <c r="D93" s="8"/>
      <c r="E93" s="63"/>
      <c r="F93" s="50">
        <v>3</v>
      </c>
      <c r="G93" s="153">
        <v>803.54</v>
      </c>
      <c r="H93" s="129">
        <f t="shared" si="12"/>
        <v>2.4106199999999998</v>
      </c>
      <c r="I93" s="34">
        <f>G93</f>
        <v>803.54</v>
      </c>
      <c r="J93" s="34">
        <v>0</v>
      </c>
      <c r="K93" s="34">
        <f>G93*2</f>
        <v>1607.08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f t="shared" si="11"/>
        <v>2410.62</v>
      </c>
    </row>
    <row r="94" spans="1:27" ht="25.5">
      <c r="A94" s="132" t="s">
        <v>214</v>
      </c>
      <c r="B94" s="133" t="s">
        <v>133</v>
      </c>
      <c r="C94" s="132" t="s">
        <v>63</v>
      </c>
      <c r="D94" s="8"/>
      <c r="E94" s="63"/>
      <c r="F94" s="50">
        <v>1440</v>
      </c>
      <c r="G94" s="50">
        <v>53.42</v>
      </c>
      <c r="H94" s="129">
        <f t="shared" si="12"/>
        <v>76.924800000000005</v>
      </c>
      <c r="I94" s="34">
        <f>G94*120</f>
        <v>6410.4000000000005</v>
      </c>
      <c r="J94" s="34">
        <f>G94*120</f>
        <v>6410.4000000000005</v>
      </c>
      <c r="K94" s="34">
        <f>G94*120</f>
        <v>6410.4000000000005</v>
      </c>
      <c r="L94" s="34">
        <f>G94*120</f>
        <v>6410.4000000000005</v>
      </c>
      <c r="M94" s="34">
        <f>G94*120</f>
        <v>6410.4000000000005</v>
      </c>
      <c r="N94" s="34">
        <f>G94*120</f>
        <v>6410.4000000000005</v>
      </c>
      <c r="O94" s="34">
        <f>G94*120</f>
        <v>6410.4000000000005</v>
      </c>
      <c r="P94" s="34">
        <f>G94*120</f>
        <v>6410.4000000000005</v>
      </c>
      <c r="Q94" s="34">
        <f>G94*120</f>
        <v>6410.4000000000005</v>
      </c>
      <c r="R94" s="34">
        <f>G94*120</f>
        <v>6410.4000000000005</v>
      </c>
      <c r="S94" s="34">
        <f>G94*120</f>
        <v>6410.4000000000005</v>
      </c>
      <c r="T94" s="34">
        <f>G94*120</f>
        <v>6410.4000000000005</v>
      </c>
      <c r="U94" s="34">
        <f t="shared" si="11"/>
        <v>76924.800000000003</v>
      </c>
    </row>
    <row r="95" spans="1:27">
      <c r="A95" s="115" t="s">
        <v>215</v>
      </c>
      <c r="B95" s="135" t="s">
        <v>144</v>
      </c>
      <c r="C95" s="132" t="s">
        <v>63</v>
      </c>
      <c r="D95" s="8"/>
      <c r="E95" s="63"/>
      <c r="F95" s="50">
        <v>6</v>
      </c>
      <c r="G95" s="50">
        <v>189.67</v>
      </c>
      <c r="H95" s="129">
        <f t="shared" si="12"/>
        <v>1.13802</v>
      </c>
      <c r="I95" s="34">
        <f>G95*2</f>
        <v>379.34</v>
      </c>
      <c r="J95" s="34">
        <f>G95*2</f>
        <v>379.34</v>
      </c>
      <c r="K95" s="34">
        <v>0</v>
      </c>
      <c r="L95" s="34">
        <v>0</v>
      </c>
      <c r="M95" s="34">
        <v>0</v>
      </c>
      <c r="N95" s="34">
        <v>0</v>
      </c>
      <c r="O95" s="34">
        <f>G95*2</f>
        <v>379.34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f t="shared" si="11"/>
        <v>1138.02</v>
      </c>
    </row>
    <row r="96" spans="1:27" ht="13.5" customHeight="1">
      <c r="A96" s="155" t="s">
        <v>220</v>
      </c>
      <c r="B96" s="156" t="s">
        <v>147</v>
      </c>
      <c r="C96" s="157" t="s">
        <v>63</v>
      </c>
      <c r="D96" s="21"/>
      <c r="E96" s="57"/>
      <c r="F96" s="60">
        <v>1</v>
      </c>
      <c r="G96" s="136">
        <v>86.15</v>
      </c>
      <c r="H96" s="129">
        <f t="shared" si="12"/>
        <v>8.6150000000000004E-2</v>
      </c>
      <c r="I96" s="34">
        <f>G96</f>
        <v>86.15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f t="shared" si="11"/>
        <v>86.15</v>
      </c>
    </row>
    <row r="97" spans="1:25" ht="25.5">
      <c r="A97" s="134" t="s">
        <v>240</v>
      </c>
      <c r="B97" s="133" t="s">
        <v>242</v>
      </c>
      <c r="C97" s="132" t="s">
        <v>120</v>
      </c>
      <c r="D97" s="8"/>
      <c r="E97" s="63"/>
      <c r="F97" s="50">
        <v>1</v>
      </c>
      <c r="G97" s="50">
        <v>506.98</v>
      </c>
      <c r="H97" s="129">
        <f t="shared" ref="H97" si="13">G97*F97/1000</f>
        <v>0.50697999999999999</v>
      </c>
      <c r="I97" s="34">
        <v>0</v>
      </c>
      <c r="J97" s="34">
        <f>G97</f>
        <v>506.98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f t="shared" si="11"/>
        <v>506.98</v>
      </c>
    </row>
    <row r="98" spans="1:25" ht="12.75" customHeight="1">
      <c r="A98" s="158" t="s">
        <v>252</v>
      </c>
      <c r="B98" s="159" t="s">
        <v>251</v>
      </c>
      <c r="C98" s="158" t="s">
        <v>171</v>
      </c>
      <c r="D98" s="85"/>
      <c r="E98" s="50"/>
      <c r="F98" s="50">
        <f>(3+4+15+15+15+5+20+20+15+10+15+15+7+6+15+3+10+10+15+7+20+3)/3</f>
        <v>82.666666666666671</v>
      </c>
      <c r="G98" s="50">
        <v>1120.8900000000001</v>
      </c>
      <c r="H98" s="129">
        <f>G98*F98/1000</f>
        <v>92.660240000000016</v>
      </c>
      <c r="I98" s="34">
        <v>0</v>
      </c>
      <c r="J98" s="34">
        <f>G98</f>
        <v>1120.8900000000001</v>
      </c>
      <c r="K98" s="34">
        <f>G98*((4+15+15+15+5)/3)</f>
        <v>20176.02</v>
      </c>
      <c r="L98" s="34">
        <f>G98*((20+20)/3)</f>
        <v>14945.200000000003</v>
      </c>
      <c r="M98" s="34">
        <f>G98*(15/3)</f>
        <v>5604.4500000000007</v>
      </c>
      <c r="N98" s="34">
        <f>G98*(10/3)</f>
        <v>3736.3000000000006</v>
      </c>
      <c r="O98" s="34">
        <f>G98*(15/3)</f>
        <v>5604.4500000000007</v>
      </c>
      <c r="P98" s="34">
        <f>G98*((15+7+6+15)/3)</f>
        <v>16066.090000000002</v>
      </c>
      <c r="Q98" s="34">
        <f>G98</f>
        <v>1120.8900000000001</v>
      </c>
      <c r="R98" s="34">
        <f>G98*((10+10+15+7)/3)</f>
        <v>15692.460000000001</v>
      </c>
      <c r="S98" s="34">
        <v>0</v>
      </c>
      <c r="T98" s="34">
        <f>G98*((20+3)/3)</f>
        <v>8593.4900000000016</v>
      </c>
      <c r="U98" s="34">
        <f t="shared" si="11"/>
        <v>92660.24</v>
      </c>
    </row>
    <row r="99" spans="1:25" ht="25.5">
      <c r="A99" s="160" t="s">
        <v>154</v>
      </c>
      <c r="B99" s="133" t="s">
        <v>241</v>
      </c>
      <c r="C99" s="160" t="s">
        <v>150</v>
      </c>
      <c r="D99" s="85"/>
      <c r="E99" s="50"/>
      <c r="F99" s="50">
        <v>2</v>
      </c>
      <c r="G99" s="50">
        <v>1964</v>
      </c>
      <c r="H99" s="129">
        <f t="shared" ref="H99:H108" si="14">G99*F99/1000</f>
        <v>3.9279999999999999</v>
      </c>
      <c r="I99" s="34">
        <v>0</v>
      </c>
      <c r="J99" s="34">
        <f>G99*2</f>
        <v>3928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f t="shared" si="11"/>
        <v>3928</v>
      </c>
    </row>
    <row r="100" spans="1:25" ht="25.5">
      <c r="A100" s="24" t="s">
        <v>225</v>
      </c>
      <c r="B100" s="23" t="s">
        <v>243</v>
      </c>
      <c r="C100" s="24" t="s">
        <v>120</v>
      </c>
      <c r="D100" s="85"/>
      <c r="E100" s="50"/>
      <c r="F100" s="50">
        <v>31</v>
      </c>
      <c r="G100" s="50">
        <v>1046.06</v>
      </c>
      <c r="H100" s="129">
        <f t="shared" si="14"/>
        <v>32.427859999999995</v>
      </c>
      <c r="I100" s="161">
        <v>0</v>
      </c>
      <c r="J100" s="161">
        <v>0</v>
      </c>
      <c r="K100" s="161">
        <f>G100*(10+2)</f>
        <v>12552.72</v>
      </c>
      <c r="L100" s="161">
        <f>G100*2</f>
        <v>2092.12</v>
      </c>
      <c r="M100" s="161">
        <v>0</v>
      </c>
      <c r="N100" s="161">
        <f>G100*6</f>
        <v>6276.36</v>
      </c>
      <c r="O100" s="161">
        <f>G100*6</f>
        <v>6276.36</v>
      </c>
      <c r="P100" s="161">
        <v>0</v>
      </c>
      <c r="Q100" s="34">
        <v>0</v>
      </c>
      <c r="R100" s="34">
        <f>G100*5</f>
        <v>5230.2999999999993</v>
      </c>
      <c r="S100" s="34">
        <v>0</v>
      </c>
      <c r="T100" s="34">
        <v>0</v>
      </c>
      <c r="U100" s="34">
        <f t="shared" si="11"/>
        <v>32427.86</v>
      </c>
    </row>
    <row r="101" spans="1:25">
      <c r="A101" s="24" t="s">
        <v>169</v>
      </c>
      <c r="B101" s="23" t="s">
        <v>244</v>
      </c>
      <c r="C101" s="24" t="s">
        <v>63</v>
      </c>
      <c r="D101" s="85"/>
      <c r="E101" s="50"/>
      <c r="F101" s="50">
        <v>1</v>
      </c>
      <c r="G101" s="50">
        <v>112</v>
      </c>
      <c r="H101" s="129">
        <f t="shared" si="14"/>
        <v>0.112</v>
      </c>
      <c r="I101" s="161">
        <v>0</v>
      </c>
      <c r="J101" s="161">
        <v>0</v>
      </c>
      <c r="K101" s="161">
        <f>G101</f>
        <v>112</v>
      </c>
      <c r="L101" s="161">
        <v>0</v>
      </c>
      <c r="M101" s="161">
        <v>0</v>
      </c>
      <c r="N101" s="161">
        <v>0</v>
      </c>
      <c r="O101" s="161">
        <v>0</v>
      </c>
      <c r="P101" s="161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f t="shared" si="11"/>
        <v>112</v>
      </c>
    </row>
    <row r="102" spans="1:25">
      <c r="A102" s="132" t="s">
        <v>169</v>
      </c>
      <c r="B102" s="133" t="s">
        <v>245</v>
      </c>
      <c r="C102" s="132" t="s">
        <v>63</v>
      </c>
      <c r="D102" s="8"/>
      <c r="E102" s="63"/>
      <c r="F102" s="50">
        <v>2</v>
      </c>
      <c r="G102" s="50">
        <v>50</v>
      </c>
      <c r="H102" s="129">
        <f t="shared" si="14"/>
        <v>0.1</v>
      </c>
      <c r="I102" s="161">
        <v>0</v>
      </c>
      <c r="J102" s="161">
        <v>0</v>
      </c>
      <c r="K102" s="161">
        <f>G102</f>
        <v>50</v>
      </c>
      <c r="L102" s="161">
        <v>0</v>
      </c>
      <c r="M102" s="161">
        <v>0</v>
      </c>
      <c r="N102" s="161">
        <v>0</v>
      </c>
      <c r="O102" s="161">
        <f>G102</f>
        <v>50</v>
      </c>
      <c r="P102" s="161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f t="shared" si="11"/>
        <v>100</v>
      </c>
    </row>
    <row r="103" spans="1:25" ht="12.75" customHeight="1">
      <c r="A103" s="132" t="s">
        <v>169</v>
      </c>
      <c r="B103" s="133" t="s">
        <v>250</v>
      </c>
      <c r="C103" s="132" t="s">
        <v>63</v>
      </c>
      <c r="D103" s="85"/>
      <c r="E103" s="50"/>
      <c r="F103" s="50">
        <v>4</v>
      </c>
      <c r="G103" s="50">
        <v>22</v>
      </c>
      <c r="H103" s="129">
        <f t="shared" si="14"/>
        <v>8.7999999999999995E-2</v>
      </c>
      <c r="I103" s="34">
        <v>0</v>
      </c>
      <c r="J103" s="34">
        <v>0</v>
      </c>
      <c r="K103" s="34">
        <f>G103*3</f>
        <v>66</v>
      </c>
      <c r="L103" s="161">
        <v>0</v>
      </c>
      <c r="M103" s="161">
        <v>0</v>
      </c>
      <c r="N103" s="34">
        <v>0</v>
      </c>
      <c r="O103" s="34">
        <f>G103</f>
        <v>22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f t="shared" si="11"/>
        <v>88</v>
      </c>
    </row>
    <row r="104" spans="1:25" ht="12.75" customHeight="1">
      <c r="A104" s="132" t="s">
        <v>169</v>
      </c>
      <c r="B104" s="133" t="s">
        <v>246</v>
      </c>
      <c r="C104" s="132" t="s">
        <v>63</v>
      </c>
      <c r="D104" s="85"/>
      <c r="E104" s="50"/>
      <c r="F104" s="50">
        <v>7</v>
      </c>
      <c r="G104" s="50">
        <v>22</v>
      </c>
      <c r="H104" s="129">
        <f t="shared" si="14"/>
        <v>0.154</v>
      </c>
      <c r="I104" s="34">
        <v>0</v>
      </c>
      <c r="J104" s="34">
        <v>0</v>
      </c>
      <c r="K104" s="34">
        <f>G104*3</f>
        <v>66</v>
      </c>
      <c r="L104" s="161">
        <v>0</v>
      </c>
      <c r="M104" s="161">
        <v>0</v>
      </c>
      <c r="N104" s="34">
        <v>0</v>
      </c>
      <c r="O104" s="34">
        <f>G104*2</f>
        <v>44</v>
      </c>
      <c r="P104" s="34">
        <v>0</v>
      </c>
      <c r="Q104" s="34">
        <v>0</v>
      </c>
      <c r="R104" s="34">
        <f>G104*2</f>
        <v>44</v>
      </c>
      <c r="S104" s="34">
        <v>0</v>
      </c>
      <c r="T104" s="34">
        <v>0</v>
      </c>
      <c r="U104" s="34">
        <f t="shared" si="11"/>
        <v>154</v>
      </c>
    </row>
    <row r="105" spans="1:25" ht="25.5" customHeight="1">
      <c r="A105" s="24" t="s">
        <v>248</v>
      </c>
      <c r="B105" s="23" t="s">
        <v>249</v>
      </c>
      <c r="C105" s="24" t="s">
        <v>120</v>
      </c>
      <c r="D105" s="85"/>
      <c r="E105" s="50"/>
      <c r="F105" s="50">
        <v>5</v>
      </c>
      <c r="G105" s="50">
        <v>727.73</v>
      </c>
      <c r="H105" s="129">
        <f t="shared" si="14"/>
        <v>3.6386500000000002</v>
      </c>
      <c r="I105" s="161">
        <v>0</v>
      </c>
      <c r="J105" s="161">
        <v>0</v>
      </c>
      <c r="K105" s="161">
        <f>G105*2</f>
        <v>1455.46</v>
      </c>
      <c r="L105" s="161">
        <v>0</v>
      </c>
      <c r="M105" s="161">
        <v>0</v>
      </c>
      <c r="N105" s="161">
        <v>0</v>
      </c>
      <c r="O105" s="161">
        <f>G105</f>
        <v>727.73</v>
      </c>
      <c r="P105" s="161">
        <v>0</v>
      </c>
      <c r="Q105" s="34">
        <v>0</v>
      </c>
      <c r="R105" s="34">
        <f>G105*2</f>
        <v>1455.46</v>
      </c>
      <c r="S105" s="34">
        <v>0</v>
      </c>
      <c r="T105" s="34">
        <v>0</v>
      </c>
      <c r="U105" s="34">
        <f t="shared" si="11"/>
        <v>3638.65</v>
      </c>
    </row>
    <row r="106" spans="1:25">
      <c r="A106" s="132" t="s">
        <v>169</v>
      </c>
      <c r="B106" s="133" t="s">
        <v>247</v>
      </c>
      <c r="C106" s="132" t="s">
        <v>63</v>
      </c>
      <c r="D106" s="8"/>
      <c r="E106" s="63"/>
      <c r="F106" s="50">
        <v>11</v>
      </c>
      <c r="G106" s="50">
        <v>140</v>
      </c>
      <c r="H106" s="129">
        <f t="shared" si="14"/>
        <v>1.54</v>
      </c>
      <c r="I106" s="161">
        <v>0</v>
      </c>
      <c r="J106" s="161">
        <v>0</v>
      </c>
      <c r="K106" s="161">
        <f>G106*(4+2)</f>
        <v>840</v>
      </c>
      <c r="L106" s="161">
        <f>G106*2</f>
        <v>280</v>
      </c>
      <c r="M106" s="161">
        <v>0</v>
      </c>
      <c r="N106" s="161">
        <v>0</v>
      </c>
      <c r="O106" s="161">
        <f>G106*(1+1)</f>
        <v>280</v>
      </c>
      <c r="P106" s="161">
        <v>0</v>
      </c>
      <c r="Q106" s="34">
        <v>0</v>
      </c>
      <c r="R106" s="34">
        <f>G106</f>
        <v>140</v>
      </c>
      <c r="S106" s="34">
        <v>0</v>
      </c>
      <c r="T106" s="34">
        <v>0</v>
      </c>
      <c r="U106" s="34">
        <f t="shared" si="11"/>
        <v>1540</v>
      </c>
    </row>
    <row r="107" spans="1:25" ht="25.5" customHeight="1">
      <c r="A107" s="132" t="s">
        <v>224</v>
      </c>
      <c r="B107" s="133" t="s">
        <v>156</v>
      </c>
      <c r="C107" s="132" t="s">
        <v>149</v>
      </c>
      <c r="D107" s="8"/>
      <c r="E107" s="63"/>
      <c r="F107" s="50">
        <v>3</v>
      </c>
      <c r="G107" s="50">
        <v>306.37</v>
      </c>
      <c r="H107" s="129">
        <f t="shared" si="14"/>
        <v>0.91910999999999998</v>
      </c>
      <c r="I107" s="34">
        <v>0</v>
      </c>
      <c r="J107" s="34">
        <v>0</v>
      </c>
      <c r="K107" s="34">
        <f>G107*3</f>
        <v>919.11</v>
      </c>
      <c r="L107" s="34">
        <v>0</v>
      </c>
      <c r="M107" s="34">
        <v>0</v>
      </c>
      <c r="N107" s="161">
        <v>0</v>
      </c>
      <c r="O107" s="161">
        <v>0</v>
      </c>
      <c r="P107" s="161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f t="shared" si="11"/>
        <v>919.11</v>
      </c>
    </row>
    <row r="108" spans="1:25" ht="12.75" customHeight="1">
      <c r="A108" s="132" t="s">
        <v>169</v>
      </c>
      <c r="B108" s="133" t="s">
        <v>170</v>
      </c>
      <c r="C108" s="132" t="s">
        <v>63</v>
      </c>
      <c r="D108" s="85"/>
      <c r="E108" s="50"/>
      <c r="F108" s="50">
        <v>3</v>
      </c>
      <c r="G108" s="50">
        <v>40</v>
      </c>
      <c r="H108" s="129">
        <f t="shared" si="14"/>
        <v>0.12</v>
      </c>
      <c r="I108" s="34">
        <v>0</v>
      </c>
      <c r="J108" s="34">
        <v>0</v>
      </c>
      <c r="K108" s="34">
        <f>G108</f>
        <v>40</v>
      </c>
      <c r="L108" s="34">
        <f>G108</f>
        <v>40</v>
      </c>
      <c r="M108" s="34">
        <v>0</v>
      </c>
      <c r="N108" s="34">
        <v>0</v>
      </c>
      <c r="O108" s="34">
        <f>G108</f>
        <v>40</v>
      </c>
      <c r="P108" s="34">
        <v>0</v>
      </c>
      <c r="Q108" s="34">
        <v>0</v>
      </c>
      <c r="R108" s="34">
        <v>0</v>
      </c>
      <c r="S108" s="34">
        <v>0</v>
      </c>
      <c r="T108" s="34">
        <v>0</v>
      </c>
      <c r="U108" s="34">
        <f t="shared" si="11"/>
        <v>120</v>
      </c>
    </row>
    <row r="109" spans="1:25" ht="12.75" customHeight="1">
      <c r="A109" s="24" t="s">
        <v>169</v>
      </c>
      <c r="B109" s="23" t="s">
        <v>253</v>
      </c>
      <c r="C109" s="24" t="s">
        <v>63</v>
      </c>
      <c r="D109" s="154"/>
      <c r="E109" s="50"/>
      <c r="F109" s="50">
        <v>1</v>
      </c>
      <c r="G109" s="50">
        <v>108</v>
      </c>
      <c r="H109" s="129">
        <f>G109*F109/1000</f>
        <v>0.108</v>
      </c>
      <c r="I109" s="34">
        <v>0</v>
      </c>
      <c r="J109" s="34">
        <v>0</v>
      </c>
      <c r="K109" s="34">
        <f>G109</f>
        <v>108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f t="shared" si="11"/>
        <v>108</v>
      </c>
    </row>
    <row r="110" spans="1:25" ht="25.5" customHeight="1">
      <c r="A110" s="115" t="s">
        <v>154</v>
      </c>
      <c r="B110" s="116" t="s">
        <v>227</v>
      </c>
      <c r="C110" s="117" t="s">
        <v>150</v>
      </c>
      <c r="D110" s="8"/>
      <c r="E110" s="63"/>
      <c r="F110" s="50">
        <v>44.5</v>
      </c>
      <c r="G110" s="153">
        <v>1272</v>
      </c>
      <c r="H110" s="129">
        <f>G110*F110/1000</f>
        <v>56.603999999999999</v>
      </c>
      <c r="I110" s="34">
        <v>0</v>
      </c>
      <c r="J110" s="34">
        <v>0</v>
      </c>
      <c r="K110" s="34">
        <f>G110*(8+5)</f>
        <v>16536</v>
      </c>
      <c r="L110" s="34">
        <f>G110*4</f>
        <v>5088</v>
      </c>
      <c r="M110" s="34">
        <v>0</v>
      </c>
      <c r="N110" s="34">
        <f>G110*7</f>
        <v>8904</v>
      </c>
      <c r="O110" s="34">
        <f>G110*12</f>
        <v>15264</v>
      </c>
      <c r="P110" s="34">
        <f>G110*(1.5+2)</f>
        <v>4452</v>
      </c>
      <c r="Q110" s="34">
        <f>G110*2</f>
        <v>2544</v>
      </c>
      <c r="R110" s="34">
        <f>G110*3</f>
        <v>3816</v>
      </c>
      <c r="S110" s="34">
        <v>0</v>
      </c>
      <c r="T110" s="34">
        <v>0</v>
      </c>
      <c r="U110" s="34">
        <f t="shared" si="11"/>
        <v>56604</v>
      </c>
    </row>
    <row r="111" spans="1:25" ht="25.5">
      <c r="A111" s="132" t="s">
        <v>217</v>
      </c>
      <c r="B111" s="133" t="s">
        <v>139</v>
      </c>
      <c r="C111" s="132" t="s">
        <v>63</v>
      </c>
      <c r="D111" s="8"/>
      <c r="E111" s="63"/>
      <c r="F111" s="50">
        <v>13</v>
      </c>
      <c r="G111" s="50">
        <v>189.88</v>
      </c>
      <c r="H111" s="129">
        <f>G111*F111/1000</f>
        <v>2.4684400000000002</v>
      </c>
      <c r="I111" s="34">
        <v>0</v>
      </c>
      <c r="J111" s="34">
        <v>0</v>
      </c>
      <c r="K111" s="34">
        <f>G111*2</f>
        <v>379.76</v>
      </c>
      <c r="L111" s="34">
        <f>G111*3</f>
        <v>569.64</v>
      </c>
      <c r="M111" s="34">
        <v>0</v>
      </c>
      <c r="N111" s="34">
        <v>0</v>
      </c>
      <c r="O111" s="34">
        <f>G111*2</f>
        <v>379.76</v>
      </c>
      <c r="P111" s="34">
        <f>G111*3</f>
        <v>569.64</v>
      </c>
      <c r="Q111" s="34">
        <f>G111</f>
        <v>189.88</v>
      </c>
      <c r="R111" s="34">
        <f>G111</f>
        <v>189.88</v>
      </c>
      <c r="S111" s="34">
        <v>0</v>
      </c>
      <c r="T111" s="34">
        <f>G111</f>
        <v>189.88</v>
      </c>
      <c r="U111" s="34">
        <f t="shared" si="11"/>
        <v>2468.44</v>
      </c>
    </row>
    <row r="112" spans="1:25">
      <c r="A112" s="164" t="s">
        <v>213</v>
      </c>
      <c r="B112" s="23" t="s">
        <v>299</v>
      </c>
      <c r="C112" s="24" t="s">
        <v>63</v>
      </c>
      <c r="D112" s="85"/>
      <c r="E112" s="50"/>
      <c r="F112" s="50">
        <v>2</v>
      </c>
      <c r="G112" s="50">
        <v>1202.53</v>
      </c>
      <c r="H112" s="50">
        <f>G112*F112/1000</f>
        <v>2.4050599999999998</v>
      </c>
      <c r="I112" s="161">
        <v>0</v>
      </c>
      <c r="J112" s="161">
        <v>0</v>
      </c>
      <c r="K112" s="161">
        <f>G112</f>
        <v>1202.53</v>
      </c>
      <c r="L112" s="161">
        <v>0</v>
      </c>
      <c r="M112" s="161">
        <v>0</v>
      </c>
      <c r="N112" s="161">
        <v>0</v>
      </c>
      <c r="O112" s="161">
        <v>0</v>
      </c>
      <c r="P112" s="161">
        <v>0</v>
      </c>
      <c r="Q112" s="34">
        <v>0</v>
      </c>
      <c r="R112" s="34">
        <v>0</v>
      </c>
      <c r="S112" s="34">
        <v>0</v>
      </c>
      <c r="T112" s="34">
        <f>K112</f>
        <v>1202.53</v>
      </c>
      <c r="U112" s="34">
        <f t="shared" si="11"/>
        <v>2405.06</v>
      </c>
      <c r="V112" s="172"/>
      <c r="W112" s="172"/>
      <c r="X112" s="172"/>
      <c r="Y112" s="172"/>
    </row>
    <row r="113" spans="1:21">
      <c r="A113" s="115"/>
      <c r="B113" s="116" t="s">
        <v>228</v>
      </c>
      <c r="C113" s="117" t="s">
        <v>63</v>
      </c>
      <c r="D113" s="154"/>
      <c r="E113" s="153"/>
      <c r="F113" s="153">
        <v>6</v>
      </c>
      <c r="G113" s="153">
        <v>470</v>
      </c>
      <c r="H113" s="129">
        <f t="shared" ref="H113:H115" si="15">G113*F113/1000</f>
        <v>2.82</v>
      </c>
      <c r="I113" s="34">
        <v>0</v>
      </c>
      <c r="J113" s="34">
        <v>0</v>
      </c>
      <c r="K113" s="34">
        <v>0</v>
      </c>
      <c r="L113" s="34">
        <f>G113*3</f>
        <v>1410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34">
        <f>G113*3</f>
        <v>1410</v>
      </c>
      <c r="S113" s="34">
        <v>0</v>
      </c>
      <c r="T113" s="34">
        <v>0</v>
      </c>
      <c r="U113" s="34">
        <f t="shared" si="11"/>
        <v>2820</v>
      </c>
    </row>
    <row r="114" spans="1:21" ht="12.75" customHeight="1">
      <c r="A114" s="132" t="s">
        <v>169</v>
      </c>
      <c r="B114" s="133" t="s">
        <v>229</v>
      </c>
      <c r="C114" s="132" t="s">
        <v>63</v>
      </c>
      <c r="D114" s="85"/>
      <c r="E114" s="50"/>
      <c r="F114" s="50">
        <v>2</v>
      </c>
      <c r="G114" s="50">
        <v>61</v>
      </c>
      <c r="H114" s="129">
        <f t="shared" si="15"/>
        <v>0.122</v>
      </c>
      <c r="I114" s="34">
        <v>0</v>
      </c>
      <c r="J114" s="34">
        <v>0</v>
      </c>
      <c r="K114" s="34">
        <v>0</v>
      </c>
      <c r="L114" s="34">
        <f>G114</f>
        <v>61</v>
      </c>
      <c r="M114" s="161">
        <v>0</v>
      </c>
      <c r="N114" s="34">
        <v>0</v>
      </c>
      <c r="O114" s="34">
        <v>0</v>
      </c>
      <c r="P114" s="34">
        <v>0</v>
      </c>
      <c r="Q114" s="34">
        <v>0</v>
      </c>
      <c r="R114" s="34">
        <f>G114</f>
        <v>61</v>
      </c>
      <c r="S114" s="34">
        <v>0</v>
      </c>
      <c r="T114" s="34">
        <v>0</v>
      </c>
      <c r="U114" s="34">
        <f t="shared" si="11"/>
        <v>122</v>
      </c>
    </row>
    <row r="115" spans="1:21" ht="12.75" customHeight="1">
      <c r="A115" s="115" t="s">
        <v>254</v>
      </c>
      <c r="B115" s="133" t="s">
        <v>255</v>
      </c>
      <c r="C115" s="132" t="s">
        <v>63</v>
      </c>
      <c r="D115" s="85"/>
      <c r="E115" s="50"/>
      <c r="F115" s="50">
        <v>1</v>
      </c>
      <c r="G115" s="50">
        <v>1240.05</v>
      </c>
      <c r="H115" s="129">
        <f t="shared" si="15"/>
        <v>1.2400499999999999</v>
      </c>
      <c r="I115" s="34">
        <v>0</v>
      </c>
      <c r="J115" s="34">
        <v>0</v>
      </c>
      <c r="K115" s="34">
        <v>0</v>
      </c>
      <c r="L115" s="34">
        <f>G115</f>
        <v>1240.05</v>
      </c>
      <c r="M115" s="161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f t="shared" si="11"/>
        <v>1240.05</v>
      </c>
    </row>
    <row r="116" spans="1:21" ht="25.5" customHeight="1">
      <c r="A116" s="132" t="s">
        <v>199</v>
      </c>
      <c r="B116" s="133" t="s">
        <v>157</v>
      </c>
      <c r="C116" s="132" t="s">
        <v>60</v>
      </c>
      <c r="D116" s="8"/>
      <c r="E116" s="63"/>
      <c r="F116" s="50">
        <v>0.05</v>
      </c>
      <c r="G116" s="51">
        <v>3581.13</v>
      </c>
      <c r="H116" s="129">
        <f>G116*F116/1000</f>
        <v>0.17905650000000004</v>
      </c>
      <c r="I116" s="34">
        <v>0</v>
      </c>
      <c r="J116" s="34">
        <v>0</v>
      </c>
      <c r="K116" s="34">
        <v>0</v>
      </c>
      <c r="L116" s="34">
        <f>G116*0.01</f>
        <v>35.811300000000003</v>
      </c>
      <c r="M116" s="34">
        <v>0</v>
      </c>
      <c r="N116" s="34">
        <v>0</v>
      </c>
      <c r="O116" s="34">
        <f>G116*0.02</f>
        <v>71.622600000000006</v>
      </c>
      <c r="P116" s="34">
        <v>0</v>
      </c>
      <c r="Q116" s="34">
        <v>0</v>
      </c>
      <c r="R116" s="34">
        <v>0</v>
      </c>
      <c r="S116" s="34">
        <v>0</v>
      </c>
      <c r="T116" s="34">
        <f>G116*0.02</f>
        <v>71.622600000000006</v>
      </c>
      <c r="U116" s="34">
        <f t="shared" si="11"/>
        <v>179.05650000000003</v>
      </c>
    </row>
    <row r="117" spans="1:21" ht="51">
      <c r="A117" s="24" t="s">
        <v>256</v>
      </c>
      <c r="B117" s="23" t="s">
        <v>258</v>
      </c>
      <c r="C117" s="24" t="s">
        <v>257</v>
      </c>
      <c r="D117" s="154"/>
      <c r="E117" s="153"/>
      <c r="F117" s="153">
        <f>15/10</f>
        <v>1.5</v>
      </c>
      <c r="G117" s="153">
        <v>2166.5300000000002</v>
      </c>
      <c r="H117" s="129">
        <f t="shared" ref="H117" si="16">G117*F117/1000</f>
        <v>3.2497950000000002</v>
      </c>
      <c r="I117" s="34">
        <v>0</v>
      </c>
      <c r="J117" s="34">
        <v>0</v>
      </c>
      <c r="K117" s="34">
        <v>0</v>
      </c>
      <c r="L117" s="34">
        <f>G117*1.5</f>
        <v>3249.7950000000001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f t="shared" si="11"/>
        <v>3249.7950000000001</v>
      </c>
    </row>
    <row r="118" spans="1:21" ht="12.75" customHeight="1">
      <c r="A118" s="164" t="s">
        <v>260</v>
      </c>
      <c r="B118" s="23" t="s">
        <v>261</v>
      </c>
      <c r="C118" s="24" t="s">
        <v>120</v>
      </c>
      <c r="D118" s="85"/>
      <c r="E118" s="50"/>
      <c r="F118" s="50">
        <v>1</v>
      </c>
      <c r="G118" s="50">
        <v>6139.64</v>
      </c>
      <c r="H118" s="129">
        <f t="shared" ref="H118:H124" si="17">G118*F118/1000</f>
        <v>6.13964</v>
      </c>
      <c r="I118" s="34">
        <v>0</v>
      </c>
      <c r="J118" s="34">
        <v>0</v>
      </c>
      <c r="K118" s="34">
        <v>0</v>
      </c>
      <c r="L118" s="34">
        <v>0</v>
      </c>
      <c r="M118" s="34">
        <f>G118</f>
        <v>6139.64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f t="shared" si="11"/>
        <v>6139.64</v>
      </c>
    </row>
    <row r="119" spans="1:21" ht="12.75" customHeight="1">
      <c r="A119" s="158" t="s">
        <v>252</v>
      </c>
      <c r="B119" s="159" t="s">
        <v>259</v>
      </c>
      <c r="C119" s="158" t="s">
        <v>171</v>
      </c>
      <c r="D119" s="85"/>
      <c r="E119" s="50"/>
      <c r="F119" s="50">
        <v>3</v>
      </c>
      <c r="G119" s="50">
        <v>1120.8900000000001</v>
      </c>
      <c r="H119" s="129">
        <f t="shared" si="17"/>
        <v>3.36267</v>
      </c>
      <c r="I119" s="34">
        <v>0</v>
      </c>
      <c r="J119" s="34">
        <v>0</v>
      </c>
      <c r="K119" s="34">
        <v>0</v>
      </c>
      <c r="L119" s="34">
        <v>0</v>
      </c>
      <c r="M119" s="34">
        <f>G119*2</f>
        <v>2241.7800000000002</v>
      </c>
      <c r="N119" s="34">
        <v>0</v>
      </c>
      <c r="O119" s="34">
        <v>0</v>
      </c>
      <c r="P119" s="34">
        <f>G119</f>
        <v>1120.8900000000001</v>
      </c>
      <c r="Q119" s="34">
        <v>0</v>
      </c>
      <c r="R119" s="34">
        <v>0</v>
      </c>
      <c r="S119" s="34">
        <v>0</v>
      </c>
      <c r="T119" s="34">
        <v>0</v>
      </c>
      <c r="U119" s="34">
        <f t="shared" si="11"/>
        <v>3362.67</v>
      </c>
    </row>
    <row r="120" spans="1:21" ht="25.5" customHeight="1">
      <c r="A120" s="132" t="s">
        <v>262</v>
      </c>
      <c r="B120" s="133" t="s">
        <v>263</v>
      </c>
      <c r="C120" s="132" t="s">
        <v>150</v>
      </c>
      <c r="D120" s="85"/>
      <c r="E120" s="50"/>
      <c r="F120" s="50">
        <v>2</v>
      </c>
      <c r="G120" s="50">
        <v>1903.98</v>
      </c>
      <c r="H120" s="129">
        <f t="shared" si="17"/>
        <v>3.80796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f>G120*2</f>
        <v>3807.96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f t="shared" si="11"/>
        <v>3807.96</v>
      </c>
    </row>
    <row r="121" spans="1:21" ht="25.5" customHeight="1">
      <c r="A121" s="132" t="s">
        <v>264</v>
      </c>
      <c r="B121" s="133" t="s">
        <v>265</v>
      </c>
      <c r="C121" s="132" t="s">
        <v>150</v>
      </c>
      <c r="D121" s="85"/>
      <c r="E121" s="50"/>
      <c r="F121" s="50">
        <v>4</v>
      </c>
      <c r="G121" s="50">
        <v>897.94</v>
      </c>
      <c r="H121" s="129">
        <f t="shared" si="17"/>
        <v>3.5917600000000003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f>G121*4</f>
        <v>3591.76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f t="shared" si="11"/>
        <v>3591.76</v>
      </c>
    </row>
    <row r="122" spans="1:21" ht="25.5" customHeight="1">
      <c r="A122" s="134" t="s">
        <v>267</v>
      </c>
      <c r="B122" s="133" t="s">
        <v>266</v>
      </c>
      <c r="C122" s="132" t="s">
        <v>120</v>
      </c>
      <c r="D122" s="85"/>
      <c r="E122" s="50"/>
      <c r="F122" s="50">
        <v>1</v>
      </c>
      <c r="G122" s="50">
        <v>1020.84</v>
      </c>
      <c r="H122" s="129">
        <f t="shared" si="17"/>
        <v>1.02084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f>G122</f>
        <v>1020.84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f t="shared" si="11"/>
        <v>1020.84</v>
      </c>
    </row>
    <row r="123" spans="1:21" ht="25.5" customHeight="1">
      <c r="A123" s="24" t="s">
        <v>198</v>
      </c>
      <c r="B123" s="23" t="s">
        <v>272</v>
      </c>
      <c r="C123" s="24" t="s">
        <v>49</v>
      </c>
      <c r="D123" s="8"/>
      <c r="E123" s="63"/>
      <c r="F123" s="165">
        <f>0.001</f>
        <v>1E-3</v>
      </c>
      <c r="G123" s="50">
        <v>1591.6</v>
      </c>
      <c r="H123" s="166">
        <f t="shared" si="17"/>
        <v>1.5915999999999999E-3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f>G123*0.001</f>
        <v>1.5915999999999999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f t="shared" si="11"/>
        <v>1.5915999999999999</v>
      </c>
    </row>
    <row r="124" spans="1:21">
      <c r="A124" s="167" t="s">
        <v>277</v>
      </c>
      <c r="B124" s="23" t="s">
        <v>278</v>
      </c>
      <c r="C124" s="24" t="s">
        <v>63</v>
      </c>
      <c r="D124" s="8"/>
      <c r="E124" s="63"/>
      <c r="F124" s="50">
        <v>1</v>
      </c>
      <c r="G124" s="50">
        <v>193.62</v>
      </c>
      <c r="H124" s="129">
        <f t="shared" si="17"/>
        <v>0.19362000000000001</v>
      </c>
      <c r="I124" s="161">
        <v>0</v>
      </c>
      <c r="J124" s="161">
        <v>0</v>
      </c>
      <c r="K124" s="161">
        <v>0</v>
      </c>
      <c r="L124" s="161">
        <v>0</v>
      </c>
      <c r="M124" s="161">
        <v>0</v>
      </c>
      <c r="N124" s="161">
        <f>G124</f>
        <v>193.62</v>
      </c>
      <c r="O124" s="161">
        <v>0</v>
      </c>
      <c r="P124" s="161">
        <v>0</v>
      </c>
      <c r="Q124" s="34">
        <v>0</v>
      </c>
      <c r="R124" s="34">
        <v>0</v>
      </c>
      <c r="S124" s="34">
        <v>0</v>
      </c>
      <c r="T124" s="34">
        <v>0</v>
      </c>
      <c r="U124" s="34">
        <f t="shared" si="11"/>
        <v>193.62</v>
      </c>
    </row>
    <row r="125" spans="1:21">
      <c r="A125" s="24" t="s">
        <v>169</v>
      </c>
      <c r="B125" s="23" t="s">
        <v>271</v>
      </c>
      <c r="C125" s="24" t="s">
        <v>63</v>
      </c>
      <c r="D125" s="85"/>
      <c r="E125" s="50"/>
      <c r="F125" s="50">
        <v>2</v>
      </c>
      <c r="G125" s="50">
        <v>118</v>
      </c>
      <c r="H125" s="129">
        <f t="shared" ref="H125:H126" si="18">G125*F125/1000</f>
        <v>0.23599999999999999</v>
      </c>
      <c r="I125" s="161">
        <v>0</v>
      </c>
      <c r="J125" s="161">
        <v>0</v>
      </c>
      <c r="K125" s="161">
        <v>0</v>
      </c>
      <c r="L125" s="161">
        <v>0</v>
      </c>
      <c r="M125" s="161">
        <v>0</v>
      </c>
      <c r="N125" s="161">
        <v>0</v>
      </c>
      <c r="O125" s="161">
        <f>G125*(1+1)</f>
        <v>236</v>
      </c>
      <c r="P125" s="161">
        <v>0</v>
      </c>
      <c r="Q125" s="34">
        <v>0</v>
      </c>
      <c r="R125" s="34">
        <v>0</v>
      </c>
      <c r="S125" s="34">
        <v>0</v>
      </c>
      <c r="T125" s="34">
        <v>0</v>
      </c>
      <c r="U125" s="34">
        <f t="shared" si="11"/>
        <v>236</v>
      </c>
    </row>
    <row r="126" spans="1:21">
      <c r="A126" s="24" t="s">
        <v>169</v>
      </c>
      <c r="B126" s="23" t="s">
        <v>269</v>
      </c>
      <c r="C126" s="24" t="s">
        <v>63</v>
      </c>
      <c r="D126" s="85"/>
      <c r="E126" s="50"/>
      <c r="F126" s="50">
        <v>1</v>
      </c>
      <c r="G126" s="50">
        <v>90</v>
      </c>
      <c r="H126" s="129">
        <f t="shared" si="18"/>
        <v>0.09</v>
      </c>
      <c r="I126" s="161">
        <v>0</v>
      </c>
      <c r="J126" s="161">
        <v>0</v>
      </c>
      <c r="K126" s="161">
        <v>0</v>
      </c>
      <c r="L126" s="161">
        <v>0</v>
      </c>
      <c r="M126" s="161">
        <v>0</v>
      </c>
      <c r="N126" s="161">
        <v>0</v>
      </c>
      <c r="O126" s="161">
        <f>G126</f>
        <v>90</v>
      </c>
      <c r="P126" s="161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f t="shared" si="11"/>
        <v>90</v>
      </c>
    </row>
    <row r="127" spans="1:21">
      <c r="A127" s="24" t="s">
        <v>169</v>
      </c>
      <c r="B127" s="23" t="s">
        <v>268</v>
      </c>
      <c r="C127" s="24" t="s">
        <v>63</v>
      </c>
      <c r="D127" s="85"/>
      <c r="E127" s="50"/>
      <c r="F127" s="50">
        <v>2</v>
      </c>
      <c r="G127" s="50">
        <v>82</v>
      </c>
      <c r="H127" s="129">
        <f t="shared" ref="H127:H132" si="19">G127*F127/1000</f>
        <v>0.16400000000000001</v>
      </c>
      <c r="I127" s="161">
        <v>0</v>
      </c>
      <c r="J127" s="161">
        <v>0</v>
      </c>
      <c r="K127" s="161">
        <v>0</v>
      </c>
      <c r="L127" s="161">
        <v>0</v>
      </c>
      <c r="M127" s="161">
        <v>0</v>
      </c>
      <c r="N127" s="161">
        <v>0</v>
      </c>
      <c r="O127" s="161">
        <f>G127</f>
        <v>82</v>
      </c>
      <c r="P127" s="161">
        <v>0</v>
      </c>
      <c r="Q127" s="34">
        <v>0</v>
      </c>
      <c r="R127" s="34">
        <f>G127</f>
        <v>82</v>
      </c>
      <c r="S127" s="34">
        <v>0</v>
      </c>
      <c r="T127" s="34">
        <v>0</v>
      </c>
      <c r="U127" s="34">
        <f t="shared" si="11"/>
        <v>164</v>
      </c>
    </row>
    <row r="128" spans="1:21">
      <c r="A128" s="132" t="s">
        <v>169</v>
      </c>
      <c r="B128" s="133" t="s">
        <v>270</v>
      </c>
      <c r="C128" s="132" t="s">
        <v>63</v>
      </c>
      <c r="D128" s="8"/>
      <c r="E128" s="63"/>
      <c r="F128" s="50">
        <v>2</v>
      </c>
      <c r="G128" s="50">
        <v>62</v>
      </c>
      <c r="H128" s="129">
        <f t="shared" si="19"/>
        <v>0.124</v>
      </c>
      <c r="I128" s="161">
        <v>0</v>
      </c>
      <c r="J128" s="161">
        <v>0</v>
      </c>
      <c r="K128" s="161">
        <v>0</v>
      </c>
      <c r="L128" s="161">
        <v>0</v>
      </c>
      <c r="M128" s="161">
        <v>0</v>
      </c>
      <c r="N128" s="161">
        <v>0</v>
      </c>
      <c r="O128" s="161">
        <f>G128</f>
        <v>62</v>
      </c>
      <c r="P128" s="161">
        <v>0</v>
      </c>
      <c r="Q128" s="34">
        <v>0</v>
      </c>
      <c r="R128" s="34">
        <f>G128</f>
        <v>62</v>
      </c>
      <c r="S128" s="34">
        <v>0</v>
      </c>
      <c r="T128" s="34">
        <v>0</v>
      </c>
      <c r="U128" s="34">
        <f t="shared" si="11"/>
        <v>124</v>
      </c>
    </row>
    <row r="129" spans="1:25">
      <c r="A129" s="24" t="s">
        <v>169</v>
      </c>
      <c r="B129" s="23" t="s">
        <v>290</v>
      </c>
      <c r="C129" s="24" t="s">
        <v>63</v>
      </c>
      <c r="D129" s="85"/>
      <c r="E129" s="50"/>
      <c r="F129" s="50">
        <v>1</v>
      </c>
      <c r="G129" s="50">
        <v>120</v>
      </c>
      <c r="H129" s="129">
        <f t="shared" si="19"/>
        <v>0.12</v>
      </c>
      <c r="I129" s="161">
        <v>0</v>
      </c>
      <c r="J129" s="161">
        <v>0</v>
      </c>
      <c r="K129" s="161">
        <v>0</v>
      </c>
      <c r="L129" s="161">
        <v>0</v>
      </c>
      <c r="M129" s="161">
        <v>0</v>
      </c>
      <c r="N129" s="161">
        <v>0</v>
      </c>
      <c r="O129" s="161">
        <f>G129</f>
        <v>120</v>
      </c>
      <c r="P129" s="161">
        <v>0</v>
      </c>
      <c r="Q129" s="34">
        <v>0</v>
      </c>
      <c r="R129" s="34">
        <v>0</v>
      </c>
      <c r="S129" s="34">
        <v>0</v>
      </c>
      <c r="T129" s="34">
        <v>0</v>
      </c>
      <c r="U129" s="34">
        <f t="shared" si="11"/>
        <v>120</v>
      </c>
    </row>
    <row r="130" spans="1:25" ht="25.5">
      <c r="A130" s="132" t="s">
        <v>291</v>
      </c>
      <c r="B130" s="133" t="s">
        <v>292</v>
      </c>
      <c r="C130" s="134" t="s">
        <v>293</v>
      </c>
      <c r="D130" s="85"/>
      <c r="E130" s="50"/>
      <c r="F130" s="50">
        <v>1</v>
      </c>
      <c r="G130" s="50">
        <v>294.45</v>
      </c>
      <c r="H130" s="129">
        <f>G130*F130/1000</f>
        <v>0.29444999999999999</v>
      </c>
      <c r="I130" s="161">
        <v>0</v>
      </c>
      <c r="J130" s="161">
        <v>0</v>
      </c>
      <c r="K130" s="161">
        <v>0</v>
      </c>
      <c r="L130" s="161">
        <v>0</v>
      </c>
      <c r="M130" s="161">
        <v>0</v>
      </c>
      <c r="N130" s="34">
        <v>0</v>
      </c>
      <c r="O130" s="34">
        <f>G130</f>
        <v>294.45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f t="shared" si="11"/>
        <v>294.45</v>
      </c>
      <c r="V130" s="172"/>
      <c r="W130" s="172"/>
      <c r="X130" s="172"/>
      <c r="Y130" s="172"/>
    </row>
    <row r="131" spans="1:25">
      <c r="A131" s="167" t="s">
        <v>276</v>
      </c>
      <c r="B131" s="168" t="s">
        <v>275</v>
      </c>
      <c r="C131" s="24" t="s">
        <v>89</v>
      </c>
      <c r="D131" s="8"/>
      <c r="E131" s="63"/>
      <c r="F131" s="50">
        <v>4.5999999999999996</v>
      </c>
      <c r="G131" s="50">
        <v>452.74</v>
      </c>
      <c r="H131" s="129">
        <f t="shared" si="19"/>
        <v>2.0826039999999999</v>
      </c>
      <c r="I131" s="161">
        <v>0</v>
      </c>
      <c r="J131" s="161">
        <v>0</v>
      </c>
      <c r="K131" s="161">
        <v>0</v>
      </c>
      <c r="L131" s="161">
        <v>0</v>
      </c>
      <c r="M131" s="161">
        <v>0</v>
      </c>
      <c r="N131" s="161">
        <v>0</v>
      </c>
      <c r="O131" s="161">
        <f>G131*4.6</f>
        <v>2082.6039999999998</v>
      </c>
      <c r="P131" s="161">
        <v>0</v>
      </c>
      <c r="Q131" s="34">
        <v>0</v>
      </c>
      <c r="R131" s="34">
        <v>0</v>
      </c>
      <c r="S131" s="34">
        <v>0</v>
      </c>
      <c r="T131" s="34">
        <v>0</v>
      </c>
      <c r="U131" s="34">
        <f t="shared" si="11"/>
        <v>2082.6039999999998</v>
      </c>
    </row>
    <row r="132" spans="1:25" ht="38.25">
      <c r="A132" s="167" t="s">
        <v>274</v>
      </c>
      <c r="B132" s="23" t="s">
        <v>273</v>
      </c>
      <c r="C132" s="24" t="s">
        <v>257</v>
      </c>
      <c r="D132" s="8"/>
      <c r="E132" s="63"/>
      <c r="F132" s="50">
        <f>4.6/10</f>
        <v>0.45999999999999996</v>
      </c>
      <c r="G132" s="50">
        <v>7586.09</v>
      </c>
      <c r="H132" s="129">
        <f t="shared" si="19"/>
        <v>3.4896014000000002</v>
      </c>
      <c r="I132" s="161">
        <v>0</v>
      </c>
      <c r="J132" s="161">
        <v>0</v>
      </c>
      <c r="K132" s="161">
        <v>0</v>
      </c>
      <c r="L132" s="161">
        <v>0</v>
      </c>
      <c r="M132" s="161">
        <v>0</v>
      </c>
      <c r="N132" s="161">
        <v>0</v>
      </c>
      <c r="O132" s="161">
        <f>G132*0.46</f>
        <v>3489.6014</v>
      </c>
      <c r="P132" s="161">
        <v>0</v>
      </c>
      <c r="Q132" s="34">
        <v>0</v>
      </c>
      <c r="R132" s="34">
        <v>0</v>
      </c>
      <c r="S132" s="34">
        <v>0</v>
      </c>
      <c r="T132" s="34">
        <v>0</v>
      </c>
      <c r="U132" s="34">
        <f t="shared" si="11"/>
        <v>3489.6014</v>
      </c>
    </row>
    <row r="133" spans="1:25" ht="12.75" customHeight="1">
      <c r="A133" s="62" t="s">
        <v>279</v>
      </c>
      <c r="B133" s="85" t="s">
        <v>280</v>
      </c>
      <c r="C133" s="62" t="s">
        <v>36</v>
      </c>
      <c r="D133" s="169"/>
      <c r="E133" s="170"/>
      <c r="F133" s="170">
        <v>1</v>
      </c>
      <c r="G133" s="170">
        <v>301.11</v>
      </c>
      <c r="H133" s="171">
        <f>G133*F133/1000</f>
        <v>0.30110999999999999</v>
      </c>
      <c r="I133" s="161">
        <v>0</v>
      </c>
      <c r="J133" s="161">
        <v>0</v>
      </c>
      <c r="K133" s="161">
        <v>0</v>
      </c>
      <c r="L133" s="161">
        <v>0</v>
      </c>
      <c r="M133" s="161">
        <v>0</v>
      </c>
      <c r="N133" s="161">
        <v>0</v>
      </c>
      <c r="O133" s="161">
        <f>G133</f>
        <v>301.11</v>
      </c>
      <c r="P133" s="161">
        <v>0</v>
      </c>
      <c r="Q133" s="34">
        <v>0</v>
      </c>
      <c r="R133" s="34">
        <v>0</v>
      </c>
      <c r="S133" s="34">
        <v>0</v>
      </c>
      <c r="T133" s="34">
        <v>0</v>
      </c>
      <c r="U133" s="34">
        <f t="shared" si="11"/>
        <v>301.11</v>
      </c>
    </row>
    <row r="134" spans="1:25" ht="38.25">
      <c r="A134" s="132" t="s">
        <v>216</v>
      </c>
      <c r="B134" s="133" t="s">
        <v>142</v>
      </c>
      <c r="C134" s="132" t="s">
        <v>143</v>
      </c>
      <c r="D134" s="8"/>
      <c r="E134" s="63"/>
      <c r="F134" s="50">
        <v>1</v>
      </c>
      <c r="G134" s="50">
        <v>54.17</v>
      </c>
      <c r="H134" s="129">
        <f t="shared" ref="H134:H135" si="20">G134*F134/1000</f>
        <v>5.4170000000000003E-2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f>G134</f>
        <v>54.17</v>
      </c>
      <c r="Q134" s="34">
        <v>0</v>
      </c>
      <c r="R134" s="34">
        <v>0</v>
      </c>
      <c r="S134" s="34">
        <v>0</v>
      </c>
      <c r="T134" s="34">
        <v>0</v>
      </c>
      <c r="U134" s="34">
        <f t="shared" si="11"/>
        <v>54.17</v>
      </c>
    </row>
    <row r="135" spans="1:25" ht="25.5">
      <c r="A135" s="132" t="s">
        <v>134</v>
      </c>
      <c r="B135" s="133" t="s">
        <v>286</v>
      </c>
      <c r="C135" s="132" t="s">
        <v>287</v>
      </c>
      <c r="D135" s="85"/>
      <c r="E135" s="50"/>
      <c r="F135" s="50">
        <v>1</v>
      </c>
      <c r="G135" s="50">
        <v>1365</v>
      </c>
      <c r="H135" s="50">
        <f t="shared" si="20"/>
        <v>1.365</v>
      </c>
      <c r="I135" s="161">
        <v>0</v>
      </c>
      <c r="J135" s="161">
        <v>0</v>
      </c>
      <c r="K135" s="161">
        <v>0</v>
      </c>
      <c r="L135" s="161">
        <v>0</v>
      </c>
      <c r="M135" s="161">
        <v>0</v>
      </c>
      <c r="N135" s="161">
        <v>0</v>
      </c>
      <c r="O135" s="161">
        <v>0</v>
      </c>
      <c r="P135" s="161">
        <f>G135</f>
        <v>1365</v>
      </c>
      <c r="Q135" s="34">
        <v>0</v>
      </c>
      <c r="R135" s="34">
        <v>0</v>
      </c>
      <c r="S135" s="34">
        <v>0</v>
      </c>
      <c r="T135" s="34">
        <v>0</v>
      </c>
      <c r="U135" s="34">
        <f t="shared" si="11"/>
        <v>1365</v>
      </c>
      <c r="V135" s="172"/>
      <c r="W135" s="172"/>
      <c r="X135" s="172"/>
      <c r="Y135" s="172"/>
    </row>
    <row r="136" spans="1:25" ht="25.5" customHeight="1">
      <c r="A136" s="134" t="s">
        <v>222</v>
      </c>
      <c r="B136" s="133" t="s">
        <v>119</v>
      </c>
      <c r="C136" s="132" t="s">
        <v>63</v>
      </c>
      <c r="D136" s="8"/>
      <c r="E136" s="63"/>
      <c r="F136" s="50">
        <v>3</v>
      </c>
      <c r="G136" s="50">
        <v>83.36</v>
      </c>
      <c r="H136" s="129">
        <f>G136*F136/1000</f>
        <v>0.25007999999999997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f>G136*2</f>
        <v>166.72</v>
      </c>
      <c r="Q136" s="34">
        <v>0</v>
      </c>
      <c r="R136" s="34">
        <v>0</v>
      </c>
      <c r="S136" s="34">
        <v>0</v>
      </c>
      <c r="T136" s="34">
        <f>G136</f>
        <v>83.36</v>
      </c>
      <c r="U136" s="34">
        <f t="shared" si="11"/>
        <v>250.07999999999998</v>
      </c>
    </row>
    <row r="137" spans="1:25" s="163" customFormat="1" ht="25.5">
      <c r="A137" s="132" t="s">
        <v>281</v>
      </c>
      <c r="B137" s="133" t="s">
        <v>285</v>
      </c>
      <c r="C137" s="132" t="s">
        <v>257</v>
      </c>
      <c r="D137" s="85"/>
      <c r="E137" s="50"/>
      <c r="F137" s="50">
        <f>24/10</f>
        <v>2.4</v>
      </c>
      <c r="G137" s="50">
        <v>2064.25</v>
      </c>
      <c r="H137" s="162">
        <f t="shared" ref="H137:H140" si="21">G137*F137/1000</f>
        <v>4.9542000000000002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f>G137*F137</f>
        <v>4954.2</v>
      </c>
      <c r="Q137" s="34">
        <v>0</v>
      </c>
      <c r="R137" s="34">
        <v>0</v>
      </c>
      <c r="S137" s="34">
        <v>0</v>
      </c>
      <c r="T137" s="34">
        <v>0</v>
      </c>
      <c r="U137" s="34">
        <f t="shared" si="11"/>
        <v>4954.2</v>
      </c>
    </row>
    <row r="138" spans="1:25" s="163" customFormat="1" ht="12.75" customHeight="1">
      <c r="A138" s="167" t="s">
        <v>283</v>
      </c>
      <c r="B138" s="23" t="s">
        <v>284</v>
      </c>
      <c r="C138" s="24" t="s">
        <v>89</v>
      </c>
      <c r="D138" s="85"/>
      <c r="E138" s="50"/>
      <c r="F138" s="50">
        <v>1.2</v>
      </c>
      <c r="G138" s="50">
        <v>645.96</v>
      </c>
      <c r="H138" s="162">
        <f t="shared" si="21"/>
        <v>0.77515200000000006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f>G138*1.2</f>
        <v>775.15200000000004</v>
      </c>
      <c r="Q138" s="34">
        <v>0</v>
      </c>
      <c r="R138" s="34">
        <v>0</v>
      </c>
      <c r="S138" s="34">
        <v>0</v>
      </c>
      <c r="T138" s="34">
        <v>0</v>
      </c>
      <c r="U138" s="34">
        <f t="shared" si="11"/>
        <v>775.15200000000004</v>
      </c>
    </row>
    <row r="139" spans="1:25" s="163" customFormat="1">
      <c r="A139" s="132" t="s">
        <v>134</v>
      </c>
      <c r="B139" s="133" t="s">
        <v>282</v>
      </c>
      <c r="C139" s="132" t="s">
        <v>166</v>
      </c>
      <c r="D139" s="85"/>
      <c r="E139" s="50"/>
      <c r="F139" s="50">
        <v>1</v>
      </c>
      <c r="G139" s="50">
        <v>1725</v>
      </c>
      <c r="H139" s="162">
        <f t="shared" si="21"/>
        <v>1.7250000000000001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  <c r="P139" s="34">
        <f>G139</f>
        <v>1725</v>
      </c>
      <c r="Q139" s="34">
        <v>0</v>
      </c>
      <c r="R139" s="34">
        <v>0</v>
      </c>
      <c r="S139" s="34">
        <v>0</v>
      </c>
      <c r="T139" s="34">
        <v>0</v>
      </c>
      <c r="U139" s="34">
        <f t="shared" si="11"/>
        <v>1725</v>
      </c>
    </row>
    <row r="140" spans="1:25" s="163" customFormat="1" ht="12.75" customHeight="1">
      <c r="A140" s="164" t="s">
        <v>288</v>
      </c>
      <c r="B140" s="23" t="s">
        <v>289</v>
      </c>
      <c r="C140" s="24" t="s">
        <v>120</v>
      </c>
      <c r="D140" s="85"/>
      <c r="E140" s="50"/>
      <c r="F140" s="50">
        <v>1</v>
      </c>
      <c r="G140" s="50">
        <v>268.58999999999997</v>
      </c>
      <c r="H140" s="162">
        <f t="shared" si="21"/>
        <v>0.26859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f>G140</f>
        <v>268.58999999999997</v>
      </c>
      <c r="R140" s="34">
        <v>0</v>
      </c>
      <c r="S140" s="34">
        <v>0</v>
      </c>
      <c r="T140" s="34">
        <v>0</v>
      </c>
      <c r="U140" s="34">
        <f t="shared" si="11"/>
        <v>268.58999999999997</v>
      </c>
    </row>
    <row r="141" spans="1:25" ht="25.5">
      <c r="A141" s="132" t="s">
        <v>219</v>
      </c>
      <c r="B141" s="133" t="s">
        <v>145</v>
      </c>
      <c r="C141" s="132" t="s">
        <v>146</v>
      </c>
      <c r="D141" s="8"/>
      <c r="E141" s="63"/>
      <c r="F141" s="50">
        <v>1</v>
      </c>
      <c r="G141" s="50">
        <v>663.38</v>
      </c>
      <c r="H141" s="129">
        <f>G141*F141/1000</f>
        <v>0.66337999999999997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f>G141</f>
        <v>663.38</v>
      </c>
      <c r="R141" s="34">
        <v>0</v>
      </c>
      <c r="S141" s="34">
        <v>0</v>
      </c>
      <c r="T141" s="34">
        <v>0</v>
      </c>
      <c r="U141" s="34">
        <f t="shared" si="11"/>
        <v>663.38</v>
      </c>
    </row>
    <row r="142" spans="1:25" ht="12.75" customHeight="1">
      <c r="A142" s="134" t="s">
        <v>240</v>
      </c>
      <c r="B142" s="133" t="s">
        <v>294</v>
      </c>
      <c r="C142" s="132" t="s">
        <v>120</v>
      </c>
      <c r="D142" s="154"/>
      <c r="E142" s="50"/>
      <c r="F142" s="50">
        <v>2</v>
      </c>
      <c r="G142" s="51">
        <v>760.76</v>
      </c>
      <c r="H142" s="129">
        <f>G142*F142/1000</f>
        <v>1.52152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f>G142*2</f>
        <v>1521.52</v>
      </c>
      <c r="S142" s="34">
        <v>0</v>
      </c>
      <c r="T142" s="34">
        <v>0</v>
      </c>
      <c r="U142" s="34">
        <f t="shared" si="11"/>
        <v>1521.52</v>
      </c>
    </row>
    <row r="143" spans="1:25" ht="25.5" customHeight="1">
      <c r="A143" s="164" t="s">
        <v>296</v>
      </c>
      <c r="B143" s="23" t="s">
        <v>297</v>
      </c>
      <c r="C143" s="24" t="s">
        <v>295</v>
      </c>
      <c r="D143" s="154"/>
      <c r="E143" s="50"/>
      <c r="F143" s="50">
        <f>1/10</f>
        <v>0.1</v>
      </c>
      <c r="G143" s="51">
        <v>611.63</v>
      </c>
      <c r="H143" s="129">
        <f>G143*F143/1000</f>
        <v>6.1163000000000002E-2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f>G143*0.1</f>
        <v>61.163000000000004</v>
      </c>
      <c r="T143" s="34">
        <v>0</v>
      </c>
      <c r="U143" s="34">
        <f t="shared" si="11"/>
        <v>61.163000000000004</v>
      </c>
    </row>
    <row r="144" spans="1:25" ht="25.5" customHeight="1">
      <c r="A144" s="167" t="s">
        <v>301</v>
      </c>
      <c r="B144" s="23" t="s">
        <v>300</v>
      </c>
      <c r="C144" s="164" t="s">
        <v>257</v>
      </c>
      <c r="D144" s="154"/>
      <c r="E144" s="50"/>
      <c r="F144" s="50">
        <f>0.218/10</f>
        <v>2.18E-2</v>
      </c>
      <c r="G144" s="51">
        <v>9397.7900000000009</v>
      </c>
      <c r="H144" s="129">
        <f>G144*F144/1000</f>
        <v>0.20487182200000001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  <c r="Q144" s="34">
        <v>0</v>
      </c>
      <c r="R144" s="34">
        <v>0</v>
      </c>
      <c r="S144" s="34">
        <f>G144*F144</f>
        <v>204.87182200000001</v>
      </c>
      <c r="T144" s="34">
        <v>0</v>
      </c>
      <c r="U144" s="34">
        <f t="shared" si="11"/>
        <v>204.87182200000001</v>
      </c>
    </row>
    <row r="145" spans="1:21" ht="15" customHeight="1">
      <c r="A145" s="167" t="s">
        <v>154</v>
      </c>
      <c r="B145" s="23" t="s">
        <v>305</v>
      </c>
      <c r="C145" s="164" t="s">
        <v>63</v>
      </c>
      <c r="D145" s="154"/>
      <c r="E145" s="50"/>
      <c r="F145" s="50">
        <v>1</v>
      </c>
      <c r="G145" s="51">
        <v>29620</v>
      </c>
      <c r="H145" s="129">
        <f>G145+F145/1000</f>
        <v>29620.001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f>G145*1</f>
        <v>29620</v>
      </c>
      <c r="T145" s="34">
        <v>0</v>
      </c>
      <c r="U145" s="34">
        <f t="shared" si="11"/>
        <v>29620</v>
      </c>
    </row>
    <row r="146" spans="1:21" ht="12.75" customHeight="1">
      <c r="A146" s="167" t="s">
        <v>154</v>
      </c>
      <c r="B146" s="23" t="s">
        <v>306</v>
      </c>
      <c r="C146" s="164" t="s">
        <v>63</v>
      </c>
      <c r="D146" s="154"/>
      <c r="E146" s="50"/>
      <c r="F146" s="50">
        <v>1</v>
      </c>
      <c r="G146" s="51">
        <v>77881</v>
      </c>
      <c r="H146" s="129">
        <f>G146+F146/1000</f>
        <v>77881.001000000004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  <c r="Q146" s="34">
        <v>0</v>
      </c>
      <c r="R146" s="34">
        <v>0</v>
      </c>
      <c r="S146" s="34">
        <f>G146*1</f>
        <v>77881</v>
      </c>
      <c r="T146" s="34">
        <v>0</v>
      </c>
      <c r="U146" s="34">
        <f t="shared" si="11"/>
        <v>77881</v>
      </c>
    </row>
    <row r="147" spans="1:21" ht="25.5" customHeight="1">
      <c r="A147" s="132" t="s">
        <v>200</v>
      </c>
      <c r="B147" s="133" t="s">
        <v>298</v>
      </c>
      <c r="C147" s="132" t="s">
        <v>165</v>
      </c>
      <c r="D147" s="154"/>
      <c r="E147" s="50"/>
      <c r="F147" s="50">
        <v>0.01</v>
      </c>
      <c r="G147" s="51">
        <v>7412.92</v>
      </c>
      <c r="H147" s="129">
        <f>G147*F147/1000</f>
        <v>7.4129199999999992E-2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  <c r="Q147" s="34">
        <v>0</v>
      </c>
      <c r="R147" s="34">
        <v>0</v>
      </c>
      <c r="S147" s="34">
        <v>0</v>
      </c>
      <c r="T147" s="34">
        <f>G147*0.01</f>
        <v>74.129199999999997</v>
      </c>
      <c r="U147" s="34">
        <f t="shared" si="11"/>
        <v>74.129199999999997</v>
      </c>
    </row>
    <row r="148" spans="1:21" s="18" customFormat="1">
      <c r="A148" s="95"/>
      <c r="B148" s="96" t="s">
        <v>97</v>
      </c>
      <c r="C148" s="95"/>
      <c r="D148" s="95"/>
      <c r="E148" s="90"/>
      <c r="F148" s="90"/>
      <c r="G148" s="90"/>
      <c r="H148" s="42">
        <f>SUM(H87:H147)</f>
        <v>107894.249554522</v>
      </c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41">
        <f>SUM(U87:U147)</f>
        <v>500748.55452200008</v>
      </c>
    </row>
    <row r="149" spans="1:21">
      <c r="A149" s="93"/>
      <c r="B149" s="97"/>
      <c r="C149" s="98"/>
      <c r="D149" s="98"/>
      <c r="E149" s="50"/>
      <c r="F149" s="50"/>
      <c r="G149" s="50"/>
      <c r="H149" s="99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127"/>
    </row>
    <row r="150" spans="1:21" ht="12" customHeight="1">
      <c r="A150" s="147"/>
      <c r="B150" s="17" t="s">
        <v>98</v>
      </c>
      <c r="C150" s="62"/>
      <c r="D150" s="85"/>
      <c r="E150" s="50"/>
      <c r="F150" s="50"/>
      <c r="G150" s="50"/>
      <c r="H150" s="100">
        <f>H148/E151/12*1000</f>
        <v>1288.0803780463352</v>
      </c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127"/>
    </row>
    <row r="151" spans="1:21" s="18" customFormat="1">
      <c r="A151" s="80"/>
      <c r="B151" s="101" t="s">
        <v>99</v>
      </c>
      <c r="C151" s="102"/>
      <c r="D151" s="101"/>
      <c r="E151" s="152">
        <v>6980.3</v>
      </c>
      <c r="F151" s="103">
        <f>SUM(E151*12)</f>
        <v>83763.600000000006</v>
      </c>
      <c r="G151" s="104">
        <f>H85+H150</f>
        <v>1305.9217999414213</v>
      </c>
      <c r="H151" s="105">
        <f>SUM(F151*G151/1000)</f>
        <v>109388.71128157325</v>
      </c>
      <c r="I151" s="90">
        <f t="shared" ref="I151:R151" si="22">SUM(I11:I150)</f>
        <v>145865.77492766661</v>
      </c>
      <c r="J151" s="90">
        <f t="shared" si="22"/>
        <v>119126.58172766665</v>
      </c>
      <c r="K151" s="90">
        <f t="shared" si="22"/>
        <v>168133.18787766664</v>
      </c>
      <c r="L151" s="90">
        <f t="shared" si="22"/>
        <v>209025.33727766667</v>
      </c>
      <c r="M151" s="90">
        <f t="shared" si="22"/>
        <v>292160.17813978897</v>
      </c>
      <c r="N151" s="90">
        <f t="shared" si="22"/>
        <v>140607.41138188887</v>
      </c>
      <c r="O151" s="90">
        <f t="shared" si="22"/>
        <v>147424.57218188889</v>
      </c>
      <c r="P151" s="90">
        <f t="shared" si="22"/>
        <v>147315.27178188894</v>
      </c>
      <c r="Q151" s="90">
        <f t="shared" si="22"/>
        <v>121040.96551788888</v>
      </c>
      <c r="R151" s="90">
        <f t="shared" si="22"/>
        <v>131863.69978188889</v>
      </c>
      <c r="S151" s="90">
        <f>SUM(S11:S150)</f>
        <v>215667.83214966665</v>
      </c>
      <c r="T151" s="90">
        <f>SUM(T11:T150)</f>
        <v>141740.46072766662</v>
      </c>
      <c r="U151" s="41">
        <f>U82+U148</f>
        <v>2059849.3002966004</v>
      </c>
    </row>
    <row r="152" spans="1:21">
      <c r="A152" s="65"/>
      <c r="B152" s="65"/>
      <c r="C152" s="65"/>
      <c r="D152" s="65"/>
      <c r="E152" s="106"/>
      <c r="F152" s="106"/>
      <c r="G152" s="106"/>
      <c r="H152" s="106"/>
      <c r="I152" s="106"/>
      <c r="J152" s="106"/>
      <c r="K152" s="106"/>
      <c r="L152" s="106"/>
      <c r="M152" s="65"/>
      <c r="N152" s="106"/>
      <c r="O152" s="65"/>
      <c r="P152" s="65"/>
      <c r="Q152" s="65"/>
      <c r="R152" s="65"/>
      <c r="S152" s="65"/>
      <c r="T152" s="65"/>
      <c r="U152" s="65"/>
    </row>
    <row r="153" spans="1:21">
      <c r="A153" s="65"/>
      <c r="B153" s="65"/>
      <c r="C153" s="65"/>
      <c r="D153" s="65"/>
      <c r="E153" s="106"/>
      <c r="F153" s="106"/>
      <c r="G153" s="106"/>
      <c r="H153" s="106"/>
      <c r="I153" s="106"/>
      <c r="J153" s="107"/>
      <c r="K153" s="108"/>
      <c r="L153" s="107"/>
      <c r="M153" s="106"/>
      <c r="N153" s="65"/>
      <c r="O153" s="65"/>
      <c r="P153" s="65"/>
      <c r="Q153" s="65"/>
      <c r="R153" s="65"/>
      <c r="S153" s="65"/>
      <c r="T153" s="65"/>
      <c r="U153" s="65"/>
    </row>
    <row r="154" spans="1:21" ht="45">
      <c r="A154" s="65"/>
      <c r="B154" s="113" t="s">
        <v>230</v>
      </c>
      <c r="C154" s="173">
        <v>449533.2</v>
      </c>
      <c r="D154" s="174"/>
      <c r="E154" s="174"/>
      <c r="F154" s="175"/>
      <c r="G154" s="106"/>
      <c r="H154" s="106"/>
      <c r="I154" s="106"/>
      <c r="J154" s="107"/>
      <c r="K154" s="108"/>
      <c r="L154" s="107"/>
      <c r="M154" s="106"/>
      <c r="N154" s="65"/>
      <c r="O154" s="65"/>
      <c r="P154" s="65"/>
      <c r="Q154" s="65"/>
      <c r="R154" s="65"/>
      <c r="S154" s="65"/>
      <c r="T154" s="65"/>
      <c r="U154" s="65"/>
    </row>
    <row r="155" spans="1:21" ht="30">
      <c r="A155" s="65"/>
      <c r="B155" s="113" t="s">
        <v>236</v>
      </c>
      <c r="C155" s="173">
        <f>135561.29*12</f>
        <v>1626735.48</v>
      </c>
      <c r="D155" s="174"/>
      <c r="E155" s="174"/>
      <c r="F155" s="175"/>
      <c r="G155" s="106"/>
      <c r="H155" s="106"/>
      <c r="I155" s="106"/>
      <c r="J155" s="107"/>
      <c r="K155" s="108"/>
      <c r="L155" s="107"/>
      <c r="M155" s="106"/>
      <c r="N155" s="65"/>
      <c r="O155" s="65"/>
      <c r="P155" s="65"/>
      <c r="Q155" s="65"/>
      <c r="R155" s="65"/>
      <c r="S155" s="65"/>
      <c r="T155" s="65"/>
      <c r="U155" s="65"/>
    </row>
    <row r="156" spans="1:21" ht="30">
      <c r="A156" s="65"/>
      <c r="B156" s="113" t="s">
        <v>237</v>
      </c>
      <c r="C156" s="173">
        <f>SUM(U151-U148)</f>
        <v>1559100.7457746004</v>
      </c>
      <c r="D156" s="174"/>
      <c r="E156" s="174"/>
      <c r="F156" s="175"/>
      <c r="G156" s="106"/>
      <c r="H156" s="106"/>
      <c r="I156" s="106"/>
      <c r="J156" s="107"/>
      <c r="K156" s="108"/>
      <c r="L156" s="107"/>
      <c r="M156" s="106"/>
      <c r="N156" s="65"/>
      <c r="O156" s="65"/>
      <c r="P156" s="65"/>
      <c r="Q156" s="65"/>
      <c r="R156" s="65"/>
      <c r="S156" s="65"/>
      <c r="T156" s="65"/>
      <c r="U156" s="65"/>
    </row>
    <row r="157" spans="1:21" ht="30">
      <c r="A157" s="65"/>
      <c r="B157" s="113" t="s">
        <v>238</v>
      </c>
      <c r="C157" s="173">
        <f>SUM(U148)</f>
        <v>500748.55452200008</v>
      </c>
      <c r="D157" s="174"/>
      <c r="E157" s="174"/>
      <c r="F157" s="175"/>
      <c r="G157" s="106"/>
      <c r="H157" s="106"/>
      <c r="I157" s="106"/>
      <c r="J157" s="107"/>
      <c r="K157" s="108"/>
      <c r="L157" s="107"/>
      <c r="M157" s="106"/>
      <c r="N157" s="65"/>
      <c r="O157" s="65"/>
      <c r="P157" s="65"/>
      <c r="Q157" s="65"/>
      <c r="R157" s="65"/>
      <c r="S157" s="65"/>
      <c r="T157" s="65"/>
      <c r="U157" s="65"/>
    </row>
    <row r="158" spans="1:21" ht="18">
      <c r="A158" s="65"/>
      <c r="B158" s="120" t="s">
        <v>239</v>
      </c>
      <c r="C158" s="179">
        <f>152605.16+109178.17+151900.16+121422.77+116366.18+99150.76+135774.65+143484.26+118125.38+146399.46+138230.75+133492.95</f>
        <v>1566130.65</v>
      </c>
      <c r="D158" s="177"/>
      <c r="E158" s="177"/>
      <c r="F158" s="178"/>
      <c r="G158" s="65"/>
      <c r="I158" s="109" t="s">
        <v>104</v>
      </c>
      <c r="J158" s="110"/>
      <c r="K158" s="111"/>
      <c r="L158" s="112"/>
      <c r="M158" s="109"/>
      <c r="N158" s="109"/>
      <c r="O158" s="65"/>
      <c r="P158" s="65"/>
      <c r="Q158" s="65"/>
      <c r="R158" s="65"/>
      <c r="S158" s="65"/>
      <c r="T158" s="65"/>
      <c r="U158" s="65"/>
    </row>
    <row r="159" spans="1:21" ht="78.75">
      <c r="A159" s="65"/>
      <c r="B159" s="137" t="s">
        <v>302</v>
      </c>
      <c r="C159" s="180">
        <v>601201.43999999994</v>
      </c>
      <c r="D159" s="181"/>
      <c r="E159" s="181"/>
      <c r="F159" s="182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</row>
    <row r="160" spans="1:21" ht="45">
      <c r="A160" s="65"/>
      <c r="B160" s="113" t="s">
        <v>303</v>
      </c>
      <c r="C160" s="176">
        <f>SUM(U151-C155)+C154</f>
        <v>882647.02029660041</v>
      </c>
      <c r="D160" s="177"/>
      <c r="E160" s="177"/>
      <c r="F160" s="178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</row>
    <row r="162" spans="7:13">
      <c r="J162" s="3"/>
      <c r="K162" s="4"/>
      <c r="L162" s="4"/>
      <c r="M162" s="2"/>
    </row>
    <row r="163" spans="7:13">
      <c r="G163" s="5"/>
      <c r="H163" s="5"/>
    </row>
    <row r="164" spans="7:13">
      <c r="G164" s="6"/>
    </row>
  </sheetData>
  <mergeCells count="12">
    <mergeCell ref="X82:AA82"/>
    <mergeCell ref="B3:L3"/>
    <mergeCell ref="B4:L4"/>
    <mergeCell ref="B5:L5"/>
    <mergeCell ref="B6:L6"/>
    <mergeCell ref="C154:F154"/>
    <mergeCell ref="C160:F160"/>
    <mergeCell ref="C155:F155"/>
    <mergeCell ref="C156:F156"/>
    <mergeCell ref="C157:F157"/>
    <mergeCell ref="C158:F158"/>
    <mergeCell ref="C159:F159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2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Стр.,5</vt:lpstr>
      <vt:lpstr>'Стр.,5'!Область_печати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2018-07-02T13:18:44Z</cp:lastPrinted>
  <dcterms:created xsi:type="dcterms:W3CDTF">2014-02-05T12:20:20Z</dcterms:created>
  <dcterms:modified xsi:type="dcterms:W3CDTF">2018-12-13T08:20:45Z</dcterms:modified>
</cp:coreProperties>
</file>