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19965" windowHeight="7545"/>
  </bookViews>
  <sheets>
    <sheet name="Косм.,6" sheetId="1" r:id="rId1"/>
  </sheets>
  <definedNames>
    <definedName name="_xlnm.Print_Area" localSheetId="0">'Косм.,6'!$A$1:$U$138</definedName>
  </definedNames>
  <calcPr calcId="124519"/>
</workbook>
</file>

<file path=xl/calcChain.xml><?xml version="1.0" encoding="utf-8"?>
<calcChain xmlns="http://schemas.openxmlformats.org/spreadsheetml/2006/main">
  <c r="L39" i="1"/>
  <c r="K39"/>
  <c r="F39"/>
  <c r="H126"/>
  <c r="U126"/>
  <c r="F125"/>
  <c r="T125" s="1"/>
  <c r="U125" s="1"/>
  <c r="F110"/>
  <c r="N110" s="1"/>
  <c r="U110" s="1"/>
  <c r="F107"/>
  <c r="C136"/>
  <c r="C133"/>
  <c r="H123"/>
  <c r="G123"/>
  <c r="R123" s="1"/>
  <c r="U123" s="1"/>
  <c r="H125" l="1"/>
  <c r="H110"/>
  <c r="S63"/>
  <c r="T96"/>
  <c r="T118"/>
  <c r="T124"/>
  <c r="U124" s="1"/>
  <c r="H124"/>
  <c r="R106"/>
  <c r="R63"/>
  <c r="R108"/>
  <c r="R122"/>
  <c r="U122" s="1"/>
  <c r="H122"/>
  <c r="R89"/>
  <c r="U57"/>
  <c r="U60"/>
  <c r="U64"/>
  <c r="U72"/>
  <c r="U76"/>
  <c r="U36"/>
  <c r="U28"/>
  <c r="U29"/>
  <c r="P118"/>
  <c r="U118" s="1"/>
  <c r="P107"/>
  <c r="Q63"/>
  <c r="Q108"/>
  <c r="Q121"/>
  <c r="U121" s="1"/>
  <c r="H121"/>
  <c r="Q120"/>
  <c r="U120" s="1"/>
  <c r="H120"/>
  <c r="P99" l="1"/>
  <c r="O116"/>
  <c r="U116" s="1"/>
  <c r="F116"/>
  <c r="H116" s="1"/>
  <c r="P96" l="1"/>
  <c r="P119"/>
  <c r="U119" s="1"/>
  <c r="G117"/>
  <c r="H117" s="1"/>
  <c r="O115"/>
  <c r="U115" s="1"/>
  <c r="H115"/>
  <c r="O105"/>
  <c r="O104"/>
  <c r="O101"/>
  <c r="N73"/>
  <c r="U73" s="1"/>
  <c r="N96"/>
  <c r="O114"/>
  <c r="U114" s="1"/>
  <c r="H114"/>
  <c r="O113"/>
  <c r="U113" s="1"/>
  <c r="H113"/>
  <c r="O112"/>
  <c r="U112" s="1"/>
  <c r="H112"/>
  <c r="P117" l="1"/>
  <c r="U117" s="1"/>
  <c r="O111"/>
  <c r="U111" s="1"/>
  <c r="H111"/>
  <c r="N109" l="1"/>
  <c r="U109" s="1"/>
  <c r="N108"/>
  <c r="U108" s="1"/>
  <c r="N107"/>
  <c r="U107" s="1"/>
  <c r="N63"/>
  <c r="Q52"/>
  <c r="M52"/>
  <c r="I52"/>
  <c r="Q51"/>
  <c r="M51"/>
  <c r="I51"/>
  <c r="U51" s="1"/>
  <c r="U52" l="1"/>
  <c r="K101"/>
  <c r="U101" s="1"/>
  <c r="K102"/>
  <c r="U102" s="1"/>
  <c r="F102"/>
  <c r="H102" s="1"/>
  <c r="M63"/>
  <c r="U63" s="1"/>
  <c r="M89"/>
  <c r="M106"/>
  <c r="U106" s="1"/>
  <c r="H106"/>
  <c r="M105"/>
  <c r="U105" s="1"/>
  <c r="H105"/>
  <c r="M104"/>
  <c r="U104" s="1"/>
  <c r="H104"/>
  <c r="M103" l="1"/>
  <c r="U103" s="1"/>
  <c r="H103"/>
  <c r="K100" l="1"/>
  <c r="U100" s="1"/>
  <c r="J99"/>
  <c r="U99" s="1"/>
  <c r="H99"/>
  <c r="J98"/>
  <c r="U98" s="1"/>
  <c r="H98"/>
  <c r="J97"/>
  <c r="U97" s="1"/>
  <c r="H97"/>
  <c r="J74"/>
  <c r="U74" s="1"/>
  <c r="J96"/>
  <c r="U96" s="1"/>
  <c r="J95"/>
  <c r="U95" s="1"/>
  <c r="J94"/>
  <c r="U94" s="1"/>
  <c r="H94"/>
  <c r="I78"/>
  <c r="U78" s="1"/>
  <c r="F90"/>
  <c r="I90" s="1"/>
  <c r="U90" s="1"/>
  <c r="I93"/>
  <c r="U93" s="1"/>
  <c r="I92"/>
  <c r="U92" s="1"/>
  <c r="I91"/>
  <c r="U91" s="1"/>
  <c r="I89"/>
  <c r="U89" s="1"/>
  <c r="H89"/>
  <c r="H57"/>
  <c r="H90" l="1"/>
  <c r="H93" l="1"/>
  <c r="H107" l="1"/>
  <c r="K50" l="1"/>
  <c r="H119"/>
  <c r="F95"/>
  <c r="H95" s="1"/>
  <c r="H118"/>
  <c r="H109" l="1"/>
  <c r="H92"/>
  <c r="F129" l="1"/>
  <c r="H101"/>
  <c r="H108"/>
  <c r="H96"/>
  <c r="H100"/>
  <c r="H91"/>
  <c r="H128" l="1"/>
  <c r="C135"/>
  <c r="E81"/>
  <c r="F81" s="1"/>
  <c r="H81" s="1"/>
  <c r="F79"/>
  <c r="S79" s="1"/>
  <c r="H78"/>
  <c r="H76"/>
  <c r="H74"/>
  <c r="I79" l="1"/>
  <c r="M79"/>
  <c r="Q79"/>
  <c r="H79"/>
  <c r="J79"/>
  <c r="L79"/>
  <c r="N79"/>
  <c r="P79"/>
  <c r="R79"/>
  <c r="T79"/>
  <c r="S81"/>
  <c r="O81"/>
  <c r="K81"/>
  <c r="T81"/>
  <c r="R81"/>
  <c r="P81"/>
  <c r="N81"/>
  <c r="L81"/>
  <c r="J81"/>
  <c r="Q81"/>
  <c r="M81"/>
  <c r="K79"/>
  <c r="O79"/>
  <c r="I81"/>
  <c r="U81" s="1"/>
  <c r="H73"/>
  <c r="H72"/>
  <c r="Q70"/>
  <c r="U70" s="1"/>
  <c r="H70"/>
  <c r="F69"/>
  <c r="M69" s="1"/>
  <c r="U69" s="1"/>
  <c r="F68"/>
  <c r="M68" s="1"/>
  <c r="U68" s="1"/>
  <c r="F67"/>
  <c r="M67" s="1"/>
  <c r="U67" s="1"/>
  <c r="F66"/>
  <c r="M66" s="1"/>
  <c r="U66" s="1"/>
  <c r="F65"/>
  <c r="M65" s="1"/>
  <c r="U65" s="1"/>
  <c r="H64"/>
  <c r="H63"/>
  <c r="F61"/>
  <c r="T61" s="1"/>
  <c r="H60"/>
  <c r="F58"/>
  <c r="U79" l="1"/>
  <c r="S58"/>
  <c r="T58"/>
  <c r="L58"/>
  <c r="H58"/>
  <c r="K58"/>
  <c r="J58"/>
  <c r="I58"/>
  <c r="H65"/>
  <c r="H67"/>
  <c r="H69"/>
  <c r="H68"/>
  <c r="H66"/>
  <c r="L61"/>
  <c r="P61"/>
  <c r="R61"/>
  <c r="H61"/>
  <c r="K61"/>
  <c r="J61" s="1"/>
  <c r="M61"/>
  <c r="O61"/>
  <c r="Q61"/>
  <c r="S61"/>
  <c r="U80"/>
  <c r="H80" s="1"/>
  <c r="I61"/>
  <c r="N61"/>
  <c r="F56"/>
  <c r="T56" s="1"/>
  <c r="F55"/>
  <c r="S55" s="1"/>
  <c r="F52"/>
  <c r="H52" s="1"/>
  <c r="F51"/>
  <c r="H51" s="1"/>
  <c r="U61" l="1"/>
  <c r="U58"/>
  <c r="L56"/>
  <c r="H56"/>
  <c r="J56"/>
  <c r="I55"/>
  <c r="L55"/>
  <c r="T55"/>
  <c r="H55"/>
  <c r="K55"/>
  <c r="J55" s="1"/>
  <c r="I56"/>
  <c r="K56"/>
  <c r="S56"/>
  <c r="U82"/>
  <c r="Q50"/>
  <c r="U50" s="1"/>
  <c r="H50"/>
  <c r="F49"/>
  <c r="F48"/>
  <c r="F47"/>
  <c r="F46"/>
  <c r="F45"/>
  <c r="F44"/>
  <c r="M44" s="1"/>
  <c r="F43"/>
  <c r="M43" s="1"/>
  <c r="T40"/>
  <c r="S40"/>
  <c r="L40"/>
  <c r="K40"/>
  <c r="J40"/>
  <c r="I40"/>
  <c r="H40"/>
  <c r="F38"/>
  <c r="F37"/>
  <c r="T37" s="1"/>
  <c r="H36"/>
  <c r="U40" l="1"/>
  <c r="U56"/>
  <c r="U55"/>
  <c r="H77"/>
  <c r="Q45"/>
  <c r="M45"/>
  <c r="U45" s="1"/>
  <c r="Q47"/>
  <c r="M47"/>
  <c r="Q49"/>
  <c r="K49"/>
  <c r="U49" s="1"/>
  <c r="Q46"/>
  <c r="M46"/>
  <c r="U46" s="1"/>
  <c r="Q48"/>
  <c r="K48"/>
  <c r="U48" s="1"/>
  <c r="H43"/>
  <c r="H82"/>
  <c r="H37"/>
  <c r="S37"/>
  <c r="Q44"/>
  <c r="U44" s="1"/>
  <c r="K37"/>
  <c r="J37" s="1"/>
  <c r="H39"/>
  <c r="H44"/>
  <c r="K38"/>
  <c r="I37"/>
  <c r="L37"/>
  <c r="H38"/>
  <c r="J38"/>
  <c r="L38"/>
  <c r="T38"/>
  <c r="Q43"/>
  <c r="U43" s="1"/>
  <c r="H47"/>
  <c r="J47"/>
  <c r="T47"/>
  <c r="I38"/>
  <c r="S38"/>
  <c r="I47"/>
  <c r="U47" l="1"/>
  <c r="U38"/>
  <c r="U39"/>
  <c r="U37"/>
  <c r="U53"/>
  <c r="H48"/>
  <c r="H49"/>
  <c r="H46"/>
  <c r="H45"/>
  <c r="F35"/>
  <c r="H35" s="1"/>
  <c r="F34"/>
  <c r="K34" s="1"/>
  <c r="J34" s="1"/>
  <c r="T33"/>
  <c r="S33"/>
  <c r="L33"/>
  <c r="K33"/>
  <c r="J33"/>
  <c r="I33"/>
  <c r="H33"/>
  <c r="F30"/>
  <c r="H29"/>
  <c r="H28"/>
  <c r="F27"/>
  <c r="T27" s="1"/>
  <c r="H26"/>
  <c r="F26"/>
  <c r="Q26" s="1"/>
  <c r="R25"/>
  <c r="Q25"/>
  <c r="P25"/>
  <c r="O25"/>
  <c r="N25"/>
  <c r="M25"/>
  <c r="U25" s="1"/>
  <c r="H25"/>
  <c r="F24"/>
  <c r="M24" s="1"/>
  <c r="U24" s="1"/>
  <c r="F23"/>
  <c r="R23" s="1"/>
  <c r="F22"/>
  <c r="R22" s="1"/>
  <c r="T30" l="1"/>
  <c r="I30"/>
  <c r="U33"/>
  <c r="H24"/>
  <c r="H53"/>
  <c r="M22"/>
  <c r="Q23"/>
  <c r="Q22"/>
  <c r="M23"/>
  <c r="H30"/>
  <c r="M30"/>
  <c r="Q30"/>
  <c r="H34"/>
  <c r="S34"/>
  <c r="O22"/>
  <c r="O23"/>
  <c r="K30"/>
  <c r="J30" s="1"/>
  <c r="O30"/>
  <c r="S30"/>
  <c r="N22"/>
  <c r="P22"/>
  <c r="N23"/>
  <c r="P23"/>
  <c r="N26"/>
  <c r="P26"/>
  <c r="R26"/>
  <c r="H27"/>
  <c r="J27"/>
  <c r="L27"/>
  <c r="N27"/>
  <c r="P27"/>
  <c r="R27"/>
  <c r="L30"/>
  <c r="N30"/>
  <c r="P30"/>
  <c r="R30"/>
  <c r="I34"/>
  <c r="L34"/>
  <c r="T34"/>
  <c r="T35"/>
  <c r="S35"/>
  <c r="K35"/>
  <c r="L35"/>
  <c r="J35"/>
  <c r="I35"/>
  <c r="M26"/>
  <c r="O26"/>
  <c r="I27"/>
  <c r="K27"/>
  <c r="M27"/>
  <c r="O27"/>
  <c r="Q27"/>
  <c r="S27"/>
  <c r="F19"/>
  <c r="F18"/>
  <c r="M18" s="1"/>
  <c r="U18" s="1"/>
  <c r="F17"/>
  <c r="M17" s="1"/>
  <c r="U17" s="1"/>
  <c r="F16"/>
  <c r="F15"/>
  <c r="U26" l="1"/>
  <c r="U35"/>
  <c r="U34"/>
  <c r="U23"/>
  <c r="U27"/>
  <c r="U22"/>
  <c r="U30"/>
  <c r="M15"/>
  <c r="Q15"/>
  <c r="M16"/>
  <c r="Q16"/>
  <c r="H19"/>
  <c r="M19"/>
  <c r="U19" s="1"/>
  <c r="H22"/>
  <c r="H23"/>
  <c r="H15"/>
  <c r="H16"/>
  <c r="H17"/>
  <c r="H18"/>
  <c r="F14"/>
  <c r="M14" s="1"/>
  <c r="U14" s="1"/>
  <c r="E13"/>
  <c r="U16" l="1"/>
  <c r="U15"/>
  <c r="H14"/>
  <c r="F12"/>
  <c r="H12" s="1"/>
  <c r="F11"/>
  <c r="T11" s="1"/>
  <c r="O12" l="1"/>
  <c r="K12"/>
  <c r="T12"/>
  <c r="R12"/>
  <c r="P12"/>
  <c r="N12"/>
  <c r="L12"/>
  <c r="J12"/>
  <c r="S12"/>
  <c r="Q12"/>
  <c r="M12"/>
  <c r="I11"/>
  <c r="K11"/>
  <c r="M11"/>
  <c r="O11"/>
  <c r="Q11"/>
  <c r="S11"/>
  <c r="H11"/>
  <c r="J11"/>
  <c r="L11"/>
  <c r="N11"/>
  <c r="P11"/>
  <c r="R11"/>
  <c r="I12"/>
  <c r="U12" s="1"/>
  <c r="U11" l="1"/>
  <c r="F13"/>
  <c r="I13" s="1"/>
  <c r="U41"/>
  <c r="U31"/>
  <c r="H41"/>
  <c r="H31"/>
  <c r="H85"/>
  <c r="S13" l="1"/>
  <c r="S129" s="1"/>
  <c r="H13"/>
  <c r="H20" s="1"/>
  <c r="O13"/>
  <c r="O129" s="1"/>
  <c r="U77"/>
  <c r="Q13"/>
  <c r="Q129" s="1"/>
  <c r="L13"/>
  <c r="L129" s="1"/>
  <c r="H83"/>
  <c r="H86" s="1"/>
  <c r="G129" s="1"/>
  <c r="H129" s="1"/>
  <c r="T13"/>
  <c r="T129" s="1"/>
  <c r="R13"/>
  <c r="R129" s="1"/>
  <c r="P13"/>
  <c r="P129" s="1"/>
  <c r="N13"/>
  <c r="N129" s="1"/>
  <c r="J13"/>
  <c r="J129" s="1"/>
  <c r="I129"/>
  <c r="M13"/>
  <c r="M129" s="1"/>
  <c r="K13"/>
  <c r="K129" s="1"/>
  <c r="U13" l="1"/>
  <c r="U20" s="1"/>
  <c r="U83" s="1"/>
  <c r="U129" l="1"/>
  <c r="C138" s="1"/>
  <c r="C134" l="1"/>
</calcChain>
</file>

<file path=xl/sharedStrings.xml><?xml version="1.0" encoding="utf-8"?>
<sst xmlns="http://schemas.openxmlformats.org/spreadsheetml/2006/main" count="383" uniqueCount="272">
  <si>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</si>
  <si>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</si>
  <si>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</si>
  <si>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</si>
  <si>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</si>
  <si>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</si>
  <si>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</si>
  <si>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</si>
  <si>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</si>
  <si>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</si>
  <si>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</si>
  <si>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</si>
  <si>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</si>
  <si>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</si>
  <si>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</si>
  <si>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</si>
  <si>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</si>
  <si>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</si>
  <si>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</si>
  <si>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</si>
  <si>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</si>
  <si>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</si>
  <si>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</si>
  <si>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</si>
  <si>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</si>
  <si>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</si>
  <si>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</si>
  <si>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</si>
  <si>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1000-м2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</si>
  <si>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</si>
  <si>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</si>
  <si>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</si>
  <si>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</si>
  <si>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</si>
  <si>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</si>
  <si>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</si>
  <si>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</si>
  <si>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</si>
  <si>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</si>
  <si>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</si>
  <si>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</si>
  <si>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</si>
  <si>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</si>
  <si>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</si>
  <si>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</si>
  <si>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</si>
  <si>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</si>
  <si>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</si>
  <si>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</si>
  <si>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</si>
  <si>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</si>
  <si>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</si>
  <si>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</si>
  <si>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</si>
  <si>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</si>
  <si>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</si>
  <si>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</si>
  <si>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</si>
  <si>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</si>
  <si>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</si>
  <si>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</si>
  <si>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</si>
  <si>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</si>
  <si>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</si>
  <si>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</si>
  <si>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</si>
  <si>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</si>
  <si>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</si>
  <si>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</si>
  <si>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</si>
  <si>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</si>
  <si>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</si>
  <si>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</si>
  <si>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</si>
  <si>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</si>
  <si>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</si>
  <si>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</si>
  <si>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</si>
  <si>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</si>
  <si>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</si>
  <si>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</si>
  <si>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</si>
  <si>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</si>
  <si>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</si>
  <si>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</si>
  <si>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</si>
  <si>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</si>
  <si>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</si>
  <si>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</si>
  <si>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</si>
  <si>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</si>
  <si>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</si>
  <si>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</si>
  <si>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</si>
  <si>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</si>
  <si>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</si>
  <si>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</si>
  <si>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</si>
  <si>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</si>
  <si>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</si>
  <si>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</si>
  <si>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</si>
  <si>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</si>
  <si>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</si>
  <si>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</si>
  <si>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калькуляция</t>
  </si>
  <si>
    <t>1 раз в месяц</t>
  </si>
  <si>
    <t>Очистка урн от мусора</t>
  </si>
  <si>
    <t>Дератизация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</si>
  <si>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</si>
  <si>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</si>
  <si>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</si>
  <si>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</si>
  <si>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Осмотр рулонной кровли</t>
  </si>
  <si>
    <t>2-1-1а</t>
  </si>
  <si>
    <t>Проверка дымоходов</t>
  </si>
  <si>
    <t>4 раза в год</t>
  </si>
  <si>
    <t xml:space="preserve">2 раза в месяц  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</si>
  <si>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</si>
  <si>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</si>
  <si>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</si>
  <si>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</si>
  <si>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Ремонт групповых щитков на лестничной клетке без ремонта автоматов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</si>
  <si>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</si>
  <si>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</si>
  <si>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</si>
  <si>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</si>
  <si>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</si>
  <si>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</si>
  <si>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</si>
  <si>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</si>
  <si>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</si>
  <si>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</si>
  <si>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</si>
  <si>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</si>
  <si>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Ремонт и регулировка доводчика (со стоимостью доводчика)</t>
  </si>
  <si>
    <t>1шт.</t>
  </si>
  <si>
    <t>5 этажей, 6 подъездов</t>
  </si>
  <si>
    <t>Стоимость (руб.)</t>
  </si>
  <si>
    <t>договор</t>
  </si>
  <si>
    <t>ТО внутридомового газ.оборудования</t>
  </si>
  <si>
    <t>Подключение и отключение сварочного аппарата</t>
  </si>
  <si>
    <t>Смена арматуры - вентилей и клапанов обратных муфтовых диаметром до 20 мм</t>
  </si>
  <si>
    <t>1 шт</t>
  </si>
  <si>
    <t>Выполнение        май</t>
  </si>
  <si>
    <t>Внеплановый осмотр электросетей, арматуры и электрооборудования на лестничных клетках</t>
  </si>
  <si>
    <t>1 м</t>
  </si>
  <si>
    <t>Смена дверных приборов - пружины</t>
  </si>
  <si>
    <t xml:space="preserve">Смена сгонов у трубопроводов диаметром до 20 мм </t>
  </si>
  <si>
    <t>1 сгон</t>
  </si>
  <si>
    <t>1 соединение</t>
  </si>
  <si>
    <t>место</t>
  </si>
  <si>
    <t>100шт</t>
  </si>
  <si>
    <t>Внеплановый осмотр вводных электрических щитков</t>
  </si>
  <si>
    <t>Очистка края кровли от слежавшегося снега со сбрасыванием сосулек (10% от S кровли) и козырьки</t>
  </si>
  <si>
    <t>Очистка оголовков дымоходов и вентканалов от наледи и снега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</si>
  <si>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</si>
  <si>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</si>
  <si>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</si>
  <si>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</si>
  <si>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 xml:space="preserve">Пескопосыпка территории: крыльца и тротуары </t>
  </si>
  <si>
    <t>Стоимость песка -100м2-0,002м3</t>
  </si>
  <si>
    <t>Ремонт полотенцесушителя (смена прокладок) без снятия с места</t>
  </si>
  <si>
    <t xml:space="preserve"> - Уборка газонов</t>
  </si>
  <si>
    <t>Вывоз смета, травы, ветвей и т.п.- м/ч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</si>
  <si>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</si>
  <si>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Устройство хомута диаметром до 50 мм</t>
  </si>
  <si>
    <t>смета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</si>
  <si>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</si>
  <si>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</si>
  <si>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</si>
  <si>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</si>
  <si>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</si>
  <si>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</si>
  <si>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</si>
  <si>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</si>
  <si>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</si>
  <si>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</si>
  <si>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</si>
  <si>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</si>
  <si>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</si>
  <si>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</si>
  <si>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55-003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</si>
  <si>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</si>
  <si>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</si>
  <si>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</si>
  <si>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</si>
  <si>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</si>
  <si>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</si>
  <si>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</si>
  <si>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</si>
  <si>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</si>
  <si>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</si>
  <si>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</si>
  <si>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</si>
  <si>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 xml:space="preserve">пр.ТЕР 54-041 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</si>
  <si>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</si>
  <si>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</si>
  <si>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</si>
  <si>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</si>
  <si>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</si>
  <si>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</si>
  <si>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</si>
  <si>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</si>
  <si>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</si>
  <si>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</si>
  <si>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</si>
  <si>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33-030</t>
  </si>
  <si>
    <t>пр.ТЕР 32-098</t>
  </si>
  <si>
    <t>ТЕР 32-027</t>
  </si>
  <si>
    <t>ТЕР 31-009</t>
  </si>
  <si>
    <t>ТЕР 15-018</t>
  </si>
  <si>
    <t>пр.ТЕР 32-068</t>
  </si>
  <si>
    <t>ТЕР 2-2-1-2-7</t>
  </si>
  <si>
    <t>ТЕР 33-031</t>
  </si>
  <si>
    <t>ТЕР 33-060</t>
  </si>
  <si>
    <t>ТЕР 32-028</t>
  </si>
  <si>
    <t>Смена трубопроводов на полипропиленовые трубы PN25 диаметром 20мм</t>
  </si>
  <si>
    <t>3м</t>
  </si>
  <si>
    <t>Внеплановая проверка дымоходов</t>
  </si>
  <si>
    <t>ТЕР 2-1-1а</t>
  </si>
  <si>
    <t>Баланс выполненных работ на 01.01.2017 г. ( -долг за предприятием, +долг за населением)</t>
  </si>
  <si>
    <t xml:space="preserve">2 раза в месяц 24 раза в год </t>
  </si>
  <si>
    <t>С учетом показателя инфляции (К=1,054)</t>
  </si>
  <si>
    <t>Уплотнение сгонов с применением льняной пряди или асбестового шнура</t>
  </si>
  <si>
    <t>Очистка фановых труб от наледи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</si>
  <si>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</si>
  <si>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</si>
  <si>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</si>
  <si>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</si>
  <si>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6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</si>
  <si>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Ремонт групповых щитков на лестничной клетке со сменой автоматов</t>
  </si>
  <si>
    <t>Смена оконных приборов - ручки</t>
  </si>
  <si>
    <t>ТЕР 15-022</t>
  </si>
  <si>
    <t>ТЕР 2-1-1б</t>
  </si>
  <si>
    <t>Внеплановая проверка вентиляции</t>
  </si>
  <si>
    <t>пр.ТЕР 32-083</t>
  </si>
  <si>
    <t>Смена полиэтиленовых канализационных труб 110×1000 мм</t>
  </si>
  <si>
    <t>счёт</t>
  </si>
  <si>
    <t>Тройник Ду-110*90°</t>
  </si>
  <si>
    <t>Переход чугун-пластик Ду 110 с манжетой</t>
  </si>
  <si>
    <t>пр.ТЕР 2-2-1-2-17</t>
  </si>
  <si>
    <t xml:space="preserve">Герметизация стыков трубопроводов    </t>
  </si>
  <si>
    <t>1 место</t>
  </si>
  <si>
    <t>Внеплановый осмотр элекгросетей, арматуры и электрооборудования на чердаках и подвалах</t>
  </si>
  <si>
    <t>Смена полиэтиленовых канализационных труб 110×2000 мм</t>
  </si>
  <si>
    <t>пр.ТЕР 32-082</t>
  </si>
  <si>
    <r>
      <t>Смена полипропиленовых канализационных труб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 xml:space="preserve">2000 мм </t>
    </r>
  </si>
  <si>
    <t>Манжета 100</t>
  </si>
  <si>
    <t>Патрубок компенсацинный ПП Ду 110</t>
  </si>
  <si>
    <t>Мелкий ремонт электропроводки</t>
  </si>
  <si>
    <t>ТЕР Q2-2-1-3-3</t>
  </si>
  <si>
    <t>пр.ТЕР 31-014</t>
  </si>
  <si>
    <t>Смена задвижек диаметром до 100 мм</t>
  </si>
  <si>
    <t>пр.ТЕР 22-038</t>
  </si>
  <si>
    <t>10 м2</t>
  </si>
  <si>
    <t>Простая масляная окраска ранее окрашенных входных металлических дверей (I-VI под.)</t>
  </si>
  <si>
    <t xml:space="preserve">Смена арматуры - вентилей и клапанов обратных муфтовых диаметром до 32 мм </t>
  </si>
  <si>
    <t>пр.ТЕР 31-009</t>
  </si>
  <si>
    <t xml:space="preserve">Смена тройников у трубопроводов диаметром до 20 мм </t>
  </si>
  <si>
    <t>пр.ТЕР 32-101</t>
  </si>
  <si>
    <t>Прочистка засоров канализации</t>
  </si>
  <si>
    <t>Установка заглушек диаметром трубопроводов до 100 мм</t>
  </si>
  <si>
    <t>заглушка</t>
  </si>
  <si>
    <t>ТЕР 31-012</t>
  </si>
  <si>
    <t>п.м.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</si>
  <si>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</si>
  <si>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</si>
  <si>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Герметизация межпанельных швов (кв.11,13)</t>
  </si>
  <si>
    <t>Сверхнормативы по ОДП за 1 полугодие</t>
  </si>
  <si>
    <t>Сверхнормативы по ОДП за 2 полугодие</t>
  </si>
  <si>
    <t>15 раз за сезон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</si>
</sst>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/>
    <xf numFmtId="165" fontId="1" fillId="4" borderId="3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4" fontId="1" fillId="4" borderId="3" xfId="0" applyNumberFormat="1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13" borderId="0" xfId="0" applyFill="1"/>
    <xf numFmtId="2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42"/>
  <sheetViews>
    <sheetView tabSelected="1" view="pageBreakPreview" zoomScaleNormal="75" zoomScaleSheetLayoutView="100" workbookViewId="0">
      <pane ySplit="7" topLeftCell="A135" activePane="bottomLeft" state="frozen"/>
      <selection activeCell="B1" sqref="B1"/>
      <selection pane="bottomLeft" activeCell="B139" sqref="B139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>
      <c r="A1" s="135"/>
    </row>
    <row r="3" spans="1:21" ht="18">
      <c r="A3" s="123"/>
      <c r="B3" s="171" t="s">
        <v>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65"/>
      <c r="N3" s="65"/>
      <c r="O3" s="65"/>
      <c r="P3" s="65"/>
      <c r="Q3" s="65"/>
      <c r="R3" s="65"/>
      <c r="S3" s="65"/>
      <c r="T3" s="65"/>
      <c r="U3" s="65"/>
    </row>
    <row r="4" spans="1:21" ht="34.5" customHeight="1">
      <c r="A4" s="65"/>
      <c r="B4" s="172" t="s">
        <v>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65"/>
      <c r="N4" s="65"/>
      <c r="O4" s="65"/>
      <c r="P4" s="65"/>
      <c r="Q4" s="65"/>
      <c r="R4" s="65"/>
      <c r="S4" s="65"/>
      <c r="T4" s="65"/>
      <c r="U4" s="65"/>
    </row>
    <row r="5" spans="1:21" ht="18">
      <c r="A5" s="65"/>
      <c r="B5" s="172" t="s">
        <v>230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65"/>
      <c r="N5" s="65"/>
      <c r="O5" s="65"/>
      <c r="P5" s="65"/>
      <c r="Q5" s="65"/>
      <c r="R5" s="65"/>
      <c r="S5" s="65"/>
      <c r="T5" s="65"/>
      <c r="U5" s="65"/>
    </row>
    <row r="6" spans="1:21" ht="15">
      <c r="A6" s="65"/>
      <c r="B6" s="173" t="s">
        <v>137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65"/>
      <c r="N6" s="65"/>
      <c r="O6" s="65"/>
      <c r="P6" s="65"/>
      <c r="Q6" s="65"/>
      <c r="R6" s="65"/>
      <c r="S6" s="65"/>
      <c r="T6" s="65"/>
      <c r="U6" s="65"/>
    </row>
    <row r="7" spans="1:21" ht="54.75" customHeight="1">
      <c r="A7" s="136" t="s">
        <v>2</v>
      </c>
      <c r="B7" s="137" t="s">
        <v>3</v>
      </c>
      <c r="C7" s="137" t="s">
        <v>4</v>
      </c>
      <c r="D7" s="137" t="s">
        <v>5</v>
      </c>
      <c r="E7" s="137" t="s">
        <v>6</v>
      </c>
      <c r="F7" s="137" t="s">
        <v>7</v>
      </c>
      <c r="G7" s="137" t="s">
        <v>8</v>
      </c>
      <c r="H7" s="138" t="s">
        <v>9</v>
      </c>
      <c r="I7" s="25" t="s">
        <v>123</v>
      </c>
      <c r="J7" s="25" t="s">
        <v>124</v>
      </c>
      <c r="K7" s="25" t="s">
        <v>125</v>
      </c>
      <c r="L7" s="25" t="s">
        <v>126</v>
      </c>
      <c r="M7" s="25" t="s">
        <v>144</v>
      </c>
      <c r="N7" s="25" t="s">
        <v>127</v>
      </c>
      <c r="O7" s="25" t="s">
        <v>128</v>
      </c>
      <c r="P7" s="25" t="s">
        <v>129</v>
      </c>
      <c r="Q7" s="25" t="s">
        <v>130</v>
      </c>
      <c r="R7" s="25" t="s">
        <v>131</v>
      </c>
      <c r="S7" s="25" t="s">
        <v>132</v>
      </c>
      <c r="T7" s="25" t="s">
        <v>133</v>
      </c>
      <c r="U7" s="25" t="s">
        <v>138</v>
      </c>
    </row>
    <row r="8" spans="1:21">
      <c r="A8" s="139">
        <v>1</v>
      </c>
      <c r="B8" s="7">
        <v>2</v>
      </c>
      <c r="C8" s="26">
        <v>3</v>
      </c>
      <c r="D8" s="7">
        <v>4</v>
      </c>
      <c r="E8" s="7">
        <v>5</v>
      </c>
      <c r="F8" s="26">
        <v>6</v>
      </c>
      <c r="G8" s="26">
        <v>7</v>
      </c>
      <c r="H8" s="124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</row>
    <row r="9" spans="1:21" ht="38.25">
      <c r="A9" s="139"/>
      <c r="B9" s="9" t="s">
        <v>10</v>
      </c>
      <c r="C9" s="26"/>
      <c r="D9" s="10"/>
      <c r="E9" s="10"/>
      <c r="F9" s="26"/>
      <c r="G9" s="26"/>
      <c r="H9" s="27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</row>
    <row r="10" spans="1:21">
      <c r="A10" s="139"/>
      <c r="B10" s="9" t="s">
        <v>11</v>
      </c>
      <c r="C10" s="26"/>
      <c r="D10" s="10"/>
      <c r="E10" s="10"/>
      <c r="F10" s="26"/>
      <c r="G10" s="26"/>
      <c r="H10" s="27"/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  <c r="T10" s="30"/>
      <c r="U10" s="30"/>
    </row>
    <row r="11" spans="1:21" ht="25.5">
      <c r="A11" s="139" t="s">
        <v>168</v>
      </c>
      <c r="B11" s="10" t="s">
        <v>12</v>
      </c>
      <c r="C11" s="26" t="s">
        <v>13</v>
      </c>
      <c r="D11" s="10" t="s">
        <v>14</v>
      </c>
      <c r="E11" s="31">
        <v>95.04</v>
      </c>
      <c r="F11" s="32">
        <f>SUM(E11*156/100)</f>
        <v>148.26240000000001</v>
      </c>
      <c r="G11" s="32">
        <v>187.48</v>
      </c>
      <c r="H11" s="33">
        <f t="shared" ref="H11:H19" si="0">SUM(F11*G11/1000)</f>
        <v>27.796234752</v>
      </c>
      <c r="I11" s="34">
        <f>F11/12*G11</f>
        <v>2316.3528960000003</v>
      </c>
      <c r="J11" s="34">
        <f>F11/12*G11</f>
        <v>2316.3528960000003</v>
      </c>
      <c r="K11" s="34">
        <f>F11/12*G11</f>
        <v>2316.3528960000003</v>
      </c>
      <c r="L11" s="34">
        <f>F11/12*G11</f>
        <v>2316.3528960000003</v>
      </c>
      <c r="M11" s="34">
        <f>F11/12*G11</f>
        <v>2316.3528960000003</v>
      </c>
      <c r="N11" s="34">
        <f>F11/12*G11</f>
        <v>2316.3528960000003</v>
      </c>
      <c r="O11" s="34">
        <f>F11/12*G11</f>
        <v>2316.3528960000003</v>
      </c>
      <c r="P11" s="34">
        <f>F11/12*G11</f>
        <v>2316.3528960000003</v>
      </c>
      <c r="Q11" s="34">
        <f>F11/12*G11</f>
        <v>2316.3528960000003</v>
      </c>
      <c r="R11" s="34">
        <f>F11/12*G11</f>
        <v>2316.3528960000003</v>
      </c>
      <c r="S11" s="34">
        <f>F11/12*G11</f>
        <v>2316.3528960000003</v>
      </c>
      <c r="T11" s="34">
        <f>F11/12*G11</f>
        <v>2316.3528960000003</v>
      </c>
      <c r="U11" s="34">
        <f>SUM(I11:T11)</f>
        <v>27796.234752000004</v>
      </c>
    </row>
    <row r="12" spans="1:21" ht="25.5">
      <c r="A12" s="139" t="s">
        <v>168</v>
      </c>
      <c r="B12" s="10" t="s">
        <v>15</v>
      </c>
      <c r="C12" s="26" t="s">
        <v>13</v>
      </c>
      <c r="D12" s="10" t="s">
        <v>16</v>
      </c>
      <c r="E12" s="31">
        <v>380.16</v>
      </c>
      <c r="F12" s="32">
        <f>SUM(E12*104/100)</f>
        <v>395.3664</v>
      </c>
      <c r="G12" s="32">
        <v>187.48</v>
      </c>
      <c r="H12" s="33">
        <f t="shared" si="0"/>
        <v>74.123292671999991</v>
      </c>
      <c r="I12" s="34">
        <f>F12/12*G12</f>
        <v>6176.9410559999997</v>
      </c>
      <c r="J12" s="34">
        <f>F12/12*G12</f>
        <v>6176.9410559999997</v>
      </c>
      <c r="K12" s="34">
        <f>F12/12*G12</f>
        <v>6176.9410559999997</v>
      </c>
      <c r="L12" s="34">
        <f>F12/12*G12</f>
        <v>6176.9410559999997</v>
      </c>
      <c r="M12" s="34">
        <f>F12/12*G12</f>
        <v>6176.9410559999997</v>
      </c>
      <c r="N12" s="34">
        <f>F12/12*G12</f>
        <v>6176.9410559999997</v>
      </c>
      <c r="O12" s="34">
        <f>F12/12*G12</f>
        <v>6176.9410559999997</v>
      </c>
      <c r="P12" s="34">
        <f>F12/12*G12</f>
        <v>6176.9410559999997</v>
      </c>
      <c r="Q12" s="34">
        <f>F12/12*G12</f>
        <v>6176.9410559999997</v>
      </c>
      <c r="R12" s="34">
        <f>F12/12*G12</f>
        <v>6176.9410559999997</v>
      </c>
      <c r="S12" s="34">
        <f>F12/12*G12</f>
        <v>6176.9410559999997</v>
      </c>
      <c r="T12" s="34">
        <f>F12/12*G12</f>
        <v>6176.9410559999997</v>
      </c>
      <c r="U12" s="34">
        <f t="shared" ref="U12:U19" si="1">SUM(I12:T12)</f>
        <v>74123.292671999981</v>
      </c>
    </row>
    <row r="13" spans="1:21" ht="25.5">
      <c r="A13" s="139" t="s">
        <v>169</v>
      </c>
      <c r="B13" s="10" t="s">
        <v>17</v>
      </c>
      <c r="C13" s="26" t="s">
        <v>13</v>
      </c>
      <c r="D13" s="10" t="s">
        <v>222</v>
      </c>
      <c r="E13" s="31">
        <f>SUM(E11+E12)</f>
        <v>475.20000000000005</v>
      </c>
      <c r="F13" s="32">
        <f>SUM(E13*24/100)</f>
        <v>114.04800000000002</v>
      </c>
      <c r="G13" s="32">
        <v>539.30999999999995</v>
      </c>
      <c r="H13" s="33">
        <f t="shared" si="0"/>
        <v>61.507226880000005</v>
      </c>
      <c r="I13" s="34">
        <f>F13/12*G13</f>
        <v>5125.6022400000002</v>
      </c>
      <c r="J13" s="34">
        <f>F13/12*G13</f>
        <v>5125.6022400000002</v>
      </c>
      <c r="K13" s="34">
        <f>F13/12*G13</f>
        <v>5125.6022400000002</v>
      </c>
      <c r="L13" s="34">
        <f>F13/12*G13</f>
        <v>5125.6022400000002</v>
      </c>
      <c r="M13" s="34">
        <f>F13/12*G13</f>
        <v>5125.6022400000002</v>
      </c>
      <c r="N13" s="34">
        <f>F13/12*G13</f>
        <v>5125.6022400000002</v>
      </c>
      <c r="O13" s="34">
        <f>F13/12*G13</f>
        <v>5125.6022400000002</v>
      </c>
      <c r="P13" s="34">
        <f>F13/12*G13</f>
        <v>5125.6022400000002</v>
      </c>
      <c r="Q13" s="34">
        <f>F13/12*G13</f>
        <v>5125.6022400000002</v>
      </c>
      <c r="R13" s="34">
        <f>F13/12*G13</f>
        <v>5125.6022400000002</v>
      </c>
      <c r="S13" s="34">
        <f>F13/12*G13</f>
        <v>5125.6022400000002</v>
      </c>
      <c r="T13" s="34">
        <f>F13/12*G13</f>
        <v>5125.6022400000002</v>
      </c>
      <c r="U13" s="34">
        <f t="shared" si="1"/>
        <v>61507.226880000002</v>
      </c>
    </row>
    <row r="14" spans="1:21">
      <c r="A14" s="139" t="s">
        <v>170</v>
      </c>
      <c r="B14" s="10" t="s">
        <v>18</v>
      </c>
      <c r="C14" s="26" t="s">
        <v>19</v>
      </c>
      <c r="D14" s="10" t="s">
        <v>98</v>
      </c>
      <c r="E14" s="31">
        <v>93.4</v>
      </c>
      <c r="F14" s="32">
        <f>SUM(E14/10)</f>
        <v>9.34</v>
      </c>
      <c r="G14" s="32">
        <v>181.9</v>
      </c>
      <c r="H14" s="33">
        <f t="shared" si="0"/>
        <v>1.6989460000000001</v>
      </c>
      <c r="I14" s="34">
        <v>0</v>
      </c>
      <c r="J14" s="34">
        <v>0</v>
      </c>
      <c r="K14" s="34">
        <v>0</v>
      </c>
      <c r="L14" s="34">
        <v>0</v>
      </c>
      <c r="M14" s="34">
        <f>F14/2*G14</f>
        <v>849.47300000000007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f t="shared" si="1"/>
        <v>849.47300000000007</v>
      </c>
    </row>
    <row r="15" spans="1:21">
      <c r="A15" s="139" t="s">
        <v>171</v>
      </c>
      <c r="B15" s="10" t="s">
        <v>20</v>
      </c>
      <c r="C15" s="26" t="s">
        <v>13</v>
      </c>
      <c r="D15" s="10" t="s">
        <v>50</v>
      </c>
      <c r="E15" s="31">
        <v>43.2</v>
      </c>
      <c r="F15" s="32">
        <f>SUM(E15*2/100)</f>
        <v>0.8640000000000001</v>
      </c>
      <c r="G15" s="32">
        <v>232.91</v>
      </c>
      <c r="H15" s="33">
        <f t="shared" si="0"/>
        <v>0.20123424000000004</v>
      </c>
      <c r="I15" s="34">
        <v>0</v>
      </c>
      <c r="J15" s="34">
        <v>0</v>
      </c>
      <c r="K15" s="34">
        <v>0</v>
      </c>
      <c r="L15" s="34">
        <v>0</v>
      </c>
      <c r="M15" s="34">
        <f>G15/2*F15</f>
        <v>100.61712000000001</v>
      </c>
      <c r="N15" s="34">
        <v>0</v>
      </c>
      <c r="O15" s="34">
        <v>0</v>
      </c>
      <c r="P15" s="34">
        <v>0</v>
      </c>
      <c r="Q15" s="34">
        <f>F15/2*G15</f>
        <v>100.61712000000001</v>
      </c>
      <c r="R15" s="34">
        <v>0</v>
      </c>
      <c r="S15" s="34">
        <v>0</v>
      </c>
      <c r="T15" s="34">
        <v>0</v>
      </c>
      <c r="U15" s="34">
        <f t="shared" si="1"/>
        <v>201.23424000000003</v>
      </c>
    </row>
    <row r="16" spans="1:21">
      <c r="A16" s="139" t="s">
        <v>172</v>
      </c>
      <c r="B16" s="10" t="s">
        <v>21</v>
      </c>
      <c r="C16" s="26" t="s">
        <v>13</v>
      </c>
      <c r="D16" s="10" t="s">
        <v>50</v>
      </c>
      <c r="E16" s="31">
        <v>10.08</v>
      </c>
      <c r="F16" s="32">
        <f>SUM(E16*2/100)</f>
        <v>0.2016</v>
      </c>
      <c r="G16" s="32">
        <v>231.03</v>
      </c>
      <c r="H16" s="33">
        <f t="shared" si="0"/>
        <v>4.6575648000000004E-2</v>
      </c>
      <c r="I16" s="34">
        <v>0</v>
      </c>
      <c r="J16" s="34">
        <v>0</v>
      </c>
      <c r="K16" s="34">
        <v>0</v>
      </c>
      <c r="L16" s="34">
        <v>0</v>
      </c>
      <c r="M16" s="34">
        <f>G16/2*F16</f>
        <v>23.287824000000001</v>
      </c>
      <c r="N16" s="34">
        <v>0</v>
      </c>
      <c r="O16" s="34">
        <v>0</v>
      </c>
      <c r="P16" s="34">
        <v>0</v>
      </c>
      <c r="Q16" s="34">
        <f>F16/2*G16</f>
        <v>23.287824000000001</v>
      </c>
      <c r="R16" s="34">
        <v>0</v>
      </c>
      <c r="S16" s="34">
        <v>0</v>
      </c>
      <c r="T16" s="34">
        <v>0</v>
      </c>
      <c r="U16" s="34">
        <f t="shared" si="1"/>
        <v>46.575648000000001</v>
      </c>
    </row>
    <row r="17" spans="1:21">
      <c r="A17" s="139" t="s">
        <v>173</v>
      </c>
      <c r="B17" s="10" t="s">
        <v>22</v>
      </c>
      <c r="C17" s="26" t="s">
        <v>23</v>
      </c>
      <c r="D17" s="10" t="s">
        <v>98</v>
      </c>
      <c r="E17" s="31">
        <v>642.6</v>
      </c>
      <c r="F17" s="32">
        <f>SUM(E17/100)</f>
        <v>6.4260000000000002</v>
      </c>
      <c r="G17" s="32">
        <v>287.83999999999997</v>
      </c>
      <c r="H17" s="33">
        <f t="shared" si="0"/>
        <v>1.8496598399999997</v>
      </c>
      <c r="I17" s="34">
        <v>0</v>
      </c>
      <c r="J17" s="34">
        <v>0</v>
      </c>
      <c r="K17" s="34">
        <v>0</v>
      </c>
      <c r="L17" s="34">
        <v>0</v>
      </c>
      <c r="M17" s="34">
        <f t="shared" ref="M17:M19" si="2">G17*F17</f>
        <v>1849.6598399999998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f t="shared" si="1"/>
        <v>1849.6598399999998</v>
      </c>
    </row>
    <row r="18" spans="1:21">
      <c r="A18" s="139" t="s">
        <v>174</v>
      </c>
      <c r="B18" s="10" t="s">
        <v>24</v>
      </c>
      <c r="C18" s="26" t="s">
        <v>23</v>
      </c>
      <c r="D18" s="10" t="s">
        <v>98</v>
      </c>
      <c r="E18" s="36">
        <v>35.28</v>
      </c>
      <c r="F18" s="32">
        <f>SUM(E18/100)</f>
        <v>0.3528</v>
      </c>
      <c r="G18" s="32">
        <v>47.35</v>
      </c>
      <c r="H18" s="33">
        <f t="shared" si="0"/>
        <v>1.6705080000000004E-2</v>
      </c>
      <c r="I18" s="34">
        <v>0</v>
      </c>
      <c r="J18" s="34">
        <v>0</v>
      </c>
      <c r="K18" s="34">
        <v>0</v>
      </c>
      <c r="L18" s="34">
        <v>0</v>
      </c>
      <c r="M18" s="34">
        <f t="shared" si="2"/>
        <v>16.705080000000002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f t="shared" si="1"/>
        <v>16.705080000000002</v>
      </c>
    </row>
    <row r="19" spans="1:21">
      <c r="A19" s="139" t="s">
        <v>175</v>
      </c>
      <c r="B19" s="10" t="s">
        <v>25</v>
      </c>
      <c r="C19" s="26" t="s">
        <v>23</v>
      </c>
      <c r="D19" s="10" t="s">
        <v>98</v>
      </c>
      <c r="E19" s="31">
        <v>28.8</v>
      </c>
      <c r="F19" s="32">
        <f>SUM(E19/100)</f>
        <v>0.28800000000000003</v>
      </c>
      <c r="G19" s="32">
        <v>556.74</v>
      </c>
      <c r="H19" s="33">
        <f t="shared" si="0"/>
        <v>0.16034112000000003</v>
      </c>
      <c r="I19" s="34">
        <v>0</v>
      </c>
      <c r="J19" s="34">
        <v>0</v>
      </c>
      <c r="K19" s="34">
        <v>0</v>
      </c>
      <c r="L19" s="34">
        <v>0</v>
      </c>
      <c r="M19" s="34">
        <f t="shared" si="2"/>
        <v>160.34112000000002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f t="shared" si="1"/>
        <v>160.34112000000002</v>
      </c>
    </row>
    <row r="20" spans="1:21" s="18" customFormat="1">
      <c r="A20" s="140"/>
      <c r="B20" s="19" t="s">
        <v>26</v>
      </c>
      <c r="C20" s="37"/>
      <c r="D20" s="19"/>
      <c r="E20" s="38"/>
      <c r="F20" s="39"/>
      <c r="G20" s="39"/>
      <c r="H20" s="40">
        <f>SUM(H11:H19)</f>
        <v>167.40021623199996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>
        <f>SUM(U11:U19)</f>
        <v>166550.74323200001</v>
      </c>
    </row>
    <row r="21" spans="1:21">
      <c r="A21" s="139"/>
      <c r="B21" s="11" t="s">
        <v>27</v>
      </c>
      <c r="C21" s="26"/>
      <c r="D21" s="10"/>
      <c r="E21" s="31"/>
      <c r="F21" s="32"/>
      <c r="G21" s="32"/>
      <c r="H21" s="33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ht="25.5" customHeight="1">
      <c r="A22" s="139" t="s">
        <v>176</v>
      </c>
      <c r="B22" s="10" t="s">
        <v>163</v>
      </c>
      <c r="C22" s="26" t="s">
        <v>28</v>
      </c>
      <c r="D22" s="10" t="s">
        <v>29</v>
      </c>
      <c r="E22" s="32">
        <v>1044.6500000000001</v>
      </c>
      <c r="F22" s="32">
        <f>SUM(E22*52/1000)</f>
        <v>54.321800000000003</v>
      </c>
      <c r="G22" s="32">
        <v>166.65</v>
      </c>
      <c r="H22" s="33">
        <f t="shared" ref="H22:H30" si="3">SUM(F22*G22/1000)</f>
        <v>9.0527279700000012</v>
      </c>
      <c r="I22" s="34">
        <v>0</v>
      </c>
      <c r="J22" s="34">
        <v>0</v>
      </c>
      <c r="K22" s="34">
        <v>0</v>
      </c>
      <c r="L22" s="34">
        <v>0</v>
      </c>
      <c r="M22" s="34">
        <f>F22/6*G22</f>
        <v>1508.7879950000001</v>
      </c>
      <c r="N22" s="34">
        <f>F22/6*G22</f>
        <v>1508.7879950000001</v>
      </c>
      <c r="O22" s="34">
        <f>F22/6*G22</f>
        <v>1508.7879950000001</v>
      </c>
      <c r="P22" s="34">
        <f>F22/6*G22</f>
        <v>1508.7879950000001</v>
      </c>
      <c r="Q22" s="34">
        <f>F22/6*G22</f>
        <v>1508.7879950000001</v>
      </c>
      <c r="R22" s="34">
        <f>F22/6*G22</f>
        <v>1508.7879950000001</v>
      </c>
      <c r="S22" s="34">
        <v>0</v>
      </c>
      <c r="T22" s="34">
        <v>0</v>
      </c>
      <c r="U22" s="34">
        <f t="shared" ref="U22:U30" si="4">SUM(I22:T22)</f>
        <v>9052.7279700000017</v>
      </c>
    </row>
    <row r="23" spans="1:21" ht="38.25" customHeight="1">
      <c r="A23" s="139" t="s">
        <v>177</v>
      </c>
      <c r="B23" s="10" t="s">
        <v>156</v>
      </c>
      <c r="C23" s="26" t="s">
        <v>30</v>
      </c>
      <c r="D23" s="10" t="s">
        <v>31</v>
      </c>
      <c r="E23" s="32">
        <v>116.93</v>
      </c>
      <c r="F23" s="32">
        <f>SUM(E23*78/1000)</f>
        <v>9.1205400000000001</v>
      </c>
      <c r="G23" s="32">
        <v>276.48</v>
      </c>
      <c r="H23" s="33">
        <f t="shared" si="3"/>
        <v>2.5216468991999998</v>
      </c>
      <c r="I23" s="34">
        <v>0</v>
      </c>
      <c r="J23" s="34">
        <v>0</v>
      </c>
      <c r="K23" s="34">
        <v>0</v>
      </c>
      <c r="L23" s="34">
        <v>0</v>
      </c>
      <c r="M23" s="34">
        <f>F23/6*G23</f>
        <v>420.27448320000002</v>
      </c>
      <c r="N23" s="34">
        <f>F23/6*G23</f>
        <v>420.27448320000002</v>
      </c>
      <c r="O23" s="34">
        <f>F23/6*G23</f>
        <v>420.27448320000002</v>
      </c>
      <c r="P23" s="34">
        <f>F23/6*G23</f>
        <v>420.27448320000002</v>
      </c>
      <c r="Q23" s="34">
        <f>F23/6*G23</f>
        <v>420.27448320000002</v>
      </c>
      <c r="R23" s="34">
        <f>F23/6*G23</f>
        <v>420.27448320000002</v>
      </c>
      <c r="S23" s="34">
        <v>0</v>
      </c>
      <c r="T23" s="34">
        <v>0</v>
      </c>
      <c r="U23" s="34">
        <f t="shared" si="4"/>
        <v>2521.6468992</v>
      </c>
    </row>
    <row r="24" spans="1:21">
      <c r="A24" s="139" t="s">
        <v>178</v>
      </c>
      <c r="B24" s="10" t="s">
        <v>32</v>
      </c>
      <c r="C24" s="26" t="s">
        <v>30</v>
      </c>
      <c r="D24" s="10" t="s">
        <v>33</v>
      </c>
      <c r="E24" s="32">
        <v>1044.6500000000001</v>
      </c>
      <c r="F24" s="32">
        <f>SUM(E24/1000)</f>
        <v>1.0446500000000001</v>
      </c>
      <c r="G24" s="32">
        <v>3228.73</v>
      </c>
      <c r="H24" s="33">
        <f t="shared" si="3"/>
        <v>3.3728927945000007</v>
      </c>
      <c r="I24" s="34">
        <v>0</v>
      </c>
      <c r="J24" s="34">
        <v>0</v>
      </c>
      <c r="K24" s="34">
        <v>0</v>
      </c>
      <c r="L24" s="34">
        <v>0</v>
      </c>
      <c r="M24" s="34">
        <f>F24*G24</f>
        <v>3372.8927945000005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f t="shared" si="4"/>
        <v>3372.8927945000005</v>
      </c>
    </row>
    <row r="25" spans="1:21">
      <c r="A25" s="139" t="s">
        <v>182</v>
      </c>
      <c r="B25" s="10" t="s">
        <v>107</v>
      </c>
      <c r="C25" s="26" t="s">
        <v>60</v>
      </c>
      <c r="D25" s="10" t="s">
        <v>36</v>
      </c>
      <c r="E25" s="32">
        <v>6</v>
      </c>
      <c r="F25" s="32">
        <v>9.3000000000000007</v>
      </c>
      <c r="G25" s="32">
        <v>1391.86</v>
      </c>
      <c r="H25" s="33">
        <f>G25*F25/1000</f>
        <v>12.944298</v>
      </c>
      <c r="I25" s="34">
        <v>0</v>
      </c>
      <c r="J25" s="34">
        <v>0</v>
      </c>
      <c r="K25" s="34">
        <v>0</v>
      </c>
      <c r="L25" s="34">
        <v>0</v>
      </c>
      <c r="M25" s="34">
        <f>F25/6*G25</f>
        <v>2157.3829999999998</v>
      </c>
      <c r="N25" s="34">
        <f>F25/6*G25</f>
        <v>2157.3829999999998</v>
      </c>
      <c r="O25" s="34">
        <f>F25/6*G25</f>
        <v>2157.3829999999998</v>
      </c>
      <c r="P25" s="34">
        <f>F25/6*G25</f>
        <v>2157.3829999999998</v>
      </c>
      <c r="Q25" s="34">
        <f>F25/6*G25</f>
        <v>2157.3829999999998</v>
      </c>
      <c r="R25" s="34">
        <f>F25/6*G25</f>
        <v>2157.3829999999998</v>
      </c>
      <c r="S25" s="34">
        <v>0</v>
      </c>
      <c r="T25" s="34">
        <v>0</v>
      </c>
      <c r="U25" s="34">
        <f t="shared" si="4"/>
        <v>12944.297999999999</v>
      </c>
    </row>
    <row r="26" spans="1:21">
      <c r="A26" s="139" t="s">
        <v>179</v>
      </c>
      <c r="B26" s="10" t="s">
        <v>34</v>
      </c>
      <c r="C26" s="26" t="s">
        <v>35</v>
      </c>
      <c r="D26" s="10" t="s">
        <v>36</v>
      </c>
      <c r="E26" s="43">
        <v>0.33333333333333331</v>
      </c>
      <c r="F26" s="32">
        <f>155/3</f>
        <v>51.666666666666664</v>
      </c>
      <c r="G26" s="32">
        <v>60.6</v>
      </c>
      <c r="H26" s="33">
        <f>SUM(G26*155/3/1000)</f>
        <v>3.1309999999999998</v>
      </c>
      <c r="I26" s="34">
        <v>0</v>
      </c>
      <c r="J26" s="34">
        <v>0</v>
      </c>
      <c r="K26" s="34">
        <v>0</v>
      </c>
      <c r="L26" s="34">
        <v>0</v>
      </c>
      <c r="M26" s="34">
        <f>F26/6*G26</f>
        <v>521.83333333333337</v>
      </c>
      <c r="N26" s="34">
        <f>F26/6*G26</f>
        <v>521.83333333333337</v>
      </c>
      <c r="O26" s="34">
        <f>F26/6*G26</f>
        <v>521.83333333333337</v>
      </c>
      <c r="P26" s="34">
        <f>F26/6*G26</f>
        <v>521.83333333333337</v>
      </c>
      <c r="Q26" s="34">
        <f>F26/6*G26</f>
        <v>521.83333333333337</v>
      </c>
      <c r="R26" s="34">
        <f>F26/6*G26</f>
        <v>521.83333333333337</v>
      </c>
      <c r="S26" s="34">
        <v>0</v>
      </c>
      <c r="T26" s="34">
        <v>0</v>
      </c>
      <c r="U26" s="34">
        <f t="shared" si="4"/>
        <v>3131.0000000000005</v>
      </c>
    </row>
    <row r="27" spans="1:21" ht="12.75" customHeight="1">
      <c r="A27" s="139" t="s">
        <v>180</v>
      </c>
      <c r="B27" s="10" t="s">
        <v>37</v>
      </c>
      <c r="C27" s="26" t="s">
        <v>38</v>
      </c>
      <c r="D27" s="10" t="s">
        <v>39</v>
      </c>
      <c r="E27" s="44">
        <v>0.1</v>
      </c>
      <c r="F27" s="32">
        <f>SUM(E27*365)</f>
        <v>36.5</v>
      </c>
      <c r="G27" s="32">
        <v>157.18</v>
      </c>
      <c r="H27" s="33">
        <f t="shared" si="3"/>
        <v>5.737070000000001</v>
      </c>
      <c r="I27" s="34">
        <f>F27/12*G27</f>
        <v>478.08916666666664</v>
      </c>
      <c r="J27" s="34">
        <f>F27/12*G27</f>
        <v>478.08916666666664</v>
      </c>
      <c r="K27" s="34">
        <f>F27/12*G27</f>
        <v>478.08916666666664</v>
      </c>
      <c r="L27" s="34">
        <f>F27/12*G27</f>
        <v>478.08916666666664</v>
      </c>
      <c r="M27" s="34">
        <f>F27/12*G27</f>
        <v>478.08916666666664</v>
      </c>
      <c r="N27" s="34">
        <f>F27/12*G27</f>
        <v>478.08916666666664</v>
      </c>
      <c r="O27" s="34">
        <f>F27/12*G27</f>
        <v>478.08916666666664</v>
      </c>
      <c r="P27" s="34">
        <f>F27/12*G27</f>
        <v>478.08916666666664</v>
      </c>
      <c r="Q27" s="34">
        <f>F27/12*G27</f>
        <v>478.08916666666664</v>
      </c>
      <c r="R27" s="34">
        <f>F27/12*G27</f>
        <v>478.08916666666664</v>
      </c>
      <c r="S27" s="34">
        <f>F27/12*G27</f>
        <v>478.08916666666664</v>
      </c>
      <c r="T27" s="34">
        <f>F27/12*G27</f>
        <v>478.08916666666664</v>
      </c>
      <c r="U27" s="34">
        <f t="shared" si="4"/>
        <v>5737.07</v>
      </c>
    </row>
    <row r="28" spans="1:21" ht="12.75" customHeight="1">
      <c r="A28" s="139" t="s">
        <v>181</v>
      </c>
      <c r="B28" s="10" t="s">
        <v>157</v>
      </c>
      <c r="C28" s="26" t="s">
        <v>38</v>
      </c>
      <c r="D28" s="10" t="s">
        <v>40</v>
      </c>
      <c r="E28" s="31"/>
      <c r="F28" s="32">
        <v>3</v>
      </c>
      <c r="G28" s="32">
        <v>204.52</v>
      </c>
      <c r="H28" s="33">
        <f t="shared" si="3"/>
        <v>0.61356000000000011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f t="shared" si="4"/>
        <v>0</v>
      </c>
    </row>
    <row r="29" spans="1:21" ht="13.5" customHeight="1">
      <c r="A29" s="139" t="s">
        <v>105</v>
      </c>
      <c r="B29" s="10" t="s">
        <v>164</v>
      </c>
      <c r="C29" s="26" t="s">
        <v>41</v>
      </c>
      <c r="D29" s="10" t="s">
        <v>40</v>
      </c>
      <c r="E29" s="31"/>
      <c r="F29" s="32">
        <v>2</v>
      </c>
      <c r="G29" s="32">
        <v>1136.33</v>
      </c>
      <c r="H29" s="33">
        <f t="shared" si="3"/>
        <v>2.2726599999999997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f t="shared" si="4"/>
        <v>0</v>
      </c>
    </row>
    <row r="30" spans="1:21">
      <c r="A30" s="139"/>
      <c r="B30" s="45" t="s">
        <v>42</v>
      </c>
      <c r="C30" s="26" t="s">
        <v>43</v>
      </c>
      <c r="D30" s="45" t="s">
        <v>44</v>
      </c>
      <c r="E30" s="31">
        <v>3945</v>
      </c>
      <c r="F30" s="32">
        <f>SUM(E30*12)</f>
        <v>47340</v>
      </c>
      <c r="G30" s="32">
        <v>5.33</v>
      </c>
      <c r="H30" s="33">
        <f t="shared" si="3"/>
        <v>252.32220000000001</v>
      </c>
      <c r="I30" s="34">
        <f>F30/12*G30</f>
        <v>21026.85</v>
      </c>
      <c r="J30" s="34">
        <f>F30/12*G30</f>
        <v>21026.85</v>
      </c>
      <c r="K30" s="34">
        <f>F30/12*G30</f>
        <v>21026.85</v>
      </c>
      <c r="L30" s="34">
        <f>F30/12*G30</f>
        <v>21026.85</v>
      </c>
      <c r="M30" s="34">
        <f>F30/12*G30</f>
        <v>21026.85</v>
      </c>
      <c r="N30" s="34">
        <f>F30/12*G30</f>
        <v>21026.85</v>
      </c>
      <c r="O30" s="34">
        <f>F30/12*G30</f>
        <v>21026.85</v>
      </c>
      <c r="P30" s="34">
        <f>F30/12*G30</f>
        <v>21026.85</v>
      </c>
      <c r="Q30" s="34">
        <f>F30/12*G30</f>
        <v>21026.85</v>
      </c>
      <c r="R30" s="34">
        <f>F30/12*G30</f>
        <v>21026.85</v>
      </c>
      <c r="S30" s="34">
        <f>F30/12*G30</f>
        <v>21026.85</v>
      </c>
      <c r="T30" s="34">
        <f>F30/12*G30</f>
        <v>21026.85</v>
      </c>
      <c r="U30" s="34">
        <f t="shared" si="4"/>
        <v>252322.20000000004</v>
      </c>
    </row>
    <row r="31" spans="1:21" s="18" customFormat="1">
      <c r="A31" s="140"/>
      <c r="B31" s="19" t="s">
        <v>26</v>
      </c>
      <c r="C31" s="37"/>
      <c r="D31" s="19"/>
      <c r="E31" s="38"/>
      <c r="F31" s="39"/>
      <c r="G31" s="39"/>
      <c r="H31" s="46">
        <f>SUM(H22:H30)</f>
        <v>291.9680556637</v>
      </c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>
        <f>SUM(U22:U30)</f>
        <v>289081.83566370001</v>
      </c>
    </row>
    <row r="32" spans="1:21">
      <c r="A32" s="139"/>
      <c r="B32" s="11" t="s">
        <v>45</v>
      </c>
      <c r="C32" s="26"/>
      <c r="D32" s="10"/>
      <c r="E32" s="31"/>
      <c r="F32" s="32"/>
      <c r="G32" s="32"/>
      <c r="H32" s="33" t="s">
        <v>44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1:21" ht="12.75" customHeight="1">
      <c r="A33" s="139" t="s">
        <v>105</v>
      </c>
      <c r="B33" s="12" t="s">
        <v>46</v>
      </c>
      <c r="C33" s="26" t="s">
        <v>41</v>
      </c>
      <c r="D33" s="10"/>
      <c r="E33" s="31"/>
      <c r="F33" s="32">
        <v>8</v>
      </c>
      <c r="G33" s="32">
        <v>1632.6</v>
      </c>
      <c r="H33" s="33">
        <f t="shared" ref="H33:H40" si="5">SUM(F33*G33/1000)</f>
        <v>13.060799999999999</v>
      </c>
      <c r="I33" s="34">
        <f>F33/6*G33</f>
        <v>2176.7999999999997</v>
      </c>
      <c r="J33" s="34">
        <f>F33/6*G33</f>
        <v>2176.7999999999997</v>
      </c>
      <c r="K33" s="34">
        <f>F33/6*G33</f>
        <v>2176.7999999999997</v>
      </c>
      <c r="L33" s="34">
        <f>F33/6*G33</f>
        <v>2176.7999999999997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f>F33/6*G33</f>
        <v>2176.7999999999997</v>
      </c>
      <c r="T33" s="34">
        <f>F33/6*G33</f>
        <v>2176.7999999999997</v>
      </c>
      <c r="U33" s="34">
        <f t="shared" ref="U33:U40" si="6">SUM(I33:T33)</f>
        <v>13060.799999999997</v>
      </c>
    </row>
    <row r="34" spans="1:21">
      <c r="A34" s="141" t="s">
        <v>183</v>
      </c>
      <c r="B34" s="12" t="s">
        <v>111</v>
      </c>
      <c r="C34" s="48" t="s">
        <v>47</v>
      </c>
      <c r="D34" s="10" t="s">
        <v>110</v>
      </c>
      <c r="E34" s="31">
        <v>477.19</v>
      </c>
      <c r="F34" s="47">
        <f>E34*12/1000</f>
        <v>5.72628</v>
      </c>
      <c r="G34" s="32">
        <v>2247.8000000000002</v>
      </c>
      <c r="H34" s="33">
        <f>G34*F34/1000</f>
        <v>12.871532184000001</v>
      </c>
      <c r="I34" s="34">
        <f>F34/6*G34</f>
        <v>2145.2553640000001</v>
      </c>
      <c r="J34" s="34">
        <f>F34/6*G34</f>
        <v>2145.2553640000001</v>
      </c>
      <c r="K34" s="34">
        <f>F34/6*G34</f>
        <v>2145.2553640000001</v>
      </c>
      <c r="L34" s="34">
        <f>F34/6*G34</f>
        <v>2145.2553640000001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f>F34/6*G34</f>
        <v>2145.2553640000001</v>
      </c>
      <c r="T34" s="34">
        <f>F34/6*G34</f>
        <v>2145.2553640000001</v>
      </c>
      <c r="U34" s="34">
        <f t="shared" si="6"/>
        <v>12871.532184000002</v>
      </c>
    </row>
    <row r="35" spans="1:21" ht="25.5">
      <c r="A35" s="141" t="s">
        <v>183</v>
      </c>
      <c r="B35" s="12" t="s">
        <v>158</v>
      </c>
      <c r="C35" s="48" t="s">
        <v>47</v>
      </c>
      <c r="D35" s="10" t="s">
        <v>109</v>
      </c>
      <c r="E35" s="31">
        <v>116.93</v>
      </c>
      <c r="F35" s="47">
        <f>E35*30/1000</f>
        <v>3.5079000000000002</v>
      </c>
      <c r="G35" s="32">
        <v>2247.8000000000002</v>
      </c>
      <c r="H35" s="33">
        <f>G35*F35/1000</f>
        <v>7.8850576200000013</v>
      </c>
      <c r="I35" s="34">
        <f>F35/6*G35</f>
        <v>1314.1762700000002</v>
      </c>
      <c r="J35" s="34">
        <f>F35/6*G35</f>
        <v>1314.1762700000002</v>
      </c>
      <c r="K35" s="34">
        <f>F35/6*G35</f>
        <v>1314.1762700000002</v>
      </c>
      <c r="L35" s="34">
        <f>F35/6*G35</f>
        <v>1314.1762700000002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f>F35/6*G35</f>
        <v>1314.1762700000002</v>
      </c>
      <c r="T35" s="34">
        <f>F35/6*G35</f>
        <v>1314.1762700000002</v>
      </c>
      <c r="U35" s="34">
        <f t="shared" si="6"/>
        <v>7885.0576200000005</v>
      </c>
    </row>
    <row r="36" spans="1:21">
      <c r="A36" s="139" t="s">
        <v>105</v>
      </c>
      <c r="B36" s="10" t="s">
        <v>104</v>
      </c>
      <c r="C36" s="26" t="s">
        <v>68</v>
      </c>
      <c r="D36" s="10" t="s">
        <v>40</v>
      </c>
      <c r="E36" s="31"/>
      <c r="F36" s="47">
        <v>135</v>
      </c>
      <c r="G36" s="32">
        <v>213.2</v>
      </c>
      <c r="H36" s="33">
        <f>G36*F36/1000</f>
        <v>28.782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f t="shared" si="6"/>
        <v>0</v>
      </c>
    </row>
    <row r="37" spans="1:21" ht="24.75" customHeight="1">
      <c r="A37" s="139" t="s">
        <v>184</v>
      </c>
      <c r="B37" s="10" t="s">
        <v>159</v>
      </c>
      <c r="C37" s="26" t="s">
        <v>47</v>
      </c>
      <c r="D37" s="10" t="s">
        <v>48</v>
      </c>
      <c r="E37" s="32">
        <v>116.93</v>
      </c>
      <c r="F37" s="47">
        <f>SUM(E37*155/1000)</f>
        <v>18.12415</v>
      </c>
      <c r="G37" s="32">
        <v>374.95</v>
      </c>
      <c r="H37" s="33">
        <f t="shared" si="5"/>
        <v>6.7956500424999993</v>
      </c>
      <c r="I37" s="34">
        <f>F37/6*G37</f>
        <v>1132.6083404166666</v>
      </c>
      <c r="J37" s="34">
        <f>F37/6*G37</f>
        <v>1132.6083404166666</v>
      </c>
      <c r="K37" s="34">
        <f>F37/6*G37</f>
        <v>1132.6083404166666</v>
      </c>
      <c r="L37" s="34">
        <f>F37/6*G37</f>
        <v>1132.6083404166666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f>F37/6*G37</f>
        <v>1132.6083404166666</v>
      </c>
      <c r="T37" s="34">
        <f>F37/6*G37</f>
        <v>1132.6083404166666</v>
      </c>
      <c r="U37" s="34">
        <f t="shared" si="6"/>
        <v>6795.6500424999995</v>
      </c>
    </row>
    <row r="38" spans="1:21" ht="51" customHeight="1">
      <c r="A38" s="139" t="s">
        <v>185</v>
      </c>
      <c r="B38" s="10" t="s">
        <v>165</v>
      </c>
      <c r="C38" s="26" t="s">
        <v>30</v>
      </c>
      <c r="D38" s="10" t="s">
        <v>112</v>
      </c>
      <c r="E38" s="32">
        <v>116.93</v>
      </c>
      <c r="F38" s="47">
        <f>SUM(E38*24/1000)</f>
        <v>2.8063200000000004</v>
      </c>
      <c r="G38" s="32">
        <v>6203.71</v>
      </c>
      <c r="H38" s="33">
        <f t="shared" si="5"/>
        <v>17.409595447200001</v>
      </c>
      <c r="I38" s="34">
        <f>F38/6*G38</f>
        <v>2901.5992412000005</v>
      </c>
      <c r="J38" s="34">
        <f>F38/6*G38</f>
        <v>2901.5992412000005</v>
      </c>
      <c r="K38" s="34">
        <f>F38/6*G38</f>
        <v>2901.5992412000005</v>
      </c>
      <c r="L38" s="34">
        <f>F38/6*G38</f>
        <v>2901.5992412000005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f>F38/6*G38</f>
        <v>2901.5992412000005</v>
      </c>
      <c r="T38" s="34">
        <f>F38/6*G38</f>
        <v>2901.5992412000005</v>
      </c>
      <c r="U38" s="34">
        <f t="shared" si="6"/>
        <v>17409.595447200005</v>
      </c>
    </row>
    <row r="39" spans="1:21" ht="12.75" customHeight="1">
      <c r="A39" s="139" t="s">
        <v>186</v>
      </c>
      <c r="B39" s="10" t="s">
        <v>160</v>
      </c>
      <c r="C39" s="26" t="s">
        <v>30</v>
      </c>
      <c r="D39" s="10" t="s">
        <v>271</v>
      </c>
      <c r="E39" s="32">
        <v>116.93</v>
      </c>
      <c r="F39" s="47">
        <f>SUM(E39*15/1000)</f>
        <v>1.7539500000000001</v>
      </c>
      <c r="G39" s="32">
        <v>458.28</v>
      </c>
      <c r="H39" s="33">
        <f t="shared" si="5"/>
        <v>0.80380020600000002</v>
      </c>
      <c r="I39" s="34">
        <v>0</v>
      </c>
      <c r="J39" s="34">
        <v>0</v>
      </c>
      <c r="K39" s="34">
        <f>F39/2*G39</f>
        <v>401.900103</v>
      </c>
      <c r="L39" s="34">
        <f>F39/2*G39</f>
        <v>401.900103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f t="shared" si="6"/>
        <v>803.800206</v>
      </c>
    </row>
    <row r="40" spans="1:21" s="1" customFormat="1">
      <c r="A40" s="141"/>
      <c r="B40" s="12" t="s">
        <v>161</v>
      </c>
      <c r="C40" s="48" t="s">
        <v>38</v>
      </c>
      <c r="D40" s="12"/>
      <c r="E40" s="44"/>
      <c r="F40" s="47">
        <v>0.9</v>
      </c>
      <c r="G40" s="47">
        <v>798</v>
      </c>
      <c r="H40" s="33">
        <f t="shared" si="5"/>
        <v>0.71820000000000006</v>
      </c>
      <c r="I40" s="49">
        <f>F40/6*G40</f>
        <v>119.69999999999999</v>
      </c>
      <c r="J40" s="49">
        <f>F40/6*G40</f>
        <v>119.69999999999999</v>
      </c>
      <c r="K40" s="49">
        <f>F40/6*G40</f>
        <v>119.69999999999999</v>
      </c>
      <c r="L40" s="49">
        <f>F40/6*G40</f>
        <v>119.69999999999999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f>F40/6*G40</f>
        <v>119.69999999999999</v>
      </c>
      <c r="T40" s="49">
        <f>F40/6*G40</f>
        <v>119.69999999999999</v>
      </c>
      <c r="U40" s="34">
        <f t="shared" si="6"/>
        <v>718.2</v>
      </c>
    </row>
    <row r="41" spans="1:21" s="18" customFormat="1">
      <c r="A41" s="140"/>
      <c r="B41" s="19" t="s">
        <v>26</v>
      </c>
      <c r="C41" s="37"/>
      <c r="D41" s="19"/>
      <c r="E41" s="38"/>
      <c r="F41" s="39" t="s">
        <v>44</v>
      </c>
      <c r="G41" s="39"/>
      <c r="H41" s="46">
        <f>SUM(H33:H40)</f>
        <v>88.326635499700004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>
        <f>SUM(U33:U40)</f>
        <v>59544.635499700002</v>
      </c>
    </row>
    <row r="42" spans="1:21">
      <c r="A42" s="139"/>
      <c r="B42" s="13" t="s">
        <v>49</v>
      </c>
      <c r="C42" s="26"/>
      <c r="D42" s="10"/>
      <c r="E42" s="31"/>
      <c r="F42" s="32"/>
      <c r="G42" s="32"/>
      <c r="H42" s="33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1">
      <c r="A43" s="139" t="s">
        <v>187</v>
      </c>
      <c r="B43" s="10" t="s">
        <v>113</v>
      </c>
      <c r="C43" s="26" t="s">
        <v>30</v>
      </c>
      <c r="D43" s="10" t="s">
        <v>50</v>
      </c>
      <c r="E43" s="31">
        <v>1030.4000000000001</v>
      </c>
      <c r="F43" s="32">
        <f>SUM(E43*2/1000)</f>
        <v>2.0608</v>
      </c>
      <c r="G43" s="50">
        <v>908.1</v>
      </c>
      <c r="H43" s="33">
        <f t="shared" ref="H43:H52" si="7">SUM(F43*G43/1000)</f>
        <v>1.87141248</v>
      </c>
      <c r="I43" s="34">
        <v>0</v>
      </c>
      <c r="J43" s="34">
        <v>0</v>
      </c>
      <c r="K43" s="34">
        <v>0</v>
      </c>
      <c r="L43" s="34">
        <v>0</v>
      </c>
      <c r="M43" s="34">
        <f>F43/2*G43</f>
        <v>935.70623999999998</v>
      </c>
      <c r="N43" s="34">
        <v>0</v>
      </c>
      <c r="O43" s="34">
        <v>0</v>
      </c>
      <c r="P43" s="34">
        <v>0</v>
      </c>
      <c r="Q43" s="34">
        <f>F43/2*G43</f>
        <v>935.70623999999998</v>
      </c>
      <c r="R43" s="34">
        <v>0</v>
      </c>
      <c r="S43" s="34">
        <v>0</v>
      </c>
      <c r="T43" s="34">
        <v>0</v>
      </c>
      <c r="U43" s="34">
        <f t="shared" ref="U43:U52" si="8">SUM(I43:T43)</f>
        <v>1871.41248</v>
      </c>
    </row>
    <row r="44" spans="1:21">
      <c r="A44" s="139" t="s">
        <v>188</v>
      </c>
      <c r="B44" s="10" t="s">
        <v>51</v>
      </c>
      <c r="C44" s="26" t="s">
        <v>30</v>
      </c>
      <c r="D44" s="10" t="s">
        <v>50</v>
      </c>
      <c r="E44" s="31">
        <v>132</v>
      </c>
      <c r="F44" s="32">
        <f>E44*2/1000</f>
        <v>0.26400000000000001</v>
      </c>
      <c r="G44" s="50">
        <v>619.46</v>
      </c>
      <c r="H44" s="33">
        <f t="shared" si="7"/>
        <v>0.16353744000000001</v>
      </c>
      <c r="I44" s="34">
        <v>0</v>
      </c>
      <c r="J44" s="34">
        <v>0</v>
      </c>
      <c r="K44" s="34">
        <v>0</v>
      </c>
      <c r="L44" s="34">
        <v>0</v>
      </c>
      <c r="M44" s="34">
        <f t="shared" ref="M44:M46" si="9">F44/2*G44</f>
        <v>81.768720000000002</v>
      </c>
      <c r="N44" s="34">
        <v>0</v>
      </c>
      <c r="O44" s="34">
        <v>0</v>
      </c>
      <c r="P44" s="34">
        <v>0</v>
      </c>
      <c r="Q44" s="34">
        <f>F44/2*G44</f>
        <v>81.768720000000002</v>
      </c>
      <c r="R44" s="34">
        <v>0</v>
      </c>
      <c r="S44" s="34">
        <v>0</v>
      </c>
      <c r="T44" s="34">
        <v>0</v>
      </c>
      <c r="U44" s="34">
        <f t="shared" si="8"/>
        <v>163.53744</v>
      </c>
    </row>
    <row r="45" spans="1:21" ht="12.75" customHeight="1">
      <c r="A45" s="139" t="s">
        <v>189</v>
      </c>
      <c r="B45" s="10" t="s">
        <v>52</v>
      </c>
      <c r="C45" s="26" t="s">
        <v>30</v>
      </c>
      <c r="D45" s="10" t="s">
        <v>50</v>
      </c>
      <c r="E45" s="31">
        <v>4248.22</v>
      </c>
      <c r="F45" s="32">
        <f>SUM(E45*2/1000)</f>
        <v>8.4964399999999998</v>
      </c>
      <c r="G45" s="50">
        <v>619.46</v>
      </c>
      <c r="H45" s="33">
        <f t="shared" si="7"/>
        <v>5.2632047223999994</v>
      </c>
      <c r="I45" s="34">
        <v>0</v>
      </c>
      <c r="J45" s="34">
        <v>0</v>
      </c>
      <c r="K45" s="34">
        <v>0</v>
      </c>
      <c r="L45" s="34">
        <v>0</v>
      </c>
      <c r="M45" s="34">
        <f t="shared" si="9"/>
        <v>2631.6023611999999</v>
      </c>
      <c r="N45" s="34">
        <v>0</v>
      </c>
      <c r="O45" s="34">
        <v>0</v>
      </c>
      <c r="P45" s="34">
        <v>0</v>
      </c>
      <c r="Q45" s="34">
        <f>F45/2*G45</f>
        <v>2631.6023611999999</v>
      </c>
      <c r="R45" s="34">
        <v>0</v>
      </c>
      <c r="S45" s="34">
        <v>0</v>
      </c>
      <c r="T45" s="34">
        <v>0</v>
      </c>
      <c r="U45" s="34">
        <f t="shared" si="8"/>
        <v>5263.2047223999998</v>
      </c>
    </row>
    <row r="46" spans="1:21">
      <c r="A46" s="139" t="s">
        <v>190</v>
      </c>
      <c r="B46" s="10" t="s">
        <v>53</v>
      </c>
      <c r="C46" s="26" t="s">
        <v>30</v>
      </c>
      <c r="D46" s="10" t="s">
        <v>50</v>
      </c>
      <c r="E46" s="31">
        <v>2163.66</v>
      </c>
      <c r="F46" s="32">
        <f>SUM(E46*2/1000)</f>
        <v>4.3273199999999994</v>
      </c>
      <c r="G46" s="50">
        <v>648.64</v>
      </c>
      <c r="H46" s="33">
        <f t="shared" si="7"/>
        <v>2.8068728447999995</v>
      </c>
      <c r="I46" s="34">
        <v>0</v>
      </c>
      <c r="J46" s="34">
        <v>0</v>
      </c>
      <c r="K46" s="34">
        <v>0</v>
      </c>
      <c r="L46" s="34">
        <v>0</v>
      </c>
      <c r="M46" s="34">
        <f t="shared" si="9"/>
        <v>1403.4364223999999</v>
      </c>
      <c r="N46" s="34">
        <v>0</v>
      </c>
      <c r="O46" s="34">
        <v>0</v>
      </c>
      <c r="P46" s="34">
        <v>0</v>
      </c>
      <c r="Q46" s="34">
        <f>F46/2*G46</f>
        <v>1403.4364223999999</v>
      </c>
      <c r="R46" s="34">
        <v>0</v>
      </c>
      <c r="S46" s="34">
        <v>0</v>
      </c>
      <c r="T46" s="34">
        <v>0</v>
      </c>
      <c r="U46" s="34">
        <f t="shared" si="8"/>
        <v>2806.8728447999997</v>
      </c>
    </row>
    <row r="47" spans="1:21" ht="25.5">
      <c r="A47" s="139" t="s">
        <v>191</v>
      </c>
      <c r="B47" s="10" t="s">
        <v>54</v>
      </c>
      <c r="C47" s="26" t="s">
        <v>30</v>
      </c>
      <c r="D47" s="10" t="s">
        <v>55</v>
      </c>
      <c r="E47" s="31">
        <v>1015.4</v>
      </c>
      <c r="F47" s="32">
        <f>SUM(E47*5/1000)</f>
        <v>5.077</v>
      </c>
      <c r="G47" s="50">
        <v>1297.28</v>
      </c>
      <c r="H47" s="33">
        <f t="shared" si="7"/>
        <v>6.5862905599999992</v>
      </c>
      <c r="I47" s="34">
        <f>F47/5*G47</f>
        <v>1317.258112</v>
      </c>
      <c r="J47" s="34">
        <f>F47/5*G47</f>
        <v>1317.258112</v>
      </c>
      <c r="K47" s="34">
        <v>0</v>
      </c>
      <c r="L47" s="34">
        <v>0</v>
      </c>
      <c r="M47" s="34">
        <f>F47/5*G47</f>
        <v>1317.258112</v>
      </c>
      <c r="N47" s="34">
        <v>0</v>
      </c>
      <c r="O47" s="34">
        <v>0</v>
      </c>
      <c r="P47" s="34">
        <v>0</v>
      </c>
      <c r="Q47" s="34">
        <f>F47/5*G47</f>
        <v>1317.258112</v>
      </c>
      <c r="R47" s="34">
        <v>0</v>
      </c>
      <c r="S47" s="34">
        <v>0</v>
      </c>
      <c r="T47" s="34">
        <f>F47/5*G47</f>
        <v>1317.258112</v>
      </c>
      <c r="U47" s="34">
        <f t="shared" si="8"/>
        <v>6586.2905599999995</v>
      </c>
    </row>
    <row r="48" spans="1:21" ht="38.25" customHeight="1">
      <c r="A48" s="139" t="s">
        <v>192</v>
      </c>
      <c r="B48" s="10" t="s">
        <v>56</v>
      </c>
      <c r="C48" s="26" t="s">
        <v>30</v>
      </c>
      <c r="D48" s="10" t="s">
        <v>50</v>
      </c>
      <c r="E48" s="31">
        <v>1015.4</v>
      </c>
      <c r="F48" s="32">
        <f>SUM(E48*2/1000)</f>
        <v>2.0308000000000002</v>
      </c>
      <c r="G48" s="50">
        <v>1297.28</v>
      </c>
      <c r="H48" s="33">
        <f t="shared" si="7"/>
        <v>2.634516224</v>
      </c>
      <c r="I48" s="34">
        <v>0</v>
      </c>
      <c r="J48" s="34">
        <v>0</v>
      </c>
      <c r="K48" s="34">
        <f>F48/2*G48</f>
        <v>1317.258112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f>F48/2*G48</f>
        <v>1317.258112</v>
      </c>
      <c r="R48" s="34">
        <v>0</v>
      </c>
      <c r="S48" s="34">
        <v>0</v>
      </c>
      <c r="T48" s="34">
        <v>0</v>
      </c>
      <c r="U48" s="34">
        <f t="shared" si="8"/>
        <v>2634.516224</v>
      </c>
    </row>
    <row r="49" spans="1:21" ht="25.5" customHeight="1">
      <c r="A49" s="139" t="s">
        <v>193</v>
      </c>
      <c r="B49" s="10" t="s">
        <v>57</v>
      </c>
      <c r="C49" s="26" t="s">
        <v>58</v>
      </c>
      <c r="D49" s="10" t="s">
        <v>50</v>
      </c>
      <c r="E49" s="31">
        <v>30</v>
      </c>
      <c r="F49" s="32">
        <f>SUM(E49*2/100)</f>
        <v>0.6</v>
      </c>
      <c r="G49" s="50">
        <v>2918.89</v>
      </c>
      <c r="H49" s="33">
        <f t="shared" si="7"/>
        <v>1.7513339999999997</v>
      </c>
      <c r="I49" s="34">
        <v>0</v>
      </c>
      <c r="J49" s="34">
        <v>0</v>
      </c>
      <c r="K49" s="34">
        <f>F49/2*G49</f>
        <v>875.66699999999992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f>F49/2*G49</f>
        <v>875.66699999999992</v>
      </c>
      <c r="R49" s="34">
        <v>0</v>
      </c>
      <c r="S49" s="34">
        <v>0</v>
      </c>
      <c r="T49" s="34">
        <v>0</v>
      </c>
      <c r="U49" s="34">
        <f t="shared" si="8"/>
        <v>1751.3339999999998</v>
      </c>
    </row>
    <row r="50" spans="1:21">
      <c r="A50" s="139" t="s">
        <v>194</v>
      </c>
      <c r="B50" s="10" t="s">
        <v>59</v>
      </c>
      <c r="C50" s="26" t="s">
        <v>60</v>
      </c>
      <c r="D50" s="10" t="s">
        <v>50</v>
      </c>
      <c r="E50" s="31">
        <v>1</v>
      </c>
      <c r="F50" s="32">
        <v>0.02</v>
      </c>
      <c r="G50" s="50">
        <v>6042.13</v>
      </c>
      <c r="H50" s="33">
        <f t="shared" si="7"/>
        <v>0.12084260000000001</v>
      </c>
      <c r="I50" s="34">
        <v>0</v>
      </c>
      <c r="J50" s="34">
        <v>0</v>
      </c>
      <c r="K50" s="34">
        <f>F50/2*G50</f>
        <v>60.421300000000002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f>F50/2*G50</f>
        <v>60.421300000000002</v>
      </c>
      <c r="R50" s="34">
        <v>0</v>
      </c>
      <c r="S50" s="34">
        <v>0</v>
      </c>
      <c r="T50" s="34">
        <v>0</v>
      </c>
      <c r="U50" s="34">
        <f t="shared" si="8"/>
        <v>120.8426</v>
      </c>
    </row>
    <row r="51" spans="1:21">
      <c r="A51" s="139" t="s">
        <v>114</v>
      </c>
      <c r="B51" s="10" t="s">
        <v>115</v>
      </c>
      <c r="C51" s="26" t="s">
        <v>61</v>
      </c>
      <c r="D51" s="10" t="s">
        <v>116</v>
      </c>
      <c r="E51" s="31">
        <v>90</v>
      </c>
      <c r="F51" s="32">
        <f>E51*4</f>
        <v>360</v>
      </c>
      <c r="G51" s="50">
        <v>150.86000000000001</v>
      </c>
      <c r="H51" s="33">
        <f t="shared" si="7"/>
        <v>54.309600000000003</v>
      </c>
      <c r="I51" s="34">
        <f>E51*G51</f>
        <v>13577.400000000001</v>
      </c>
      <c r="J51" s="34">
        <v>0</v>
      </c>
      <c r="K51" s="34">
        <v>0</v>
      </c>
      <c r="L51" s="34">
        <v>0</v>
      </c>
      <c r="M51" s="34">
        <f>G51*E51</f>
        <v>13577.400000000001</v>
      </c>
      <c r="N51" s="34">
        <v>0</v>
      </c>
      <c r="O51" s="34">
        <v>0</v>
      </c>
      <c r="P51" s="34">
        <v>0</v>
      </c>
      <c r="Q51" s="34">
        <f>E51*G51</f>
        <v>13577.400000000001</v>
      </c>
      <c r="R51" s="34">
        <v>0</v>
      </c>
      <c r="S51" s="34">
        <v>0</v>
      </c>
      <c r="T51" s="34">
        <v>0</v>
      </c>
      <c r="U51" s="34">
        <f t="shared" si="8"/>
        <v>40732.200000000004</v>
      </c>
    </row>
    <row r="52" spans="1:21" ht="13.5" customHeight="1">
      <c r="A52" s="139" t="s">
        <v>62</v>
      </c>
      <c r="B52" s="10" t="s">
        <v>63</v>
      </c>
      <c r="C52" s="26" t="s">
        <v>61</v>
      </c>
      <c r="D52" s="10" t="s">
        <v>134</v>
      </c>
      <c r="E52" s="31">
        <v>180</v>
      </c>
      <c r="F52" s="32">
        <f>SUM(E52)*3</f>
        <v>540</v>
      </c>
      <c r="G52" s="51">
        <v>70.2</v>
      </c>
      <c r="H52" s="33">
        <f t="shared" si="7"/>
        <v>37.908000000000001</v>
      </c>
      <c r="I52" s="34">
        <f>E52*G52</f>
        <v>12636</v>
      </c>
      <c r="J52" s="34">
        <v>0</v>
      </c>
      <c r="K52" s="34">
        <v>0</v>
      </c>
      <c r="L52" s="34">
        <v>0</v>
      </c>
      <c r="M52" s="34">
        <f>G52*E52</f>
        <v>12636</v>
      </c>
      <c r="N52" s="34">
        <v>0</v>
      </c>
      <c r="O52" s="34">
        <v>0</v>
      </c>
      <c r="P52" s="34">
        <v>0</v>
      </c>
      <c r="Q52" s="34">
        <f>E52*G52</f>
        <v>12636</v>
      </c>
      <c r="R52" s="34">
        <v>0</v>
      </c>
      <c r="S52" s="34">
        <v>0</v>
      </c>
      <c r="T52" s="34">
        <v>0</v>
      </c>
      <c r="U52" s="34">
        <f t="shared" si="8"/>
        <v>37908</v>
      </c>
    </row>
    <row r="53" spans="1:21" s="20" customFormat="1">
      <c r="A53" s="140"/>
      <c r="B53" s="19" t="s">
        <v>26</v>
      </c>
      <c r="C53" s="52"/>
      <c r="D53" s="19"/>
      <c r="E53" s="53"/>
      <c r="F53" s="54"/>
      <c r="G53" s="54"/>
      <c r="H53" s="46">
        <f>SUM(H43:H52)</f>
        <v>113.4156108712</v>
      </c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>
        <f>SUM(U43:U52)</f>
        <v>99838.210871200004</v>
      </c>
    </row>
    <row r="54" spans="1:21">
      <c r="A54" s="139"/>
      <c r="B54" s="11" t="s">
        <v>64</v>
      </c>
      <c r="C54" s="26"/>
      <c r="D54" s="10"/>
      <c r="E54" s="31"/>
      <c r="F54" s="32"/>
      <c r="G54" s="32"/>
      <c r="H54" s="33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</row>
    <row r="55" spans="1:21" ht="38.25" customHeight="1">
      <c r="A55" s="139" t="s">
        <v>195</v>
      </c>
      <c r="B55" s="10" t="s">
        <v>154</v>
      </c>
      <c r="C55" s="26" t="s">
        <v>13</v>
      </c>
      <c r="D55" s="10" t="s">
        <v>65</v>
      </c>
      <c r="E55" s="31">
        <v>148.04</v>
      </c>
      <c r="F55" s="32">
        <f>SUM(E55*6/100)</f>
        <v>8.8824000000000005</v>
      </c>
      <c r="G55" s="50">
        <v>1654.04</v>
      </c>
      <c r="H55" s="33">
        <f>SUM(F55*G55/1000)</f>
        <v>14.691844896000001</v>
      </c>
      <c r="I55" s="34">
        <f>F55/6*G55</f>
        <v>2448.6408160000001</v>
      </c>
      <c r="J55" s="34">
        <f>F55/6*G55</f>
        <v>2448.6408160000001</v>
      </c>
      <c r="K55" s="34">
        <f>F55/6*G55</f>
        <v>2448.6408160000001</v>
      </c>
      <c r="L55" s="34">
        <f>F55/6*G55</f>
        <v>2448.6408160000001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f>F55/6*G55</f>
        <v>2448.6408160000001</v>
      </c>
      <c r="T55" s="34">
        <f>F55/6*G55</f>
        <v>2448.6408160000001</v>
      </c>
      <c r="U55" s="34">
        <f t="shared" ref="U55:U81" si="10">SUM(I55:T55)</f>
        <v>14691.844895999999</v>
      </c>
    </row>
    <row r="56" spans="1:21" ht="27" customHeight="1">
      <c r="A56" s="139" t="s">
        <v>195</v>
      </c>
      <c r="B56" s="10" t="s">
        <v>155</v>
      </c>
      <c r="C56" s="26" t="s">
        <v>13</v>
      </c>
      <c r="D56" s="10" t="s">
        <v>117</v>
      </c>
      <c r="E56" s="31">
        <v>39.700000000000003</v>
      </c>
      <c r="F56" s="32">
        <f>SUM(E56*12/100)</f>
        <v>4.7640000000000002</v>
      </c>
      <c r="G56" s="50">
        <v>1654.04</v>
      </c>
      <c r="H56" s="33">
        <f>SUM(F56*G56/1000)</f>
        <v>7.8798465599999998</v>
      </c>
      <c r="I56" s="34">
        <f>F56/6*G56</f>
        <v>1313.3077600000001</v>
      </c>
      <c r="J56" s="34">
        <f>F56/6*G56</f>
        <v>1313.3077600000001</v>
      </c>
      <c r="K56" s="34">
        <f>F56/6*G56</f>
        <v>1313.3077600000001</v>
      </c>
      <c r="L56" s="34">
        <f>F56/6*G56</f>
        <v>1313.3077600000001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f>F56/6*G56</f>
        <v>1313.3077600000001</v>
      </c>
      <c r="T56" s="34">
        <f>F56/6*G56</f>
        <v>1313.3077600000001</v>
      </c>
      <c r="U56" s="34">
        <f t="shared" si="10"/>
        <v>7879.84656</v>
      </c>
    </row>
    <row r="57" spans="1:21" ht="12.75" customHeight="1">
      <c r="A57" s="142" t="s">
        <v>196</v>
      </c>
      <c r="B57" s="23" t="s">
        <v>118</v>
      </c>
      <c r="C57" s="56" t="s">
        <v>119</v>
      </c>
      <c r="D57" s="23" t="s">
        <v>50</v>
      </c>
      <c r="E57" s="57">
        <v>8</v>
      </c>
      <c r="F57" s="58">
        <v>16</v>
      </c>
      <c r="G57" s="50">
        <v>193.25</v>
      </c>
      <c r="H57" s="33">
        <f>SUM(F57*G57/1000)</f>
        <v>3.0920000000000001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f t="shared" si="10"/>
        <v>0</v>
      </c>
    </row>
    <row r="58" spans="1:21" ht="12.75" customHeight="1">
      <c r="A58" s="139" t="s">
        <v>195</v>
      </c>
      <c r="B58" s="10" t="s">
        <v>120</v>
      </c>
      <c r="C58" s="26" t="s">
        <v>13</v>
      </c>
      <c r="D58" s="10" t="s">
        <v>65</v>
      </c>
      <c r="E58" s="31">
        <v>41.73</v>
      </c>
      <c r="F58" s="32">
        <f>SUM(E58*6/100)</f>
        <v>2.5038</v>
      </c>
      <c r="G58" s="50">
        <v>1654.04</v>
      </c>
      <c r="H58" s="33">
        <f>SUM(F58*G58/1000)</f>
        <v>4.1413853520000004</v>
      </c>
      <c r="I58" s="34">
        <f>F58/6*G58</f>
        <v>690.23089200000004</v>
      </c>
      <c r="J58" s="34">
        <f>F58/6*G58</f>
        <v>690.23089200000004</v>
      </c>
      <c r="K58" s="34">
        <f>F58/6*G58</f>
        <v>690.23089200000004</v>
      </c>
      <c r="L58" s="34">
        <f>F58/6*G58</f>
        <v>690.23089200000004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f>F58/6*G58</f>
        <v>690.23089200000004</v>
      </c>
      <c r="T58" s="34">
        <f>F58/6*G58</f>
        <v>690.23089200000004</v>
      </c>
      <c r="U58" s="34">
        <f t="shared" si="10"/>
        <v>4141.3853520000002</v>
      </c>
    </row>
    <row r="59" spans="1:21" ht="12.75" customHeight="1">
      <c r="A59" s="142"/>
      <c r="B59" s="24" t="s">
        <v>66</v>
      </c>
      <c r="C59" s="56"/>
      <c r="D59" s="23"/>
      <c r="E59" s="57"/>
      <c r="F59" s="58"/>
      <c r="G59" s="50"/>
      <c r="H59" s="59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21" ht="12.75" customHeight="1">
      <c r="A60" s="142" t="s">
        <v>197</v>
      </c>
      <c r="B60" s="23" t="s">
        <v>121</v>
      </c>
      <c r="C60" s="56" t="s">
        <v>23</v>
      </c>
      <c r="D60" s="23" t="s">
        <v>33</v>
      </c>
      <c r="E60" s="57">
        <v>1015.4</v>
      </c>
      <c r="F60" s="58">
        <v>10.154</v>
      </c>
      <c r="G60" s="50">
        <v>848.37</v>
      </c>
      <c r="H60" s="59">
        <f>F60*G60/1000</f>
        <v>8.6143489800000008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f t="shared" si="10"/>
        <v>0</v>
      </c>
    </row>
    <row r="61" spans="1:21" ht="12.75" customHeight="1">
      <c r="A61" s="142"/>
      <c r="B61" s="23" t="s">
        <v>108</v>
      </c>
      <c r="C61" s="56" t="s">
        <v>67</v>
      </c>
      <c r="D61" s="23" t="s">
        <v>106</v>
      </c>
      <c r="E61" s="57">
        <v>203.1</v>
      </c>
      <c r="F61" s="60">
        <f>E61*12</f>
        <v>2437.1999999999998</v>
      </c>
      <c r="G61" s="61">
        <v>2.6</v>
      </c>
      <c r="H61" s="58">
        <f>F61*G61/1000</f>
        <v>6.3367199999999997</v>
      </c>
      <c r="I61" s="34">
        <f>F61/12*G61</f>
        <v>528.06000000000006</v>
      </c>
      <c r="J61" s="34">
        <f>F61/12*G61</f>
        <v>528.06000000000006</v>
      </c>
      <c r="K61" s="34">
        <f>F61/12*G61</f>
        <v>528.06000000000006</v>
      </c>
      <c r="L61" s="34">
        <f>F61/12*G61</f>
        <v>528.06000000000006</v>
      </c>
      <c r="M61" s="34">
        <f>F61/12*G61</f>
        <v>528.06000000000006</v>
      </c>
      <c r="N61" s="34">
        <f>F61/12*G61</f>
        <v>528.06000000000006</v>
      </c>
      <c r="O61" s="34">
        <f>F61/12*G61</f>
        <v>528.06000000000006</v>
      </c>
      <c r="P61" s="34">
        <f>F61/12*G61</f>
        <v>528.06000000000006</v>
      </c>
      <c r="Q61" s="34">
        <f>F61/12*G61</f>
        <v>528.06000000000006</v>
      </c>
      <c r="R61" s="34">
        <f>F61/12*G61</f>
        <v>528.06000000000006</v>
      </c>
      <c r="S61" s="34">
        <f>F61/12*G61</f>
        <v>528.06000000000006</v>
      </c>
      <c r="T61" s="34">
        <f>F61/12*G61</f>
        <v>528.06000000000006</v>
      </c>
      <c r="U61" s="34">
        <f t="shared" si="10"/>
        <v>6336.7200000000021</v>
      </c>
    </row>
    <row r="62" spans="1:21">
      <c r="A62" s="142"/>
      <c r="B62" s="14" t="s">
        <v>69</v>
      </c>
      <c r="C62" s="56"/>
      <c r="D62" s="23"/>
      <c r="E62" s="57"/>
      <c r="F62" s="60"/>
      <c r="G62" s="60"/>
      <c r="H62" s="58" t="s">
        <v>44</v>
      </c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1:21" ht="12.75" customHeight="1">
      <c r="A63" s="62" t="s">
        <v>198</v>
      </c>
      <c r="B63" s="15" t="s">
        <v>70</v>
      </c>
      <c r="C63" s="62" t="s">
        <v>61</v>
      </c>
      <c r="D63" s="8" t="s">
        <v>40</v>
      </c>
      <c r="E63" s="63">
        <v>10</v>
      </c>
      <c r="F63" s="32">
        <v>10</v>
      </c>
      <c r="G63" s="50">
        <v>237.75</v>
      </c>
      <c r="H63" s="127">
        <f t="shared" ref="H63:H76" si="11">SUM(F63*G63/1000)</f>
        <v>2.3774999999999999</v>
      </c>
      <c r="I63" s="34">
        <v>0</v>
      </c>
      <c r="J63" s="34">
        <v>0</v>
      </c>
      <c r="K63" s="34">
        <v>0</v>
      </c>
      <c r="L63" s="34">
        <v>0</v>
      </c>
      <c r="M63" s="34">
        <f>G63</f>
        <v>237.75</v>
      </c>
      <c r="N63" s="34">
        <f>G63*6</f>
        <v>1426.5</v>
      </c>
      <c r="O63" s="34">
        <v>0</v>
      </c>
      <c r="P63" s="34">
        <v>0</v>
      </c>
      <c r="Q63" s="34">
        <f>G63*13</f>
        <v>3090.75</v>
      </c>
      <c r="R63" s="34">
        <f>G63*13</f>
        <v>3090.75</v>
      </c>
      <c r="S63" s="34">
        <f>G63</f>
        <v>237.75</v>
      </c>
      <c r="T63" s="34">
        <v>0</v>
      </c>
      <c r="U63" s="34">
        <f t="shared" si="10"/>
        <v>8083.5</v>
      </c>
    </row>
    <row r="64" spans="1:21" ht="12.75" customHeight="1">
      <c r="A64" s="62" t="s">
        <v>199</v>
      </c>
      <c r="B64" s="15" t="s">
        <v>71</v>
      </c>
      <c r="C64" s="62" t="s">
        <v>61</v>
      </c>
      <c r="D64" s="8" t="s">
        <v>40</v>
      </c>
      <c r="E64" s="63">
        <v>5</v>
      </c>
      <c r="F64" s="32">
        <v>5</v>
      </c>
      <c r="G64" s="50">
        <v>81.510000000000005</v>
      </c>
      <c r="H64" s="127">
        <f t="shared" si="11"/>
        <v>0.40755000000000002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f t="shared" si="10"/>
        <v>0</v>
      </c>
    </row>
    <row r="65" spans="1:21" s="1" customFormat="1">
      <c r="A65" s="64" t="s">
        <v>200</v>
      </c>
      <c r="B65" s="15" t="s">
        <v>72</v>
      </c>
      <c r="C65" s="64" t="s">
        <v>73</v>
      </c>
      <c r="D65" s="8" t="s">
        <v>33</v>
      </c>
      <c r="E65" s="31">
        <v>14205</v>
      </c>
      <c r="F65" s="51">
        <f>SUM(E65/100)</f>
        <v>142.05000000000001</v>
      </c>
      <c r="G65" s="50">
        <v>226.79</v>
      </c>
      <c r="H65" s="127">
        <f t="shared" si="11"/>
        <v>32.215519499999999</v>
      </c>
      <c r="I65" s="49">
        <v>0</v>
      </c>
      <c r="J65" s="49">
        <v>0</v>
      </c>
      <c r="K65" s="49">
        <v>0</v>
      </c>
      <c r="L65" s="49">
        <v>0</v>
      </c>
      <c r="M65" s="49">
        <f>F65*G65</f>
        <v>32215.519500000002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34">
        <f t="shared" si="10"/>
        <v>32215.519500000002</v>
      </c>
    </row>
    <row r="66" spans="1:21" ht="12.75" customHeight="1">
      <c r="A66" s="62" t="s">
        <v>201</v>
      </c>
      <c r="B66" s="15" t="s">
        <v>74</v>
      </c>
      <c r="C66" s="62" t="s">
        <v>75</v>
      </c>
      <c r="D66" s="8"/>
      <c r="E66" s="31">
        <v>14205</v>
      </c>
      <c r="F66" s="50">
        <f>SUM(E66/1000)</f>
        <v>14.205</v>
      </c>
      <c r="G66" s="50">
        <v>176.61</v>
      </c>
      <c r="H66" s="127">
        <f t="shared" si="11"/>
        <v>2.5087450499999999</v>
      </c>
      <c r="I66" s="34">
        <v>0</v>
      </c>
      <c r="J66" s="34">
        <v>0</v>
      </c>
      <c r="K66" s="34">
        <v>0</v>
      </c>
      <c r="L66" s="34">
        <v>0</v>
      </c>
      <c r="M66" s="34">
        <f>F66*G66</f>
        <v>2508.74505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f t="shared" si="10"/>
        <v>2508.74505</v>
      </c>
    </row>
    <row r="67" spans="1:21">
      <c r="A67" s="62" t="s">
        <v>202</v>
      </c>
      <c r="B67" s="15" t="s">
        <v>76</v>
      </c>
      <c r="C67" s="62" t="s">
        <v>77</v>
      </c>
      <c r="D67" s="8" t="s">
        <v>33</v>
      </c>
      <c r="E67" s="31">
        <v>2131</v>
      </c>
      <c r="F67" s="50">
        <f>SUM(E67/100)</f>
        <v>21.31</v>
      </c>
      <c r="G67" s="50">
        <v>2217.7800000000002</v>
      </c>
      <c r="H67" s="127">
        <f t="shared" si="11"/>
        <v>47.260891800000003</v>
      </c>
      <c r="I67" s="34">
        <v>0</v>
      </c>
      <c r="J67" s="34">
        <v>0</v>
      </c>
      <c r="K67" s="34">
        <v>0</v>
      </c>
      <c r="L67" s="34">
        <v>0</v>
      </c>
      <c r="M67" s="34">
        <f>F67*G67</f>
        <v>47260.891800000005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f t="shared" si="10"/>
        <v>47260.891800000005</v>
      </c>
    </row>
    <row r="68" spans="1:21">
      <c r="A68" s="62"/>
      <c r="B68" s="16" t="s">
        <v>99</v>
      </c>
      <c r="C68" s="62" t="s">
        <v>38</v>
      </c>
      <c r="D68" s="8"/>
      <c r="E68" s="31">
        <v>12.48</v>
      </c>
      <c r="F68" s="50">
        <f>SUM(E68)</f>
        <v>12.48</v>
      </c>
      <c r="G68" s="50">
        <v>42.67</v>
      </c>
      <c r="H68" s="127">
        <f t="shared" si="11"/>
        <v>0.53252160000000004</v>
      </c>
      <c r="I68" s="34">
        <v>0</v>
      </c>
      <c r="J68" s="34">
        <v>0</v>
      </c>
      <c r="K68" s="34">
        <v>0</v>
      </c>
      <c r="L68" s="34">
        <v>0</v>
      </c>
      <c r="M68" s="34">
        <f>F68*G68</f>
        <v>532.52160000000003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f t="shared" si="10"/>
        <v>532.52160000000003</v>
      </c>
    </row>
    <row r="69" spans="1:21" ht="12.75" customHeight="1">
      <c r="A69" s="143"/>
      <c r="B69" s="16" t="s">
        <v>100</v>
      </c>
      <c r="C69" s="62" t="s">
        <v>38</v>
      </c>
      <c r="D69" s="8"/>
      <c r="E69" s="31">
        <v>12.48</v>
      </c>
      <c r="F69" s="50">
        <f>SUM(E69)</f>
        <v>12.48</v>
      </c>
      <c r="G69" s="50">
        <v>39.81</v>
      </c>
      <c r="H69" s="127">
        <f t="shared" si="11"/>
        <v>0.49682880000000007</v>
      </c>
      <c r="I69" s="34">
        <v>0</v>
      </c>
      <c r="J69" s="34">
        <v>0</v>
      </c>
      <c r="K69" s="34">
        <v>0</v>
      </c>
      <c r="L69" s="34">
        <v>0</v>
      </c>
      <c r="M69" s="34">
        <f>F69*G69</f>
        <v>496.82880000000006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f t="shared" si="10"/>
        <v>496.82880000000006</v>
      </c>
    </row>
    <row r="70" spans="1:21">
      <c r="A70" s="62" t="s">
        <v>203</v>
      </c>
      <c r="B70" s="8" t="s">
        <v>78</v>
      </c>
      <c r="C70" s="62" t="s">
        <v>79</v>
      </c>
      <c r="D70" s="8" t="s">
        <v>33</v>
      </c>
      <c r="E70" s="63">
        <v>5</v>
      </c>
      <c r="F70" s="32">
        <v>5</v>
      </c>
      <c r="G70" s="50">
        <v>53.32</v>
      </c>
      <c r="H70" s="127">
        <f t="shared" si="11"/>
        <v>0.2666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f>F70*G70</f>
        <v>266.60000000000002</v>
      </c>
      <c r="R70" s="34">
        <v>0</v>
      </c>
      <c r="S70" s="34">
        <v>0</v>
      </c>
      <c r="T70" s="34">
        <v>0</v>
      </c>
      <c r="U70" s="34">
        <f t="shared" si="10"/>
        <v>266.60000000000002</v>
      </c>
    </row>
    <row r="71" spans="1:21">
      <c r="A71" s="143"/>
      <c r="B71" s="17" t="s">
        <v>80</v>
      </c>
      <c r="C71" s="62"/>
      <c r="D71" s="8"/>
      <c r="E71" s="63"/>
      <c r="F71" s="50"/>
      <c r="G71" s="50"/>
      <c r="H71" s="127" t="s">
        <v>44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spans="1:21">
      <c r="A72" s="62" t="s">
        <v>204</v>
      </c>
      <c r="B72" s="8" t="s">
        <v>81</v>
      </c>
      <c r="C72" s="62" t="s">
        <v>82</v>
      </c>
      <c r="D72" s="8"/>
      <c r="E72" s="63">
        <v>2</v>
      </c>
      <c r="F72" s="50">
        <v>0.2</v>
      </c>
      <c r="G72" s="50">
        <v>536.23</v>
      </c>
      <c r="H72" s="127">
        <f t="shared" si="11"/>
        <v>0.10724600000000001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f t="shared" si="10"/>
        <v>0</v>
      </c>
    </row>
    <row r="73" spans="1:21">
      <c r="A73" s="62" t="s">
        <v>205</v>
      </c>
      <c r="B73" s="8" t="s">
        <v>101</v>
      </c>
      <c r="C73" s="62" t="s">
        <v>35</v>
      </c>
      <c r="D73" s="8"/>
      <c r="E73" s="63">
        <v>1</v>
      </c>
      <c r="F73" s="61">
        <v>1</v>
      </c>
      <c r="G73" s="50">
        <v>911.85</v>
      </c>
      <c r="H73" s="127">
        <f>F73*G73/1000</f>
        <v>0.91185000000000005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f>G73</f>
        <v>911.85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f t="shared" si="10"/>
        <v>911.85</v>
      </c>
    </row>
    <row r="74" spans="1:21">
      <c r="A74" s="62" t="s">
        <v>206</v>
      </c>
      <c r="B74" s="8" t="s">
        <v>103</v>
      </c>
      <c r="C74" s="62" t="s">
        <v>35</v>
      </c>
      <c r="D74" s="8"/>
      <c r="E74" s="63">
        <v>1</v>
      </c>
      <c r="F74" s="50">
        <v>1</v>
      </c>
      <c r="G74" s="50">
        <v>383.25</v>
      </c>
      <c r="H74" s="127">
        <f>G74*F74/1000</f>
        <v>0.38324999999999998</v>
      </c>
      <c r="I74" s="34">
        <v>0</v>
      </c>
      <c r="J74" s="34">
        <f>G74</f>
        <v>383.25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f t="shared" si="10"/>
        <v>383.25</v>
      </c>
    </row>
    <row r="75" spans="1:21">
      <c r="A75" s="143"/>
      <c r="B75" s="66" t="s">
        <v>83</v>
      </c>
      <c r="C75" s="62"/>
      <c r="D75" s="8"/>
      <c r="E75" s="63"/>
      <c r="F75" s="50"/>
      <c r="G75" s="50" t="s">
        <v>44</v>
      </c>
      <c r="H75" s="127" t="s">
        <v>44</v>
      </c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1:21" s="1" customFormat="1">
      <c r="A76" s="64" t="s">
        <v>84</v>
      </c>
      <c r="B76" s="67" t="s">
        <v>85</v>
      </c>
      <c r="C76" s="64" t="s">
        <v>77</v>
      </c>
      <c r="D76" s="15"/>
      <c r="E76" s="68"/>
      <c r="F76" s="51">
        <v>0.9</v>
      </c>
      <c r="G76" s="51">
        <v>2757.42</v>
      </c>
      <c r="H76" s="127">
        <f t="shared" si="11"/>
        <v>2.4816780000000005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34">
        <f t="shared" si="10"/>
        <v>0</v>
      </c>
    </row>
    <row r="77" spans="1:21" s="20" customFormat="1">
      <c r="A77" s="144"/>
      <c r="B77" s="19" t="s">
        <v>26</v>
      </c>
      <c r="C77" s="69"/>
      <c r="D77" s="70"/>
      <c r="E77" s="71"/>
      <c r="F77" s="55"/>
      <c r="G77" s="55"/>
      <c r="H77" s="72">
        <f>SUM(H55:H76)</f>
        <v>134.70632653799998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>
        <f>SUM(U55:U76)</f>
        <v>125709.50355800004</v>
      </c>
    </row>
    <row r="78" spans="1:21">
      <c r="A78" s="145" t="s">
        <v>139</v>
      </c>
      <c r="B78" s="10" t="s">
        <v>140</v>
      </c>
      <c r="C78" s="74"/>
      <c r="D78" s="75"/>
      <c r="E78" s="126"/>
      <c r="F78" s="76">
        <v>1</v>
      </c>
      <c r="G78" s="77">
        <v>30238.2</v>
      </c>
      <c r="H78" s="127">
        <f>G78*F78/1000</f>
        <v>30.238199999999999</v>
      </c>
      <c r="I78" s="34">
        <f>G78</f>
        <v>30238.2</v>
      </c>
      <c r="J78" s="34">
        <v>0</v>
      </c>
      <c r="K78" s="34">
        <v>0</v>
      </c>
      <c r="L78" s="34">
        <v>0</v>
      </c>
      <c r="M78" s="35">
        <v>0</v>
      </c>
      <c r="N78" s="35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f t="shared" si="10"/>
        <v>30238.2</v>
      </c>
    </row>
    <row r="79" spans="1:21" ht="12.75" customHeight="1">
      <c r="A79" s="62"/>
      <c r="B79" s="73" t="s">
        <v>86</v>
      </c>
      <c r="C79" s="62" t="s">
        <v>87</v>
      </c>
      <c r="D79" s="78"/>
      <c r="E79" s="50">
        <v>3945</v>
      </c>
      <c r="F79" s="50">
        <f>SUM(E79*12)</f>
        <v>47340</v>
      </c>
      <c r="G79" s="79">
        <v>2.2400000000000002</v>
      </c>
      <c r="H79" s="127">
        <f>SUM(F79*G79/1000)</f>
        <v>106.0416</v>
      </c>
      <c r="I79" s="34">
        <f>F79/12*G79</f>
        <v>8836.8000000000011</v>
      </c>
      <c r="J79" s="34">
        <f>F79/12*G79</f>
        <v>8836.8000000000011</v>
      </c>
      <c r="K79" s="34">
        <f>F79/12*G79</f>
        <v>8836.8000000000011</v>
      </c>
      <c r="L79" s="34">
        <f>F79/12*G79</f>
        <v>8836.8000000000011</v>
      </c>
      <c r="M79" s="34">
        <f>F79/12*G79</f>
        <v>8836.8000000000011</v>
      </c>
      <c r="N79" s="34">
        <f>F79/12*G79</f>
        <v>8836.8000000000011</v>
      </c>
      <c r="O79" s="34">
        <f>F79/12*G79</f>
        <v>8836.8000000000011</v>
      </c>
      <c r="P79" s="34">
        <f>F79/12*G79</f>
        <v>8836.8000000000011</v>
      </c>
      <c r="Q79" s="34">
        <f>F79/12*G79</f>
        <v>8836.8000000000011</v>
      </c>
      <c r="R79" s="34">
        <f>F79/12*G79</f>
        <v>8836.8000000000011</v>
      </c>
      <c r="S79" s="34">
        <f>F79/12*G79</f>
        <v>8836.8000000000011</v>
      </c>
      <c r="T79" s="34">
        <f>F79/12*G79</f>
        <v>8836.8000000000011</v>
      </c>
      <c r="U79" s="34">
        <f t="shared" si="10"/>
        <v>106041.60000000002</v>
      </c>
    </row>
    <row r="80" spans="1:21" s="18" customFormat="1">
      <c r="A80" s="80"/>
      <c r="B80" s="19" t="s">
        <v>26</v>
      </c>
      <c r="C80" s="81"/>
      <c r="D80" s="82"/>
      <c r="E80" s="83"/>
      <c r="F80" s="41"/>
      <c r="G80" s="84"/>
      <c r="H80" s="42">
        <f>SUM(H78:H79)</f>
        <v>136.27979999999999</v>
      </c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>
        <f>SUM(U78:U79)</f>
        <v>136279.80000000002</v>
      </c>
    </row>
    <row r="81" spans="1:27" ht="25.5" customHeight="1">
      <c r="A81" s="143"/>
      <c r="B81" s="8" t="s">
        <v>88</v>
      </c>
      <c r="C81" s="62"/>
      <c r="D81" s="85"/>
      <c r="E81" s="31">
        <f>E79</f>
        <v>3945</v>
      </c>
      <c r="F81" s="50">
        <f>E81*12</f>
        <v>47340</v>
      </c>
      <c r="G81" s="50">
        <v>1.74</v>
      </c>
      <c r="H81" s="127">
        <f>F81*G81/1000</f>
        <v>82.371600000000001</v>
      </c>
      <c r="I81" s="34">
        <f>F81/12*G81</f>
        <v>6864.3</v>
      </c>
      <c r="J81" s="34">
        <f>F81/12*G81</f>
        <v>6864.3</v>
      </c>
      <c r="K81" s="34">
        <f>F81/12*G81</f>
        <v>6864.3</v>
      </c>
      <c r="L81" s="34">
        <f>F81/12*G81</f>
        <v>6864.3</v>
      </c>
      <c r="M81" s="34">
        <f>F81/12*G81</f>
        <v>6864.3</v>
      </c>
      <c r="N81" s="34">
        <f>F81/12*G81</f>
        <v>6864.3</v>
      </c>
      <c r="O81" s="34">
        <f>F81/12*G81</f>
        <v>6864.3</v>
      </c>
      <c r="P81" s="34">
        <f>F81/12*G81</f>
        <v>6864.3</v>
      </c>
      <c r="Q81" s="34">
        <f>F81/12*G81</f>
        <v>6864.3</v>
      </c>
      <c r="R81" s="34">
        <f>F81/12*G81</f>
        <v>6864.3</v>
      </c>
      <c r="S81" s="34">
        <f>F81/12*G81</f>
        <v>6864.3</v>
      </c>
      <c r="T81" s="34">
        <f>F81/12*G81</f>
        <v>6864.3</v>
      </c>
      <c r="U81" s="34">
        <f t="shared" si="10"/>
        <v>82371.60000000002</v>
      </c>
      <c r="X81" s="170"/>
      <c r="Y81" s="170"/>
      <c r="Z81" s="170"/>
      <c r="AA81" s="170"/>
    </row>
    <row r="82" spans="1:27" s="18" customFormat="1">
      <c r="A82" s="80"/>
      <c r="B82" s="86" t="s">
        <v>89</v>
      </c>
      <c r="C82" s="87"/>
      <c r="D82" s="86"/>
      <c r="E82" s="41"/>
      <c r="F82" s="41"/>
      <c r="G82" s="41"/>
      <c r="H82" s="72">
        <f>H81</f>
        <v>82.371600000000001</v>
      </c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119">
        <f>U81</f>
        <v>82371.60000000002</v>
      </c>
    </row>
    <row r="83" spans="1:27" s="18" customFormat="1">
      <c r="A83" s="80"/>
      <c r="B83" s="86" t="s">
        <v>90</v>
      </c>
      <c r="C83" s="88"/>
      <c r="D83" s="89"/>
      <c r="E83" s="90"/>
      <c r="F83" s="90"/>
      <c r="G83" s="90"/>
      <c r="H83" s="72">
        <f>SUM(H82+H80+H77+H53+H41+H31+H20)</f>
        <v>1014.4682448046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119">
        <f>SUM(U82+U80+U77+U53+U41+U31+U20)*1.054</f>
        <v>1011182.6505811285</v>
      </c>
    </row>
    <row r="84" spans="1:27" s="117" customFormat="1" ht="51.75" customHeight="1">
      <c r="A84" s="146"/>
      <c r="B84" s="66"/>
      <c r="C84" s="62"/>
      <c r="D84" s="85"/>
      <c r="E84" s="50"/>
      <c r="F84" s="50"/>
      <c r="G84" s="50"/>
      <c r="H84" s="116"/>
      <c r="I84" s="50"/>
      <c r="J84" s="50"/>
      <c r="K84" s="50"/>
      <c r="L84" s="50"/>
      <c r="M84" s="50"/>
      <c r="N84" s="50"/>
      <c r="O84" s="50"/>
      <c r="P84" s="50"/>
      <c r="Q84" s="50"/>
      <c r="R84" s="128"/>
      <c r="S84" s="128"/>
      <c r="T84" s="128"/>
      <c r="U84" s="129" t="s">
        <v>223</v>
      </c>
    </row>
    <row r="85" spans="1:27">
      <c r="A85" s="147"/>
      <c r="B85" s="85" t="s">
        <v>91</v>
      </c>
      <c r="C85" s="62"/>
      <c r="D85" s="85"/>
      <c r="E85" s="50"/>
      <c r="F85" s="50"/>
      <c r="G85" s="50" t="s">
        <v>92</v>
      </c>
      <c r="H85" s="91">
        <f>E81</f>
        <v>3945</v>
      </c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</row>
    <row r="86" spans="1:27" s="18" customFormat="1">
      <c r="A86" s="80"/>
      <c r="B86" s="89" t="s">
        <v>93</v>
      </c>
      <c r="C86" s="88"/>
      <c r="D86" s="89"/>
      <c r="E86" s="90"/>
      <c r="F86" s="90"/>
      <c r="G86" s="90"/>
      <c r="H86" s="92">
        <f>SUM(H83/H85/12*1000)</f>
        <v>21.429409480452051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120"/>
    </row>
    <row r="87" spans="1:27">
      <c r="A87" s="93"/>
      <c r="B87" s="85"/>
      <c r="C87" s="62"/>
      <c r="D87" s="85"/>
      <c r="E87" s="50"/>
      <c r="F87" s="50"/>
      <c r="G87" s="50"/>
      <c r="H87" s="9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121"/>
    </row>
    <row r="88" spans="1:27">
      <c r="A88" s="143"/>
      <c r="B88" s="66" t="s">
        <v>94</v>
      </c>
      <c r="C88" s="62"/>
      <c r="D88" s="85"/>
      <c r="E88" s="50"/>
      <c r="F88" s="50"/>
      <c r="G88" s="50"/>
      <c r="H88" s="50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</row>
    <row r="89" spans="1:27" ht="38.25">
      <c r="A89" s="132" t="s">
        <v>213</v>
      </c>
      <c r="B89" s="131" t="s">
        <v>224</v>
      </c>
      <c r="C89" s="132" t="s">
        <v>150</v>
      </c>
      <c r="D89" s="85"/>
      <c r="E89" s="50"/>
      <c r="F89" s="50">
        <v>3</v>
      </c>
      <c r="G89" s="50">
        <v>54.17</v>
      </c>
      <c r="H89" s="50">
        <f t="shared" ref="H89:H125" si="12">G89*F89/1000</f>
        <v>0.16250999999999999</v>
      </c>
      <c r="I89" s="95">
        <f>G89</f>
        <v>54.17</v>
      </c>
      <c r="J89" s="95">
        <v>0</v>
      </c>
      <c r="K89" s="95">
        <v>0</v>
      </c>
      <c r="L89" s="95">
        <v>0</v>
      </c>
      <c r="M89" s="95">
        <f>G89</f>
        <v>54.17</v>
      </c>
      <c r="N89" s="95">
        <v>0</v>
      </c>
      <c r="O89" s="95">
        <v>0</v>
      </c>
      <c r="P89" s="95">
        <v>0</v>
      </c>
      <c r="Q89" s="95">
        <v>0</v>
      </c>
      <c r="R89" s="95">
        <f>G89</f>
        <v>54.17</v>
      </c>
      <c r="S89" s="95">
        <v>0</v>
      </c>
      <c r="T89" s="95">
        <v>0</v>
      </c>
      <c r="U89" s="34">
        <f t="shared" ref="U89:U125" si="13">SUM(I89:T89)</f>
        <v>162.51</v>
      </c>
    </row>
    <row r="90" spans="1:27">
      <c r="A90" s="139" t="s">
        <v>195</v>
      </c>
      <c r="B90" s="10" t="s">
        <v>225</v>
      </c>
      <c r="C90" s="26" t="s">
        <v>13</v>
      </c>
      <c r="D90" s="85"/>
      <c r="E90" s="50"/>
      <c r="F90" s="50">
        <f>2/100</f>
        <v>0.02</v>
      </c>
      <c r="G90" s="50">
        <v>2029.3</v>
      </c>
      <c r="H90" s="50">
        <f t="shared" ref="H90" si="14">G90*F90/1000</f>
        <v>4.0585999999999997E-2</v>
      </c>
      <c r="I90" s="95">
        <f>G90*F90</f>
        <v>40.585999999999999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  <c r="R90" s="95">
        <v>0</v>
      </c>
      <c r="S90" s="95">
        <v>0</v>
      </c>
      <c r="T90" s="95">
        <v>0</v>
      </c>
      <c r="U90" s="34">
        <f t="shared" si="13"/>
        <v>40.585999999999999</v>
      </c>
    </row>
    <row r="91" spans="1:27" ht="25.5">
      <c r="A91" s="130" t="s">
        <v>207</v>
      </c>
      <c r="B91" s="131" t="s">
        <v>122</v>
      </c>
      <c r="C91" s="132" t="s">
        <v>61</v>
      </c>
      <c r="D91" s="8"/>
      <c r="E91" s="63"/>
      <c r="F91" s="50">
        <v>2</v>
      </c>
      <c r="G91" s="50">
        <v>83.36</v>
      </c>
      <c r="H91" s="50">
        <f t="shared" si="12"/>
        <v>0.16672000000000001</v>
      </c>
      <c r="I91" s="95">
        <f>G91*2</f>
        <v>166.72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  <c r="R91" s="95">
        <v>0</v>
      </c>
      <c r="S91" s="95">
        <v>0</v>
      </c>
      <c r="T91" s="95">
        <v>0</v>
      </c>
      <c r="U91" s="34">
        <f t="shared" si="13"/>
        <v>166.72</v>
      </c>
    </row>
    <row r="92" spans="1:27">
      <c r="A92" s="133" t="s">
        <v>211</v>
      </c>
      <c r="B92" s="134" t="s">
        <v>147</v>
      </c>
      <c r="C92" s="130" t="s">
        <v>61</v>
      </c>
      <c r="D92" s="85"/>
      <c r="E92" s="50"/>
      <c r="F92" s="50">
        <v>1</v>
      </c>
      <c r="G92" s="50">
        <v>311.55</v>
      </c>
      <c r="H92" s="127">
        <f t="shared" ref="H92:H99" si="15">G92*F92/1000</f>
        <v>0.31154999999999999</v>
      </c>
      <c r="I92" s="95">
        <f>G92*1</f>
        <v>311.55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5">
        <v>0</v>
      </c>
      <c r="S92" s="95">
        <v>0</v>
      </c>
      <c r="T92" s="95">
        <v>0</v>
      </c>
      <c r="U92" s="34">
        <f t="shared" si="13"/>
        <v>311.55</v>
      </c>
    </row>
    <row r="93" spans="1:27">
      <c r="A93" s="149" t="s">
        <v>220</v>
      </c>
      <c r="B93" s="150" t="s">
        <v>219</v>
      </c>
      <c r="C93" s="151" t="s">
        <v>61</v>
      </c>
      <c r="D93" s="8"/>
      <c r="E93" s="63"/>
      <c r="F93" s="50">
        <v>1</v>
      </c>
      <c r="G93" s="50">
        <v>185.08</v>
      </c>
      <c r="H93" s="127">
        <f t="shared" si="15"/>
        <v>0.18508000000000002</v>
      </c>
      <c r="I93" s="95">
        <f>G93</f>
        <v>185.08</v>
      </c>
      <c r="J93" s="95">
        <v>0</v>
      </c>
      <c r="K93" s="95">
        <v>0</v>
      </c>
      <c r="L93" s="95"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  <c r="R93" s="95">
        <v>0</v>
      </c>
      <c r="S93" s="95">
        <v>0</v>
      </c>
      <c r="T93" s="95">
        <v>0</v>
      </c>
      <c r="U93" s="34">
        <f t="shared" si="13"/>
        <v>185.08</v>
      </c>
    </row>
    <row r="94" spans="1:27" ht="25.5">
      <c r="A94" s="152" t="s">
        <v>214</v>
      </c>
      <c r="B94" s="153" t="s">
        <v>231</v>
      </c>
      <c r="C94" s="154" t="s">
        <v>61</v>
      </c>
      <c r="D94" s="8"/>
      <c r="E94" s="63"/>
      <c r="F94" s="50">
        <v>1</v>
      </c>
      <c r="G94" s="50">
        <v>3107.36</v>
      </c>
      <c r="H94" s="127">
        <f t="shared" si="15"/>
        <v>3.1073600000000003</v>
      </c>
      <c r="I94" s="95">
        <v>0</v>
      </c>
      <c r="J94" s="95">
        <f>G94</f>
        <v>3107.36</v>
      </c>
      <c r="K94" s="95">
        <v>0</v>
      </c>
      <c r="L94" s="95"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  <c r="R94" s="95">
        <v>0</v>
      </c>
      <c r="S94" s="95">
        <v>0</v>
      </c>
      <c r="T94" s="95">
        <v>0</v>
      </c>
      <c r="U94" s="34">
        <f t="shared" si="13"/>
        <v>3107.36</v>
      </c>
    </row>
    <row r="95" spans="1:27" ht="25.5">
      <c r="A95" s="132" t="s">
        <v>194</v>
      </c>
      <c r="B95" s="131" t="s">
        <v>153</v>
      </c>
      <c r="C95" s="132" t="s">
        <v>152</v>
      </c>
      <c r="D95" s="85"/>
      <c r="E95" s="50"/>
      <c r="F95" s="50">
        <f>1/100</f>
        <v>0.01</v>
      </c>
      <c r="G95" s="50">
        <v>7412.92</v>
      </c>
      <c r="H95" s="127">
        <f t="shared" si="15"/>
        <v>7.4129199999999992E-2</v>
      </c>
      <c r="I95" s="95">
        <v>0</v>
      </c>
      <c r="J95" s="95">
        <f>G95*0.01</f>
        <v>74.129199999999997</v>
      </c>
      <c r="K95" s="95">
        <v>0</v>
      </c>
      <c r="L95" s="95"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  <c r="R95" s="95">
        <v>0</v>
      </c>
      <c r="S95" s="95">
        <v>0</v>
      </c>
      <c r="T95" s="95">
        <v>0</v>
      </c>
      <c r="U95" s="34">
        <f t="shared" si="13"/>
        <v>74.129199999999997</v>
      </c>
    </row>
    <row r="96" spans="1:27" ht="25.5">
      <c r="A96" s="132" t="s">
        <v>215</v>
      </c>
      <c r="B96" s="131" t="s">
        <v>141</v>
      </c>
      <c r="C96" s="132" t="s">
        <v>61</v>
      </c>
      <c r="D96" s="8"/>
      <c r="E96" s="63"/>
      <c r="F96" s="50">
        <v>4</v>
      </c>
      <c r="G96" s="50">
        <v>189.88</v>
      </c>
      <c r="H96" s="127">
        <f t="shared" si="15"/>
        <v>0.75951999999999997</v>
      </c>
      <c r="I96" s="95">
        <v>0</v>
      </c>
      <c r="J96" s="95">
        <f>G96</f>
        <v>189.88</v>
      </c>
      <c r="K96" s="95">
        <v>0</v>
      </c>
      <c r="L96" s="95">
        <v>0</v>
      </c>
      <c r="M96" s="95">
        <v>0</v>
      </c>
      <c r="N96" s="95">
        <f>G96</f>
        <v>189.88</v>
      </c>
      <c r="O96" s="95">
        <v>0</v>
      </c>
      <c r="P96" s="95">
        <f>G96</f>
        <v>189.88</v>
      </c>
      <c r="Q96" s="95">
        <v>0</v>
      </c>
      <c r="R96" s="95">
        <v>0</v>
      </c>
      <c r="S96" s="95">
        <v>0</v>
      </c>
      <c r="T96" s="95">
        <f>G96</f>
        <v>189.88</v>
      </c>
      <c r="U96" s="34">
        <f t="shared" si="13"/>
        <v>759.52</v>
      </c>
    </row>
    <row r="97" spans="1:23">
      <c r="A97" s="154" t="s">
        <v>220</v>
      </c>
      <c r="B97" s="153" t="s">
        <v>219</v>
      </c>
      <c r="C97" s="154" t="s">
        <v>143</v>
      </c>
      <c r="D97" s="8"/>
      <c r="E97" s="63"/>
      <c r="F97" s="50">
        <v>1</v>
      </c>
      <c r="G97" s="50">
        <v>185.08</v>
      </c>
      <c r="H97" s="127">
        <f t="shared" si="15"/>
        <v>0.18508000000000002</v>
      </c>
      <c r="I97" s="95">
        <v>0</v>
      </c>
      <c r="J97" s="95">
        <f>G97</f>
        <v>185.08</v>
      </c>
      <c r="K97" s="95">
        <v>0</v>
      </c>
      <c r="L97" s="95"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  <c r="R97" s="95">
        <v>0</v>
      </c>
      <c r="S97" s="95">
        <v>0</v>
      </c>
      <c r="T97" s="95">
        <v>0</v>
      </c>
      <c r="U97" s="34">
        <f t="shared" si="13"/>
        <v>185.08</v>
      </c>
    </row>
    <row r="98" spans="1:23">
      <c r="A98" s="155" t="s">
        <v>233</v>
      </c>
      <c r="B98" s="156" t="s">
        <v>232</v>
      </c>
      <c r="C98" s="152" t="s">
        <v>61</v>
      </c>
      <c r="D98" s="8"/>
      <c r="E98" s="63"/>
      <c r="F98" s="50">
        <v>1</v>
      </c>
      <c r="G98" s="50">
        <v>126.82</v>
      </c>
      <c r="H98" s="127">
        <f t="shared" si="15"/>
        <v>0.12681999999999999</v>
      </c>
      <c r="I98" s="95">
        <v>0</v>
      </c>
      <c r="J98" s="95">
        <f>G98</f>
        <v>126.82</v>
      </c>
      <c r="K98" s="95">
        <v>0</v>
      </c>
      <c r="L98" s="95"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  <c r="R98" s="95">
        <v>0</v>
      </c>
      <c r="S98" s="95">
        <v>0</v>
      </c>
      <c r="T98" s="95">
        <v>0</v>
      </c>
      <c r="U98" s="34">
        <f t="shared" si="13"/>
        <v>126.82</v>
      </c>
    </row>
    <row r="99" spans="1:23">
      <c r="A99" s="154" t="s">
        <v>234</v>
      </c>
      <c r="B99" s="153" t="s">
        <v>235</v>
      </c>
      <c r="C99" s="154" t="s">
        <v>143</v>
      </c>
      <c r="D99" s="8"/>
      <c r="E99" s="63"/>
      <c r="F99" s="50">
        <v>3</v>
      </c>
      <c r="G99" s="50">
        <v>86.15</v>
      </c>
      <c r="H99" s="127">
        <f t="shared" si="15"/>
        <v>0.25845000000000007</v>
      </c>
      <c r="I99" s="95">
        <v>0</v>
      </c>
      <c r="J99" s="95">
        <f>G99*2</f>
        <v>172.3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f>G99</f>
        <v>86.15</v>
      </c>
      <c r="Q99" s="95">
        <v>0</v>
      </c>
      <c r="R99" s="95">
        <v>0</v>
      </c>
      <c r="S99" s="95">
        <v>0</v>
      </c>
      <c r="T99" s="95">
        <v>0</v>
      </c>
      <c r="U99" s="34">
        <f t="shared" si="13"/>
        <v>258.45000000000005</v>
      </c>
    </row>
    <row r="100" spans="1:23" ht="25.5">
      <c r="A100" s="133" t="s">
        <v>105</v>
      </c>
      <c r="B100" s="157" t="s">
        <v>135</v>
      </c>
      <c r="C100" s="158" t="s">
        <v>136</v>
      </c>
      <c r="D100" s="8"/>
      <c r="E100" s="63"/>
      <c r="F100" s="50">
        <v>1</v>
      </c>
      <c r="G100" s="50">
        <v>1934.94</v>
      </c>
      <c r="H100" s="50">
        <f>G100*F100/1000</f>
        <v>1.9349400000000001</v>
      </c>
      <c r="I100" s="95">
        <v>0</v>
      </c>
      <c r="J100" s="95">
        <v>0</v>
      </c>
      <c r="K100" s="95">
        <f>G100</f>
        <v>1934.94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  <c r="R100" s="95">
        <v>0</v>
      </c>
      <c r="S100" s="95">
        <v>0</v>
      </c>
      <c r="T100" s="95">
        <v>0</v>
      </c>
      <c r="U100" s="34">
        <f t="shared" si="13"/>
        <v>1934.94</v>
      </c>
    </row>
    <row r="101" spans="1:23" ht="25.5">
      <c r="A101" s="132" t="s">
        <v>193</v>
      </c>
      <c r="B101" s="131" t="s">
        <v>145</v>
      </c>
      <c r="C101" s="132" t="s">
        <v>58</v>
      </c>
      <c r="D101" s="85"/>
      <c r="E101" s="50"/>
      <c r="F101" s="50">
        <v>0.03</v>
      </c>
      <c r="G101" s="50">
        <v>3581.13</v>
      </c>
      <c r="H101" s="127">
        <f>G101*F101/1000</f>
        <v>0.1074339</v>
      </c>
      <c r="I101" s="95">
        <v>0</v>
      </c>
      <c r="J101" s="95">
        <v>0</v>
      </c>
      <c r="K101" s="95">
        <f>G101*0.02</f>
        <v>71.622600000000006</v>
      </c>
      <c r="L101" s="95">
        <v>0</v>
      </c>
      <c r="M101" s="95">
        <v>0</v>
      </c>
      <c r="N101" s="95">
        <v>0</v>
      </c>
      <c r="O101" s="95">
        <f>G101*0.01</f>
        <v>35.811300000000003</v>
      </c>
      <c r="P101" s="95">
        <v>0</v>
      </c>
      <c r="Q101" s="95">
        <v>0</v>
      </c>
      <c r="R101" s="95">
        <v>0</v>
      </c>
      <c r="S101" s="95">
        <v>0</v>
      </c>
      <c r="T101" s="95">
        <v>0</v>
      </c>
      <c r="U101" s="34">
        <f t="shared" si="13"/>
        <v>107.43390000000001</v>
      </c>
    </row>
    <row r="102" spans="1:23" ht="25.5" customHeight="1">
      <c r="A102" s="154" t="s">
        <v>192</v>
      </c>
      <c r="B102" s="153" t="s">
        <v>244</v>
      </c>
      <c r="C102" s="154" t="s">
        <v>47</v>
      </c>
      <c r="D102" s="85"/>
      <c r="E102" s="50"/>
      <c r="F102" s="160">
        <f>0.001</f>
        <v>1E-3</v>
      </c>
      <c r="G102" s="50">
        <v>1591.6</v>
      </c>
      <c r="H102" s="161">
        <f>G102*F102/1000</f>
        <v>1.5915999999999999E-3</v>
      </c>
      <c r="I102" s="95">
        <v>0</v>
      </c>
      <c r="J102" s="95">
        <v>0</v>
      </c>
      <c r="K102" s="95">
        <f>G102*0.001</f>
        <v>1.5915999999999999</v>
      </c>
      <c r="L102" s="95"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  <c r="R102" s="95">
        <v>0</v>
      </c>
      <c r="S102" s="95">
        <v>0</v>
      </c>
      <c r="T102" s="95">
        <v>0</v>
      </c>
      <c r="U102" s="34">
        <f t="shared" si="13"/>
        <v>1.5915999999999999</v>
      </c>
    </row>
    <row r="103" spans="1:23" ht="25.5">
      <c r="A103" s="154" t="s">
        <v>236</v>
      </c>
      <c r="B103" s="153" t="s">
        <v>237</v>
      </c>
      <c r="C103" s="154" t="s">
        <v>143</v>
      </c>
      <c r="D103" s="85"/>
      <c r="E103" s="50"/>
      <c r="F103" s="50">
        <v>1</v>
      </c>
      <c r="G103" s="50">
        <v>832.06</v>
      </c>
      <c r="H103" s="127">
        <f t="shared" ref="H103" si="16">G103*F103/1000</f>
        <v>0.83205999999999991</v>
      </c>
      <c r="I103" s="95">
        <v>0</v>
      </c>
      <c r="J103" s="95">
        <v>0</v>
      </c>
      <c r="K103" s="95">
        <v>0</v>
      </c>
      <c r="L103" s="95">
        <v>0</v>
      </c>
      <c r="M103" s="95">
        <f>G103</f>
        <v>832.06</v>
      </c>
      <c r="N103" s="95">
        <v>0</v>
      </c>
      <c r="O103" s="95">
        <v>0</v>
      </c>
      <c r="P103" s="95">
        <v>0</v>
      </c>
      <c r="Q103" s="95">
        <v>0</v>
      </c>
      <c r="R103" s="95">
        <v>0</v>
      </c>
      <c r="S103" s="95">
        <v>0</v>
      </c>
      <c r="T103" s="95">
        <v>0</v>
      </c>
      <c r="U103" s="34">
        <f t="shared" si="13"/>
        <v>832.06</v>
      </c>
    </row>
    <row r="104" spans="1:23" ht="12.75" customHeight="1">
      <c r="A104" s="132" t="s">
        <v>238</v>
      </c>
      <c r="B104" s="131" t="s">
        <v>239</v>
      </c>
      <c r="C104" s="132" t="s">
        <v>61</v>
      </c>
      <c r="D104" s="85"/>
      <c r="E104" s="50"/>
      <c r="F104" s="50">
        <v>4</v>
      </c>
      <c r="G104" s="50">
        <v>112</v>
      </c>
      <c r="H104" s="127">
        <f>G104*F104/1000</f>
        <v>0.44800000000000001</v>
      </c>
      <c r="I104" s="34">
        <v>0</v>
      </c>
      <c r="J104" s="34">
        <v>0</v>
      </c>
      <c r="K104" s="34">
        <v>0</v>
      </c>
      <c r="L104" s="34">
        <v>0</v>
      </c>
      <c r="M104" s="34">
        <f>G104</f>
        <v>112</v>
      </c>
      <c r="N104" s="95">
        <v>0</v>
      </c>
      <c r="O104" s="95">
        <f>G104*3</f>
        <v>336</v>
      </c>
      <c r="P104" s="95">
        <v>0</v>
      </c>
      <c r="Q104" s="95">
        <v>0</v>
      </c>
      <c r="R104" s="95">
        <v>0</v>
      </c>
      <c r="S104" s="95">
        <v>0</v>
      </c>
      <c r="T104" s="95">
        <v>0</v>
      </c>
      <c r="U104" s="34">
        <f t="shared" si="13"/>
        <v>448</v>
      </c>
    </row>
    <row r="105" spans="1:23" ht="12.75" customHeight="1">
      <c r="A105" s="132" t="s">
        <v>238</v>
      </c>
      <c r="B105" s="131" t="s">
        <v>240</v>
      </c>
      <c r="C105" s="132" t="s">
        <v>61</v>
      </c>
      <c r="D105" s="85"/>
      <c r="E105" s="50"/>
      <c r="F105" s="50">
        <v>2</v>
      </c>
      <c r="G105" s="50">
        <v>140</v>
      </c>
      <c r="H105" s="127">
        <f t="shared" ref="H105" si="17">G105*F105/1000</f>
        <v>0.28000000000000003</v>
      </c>
      <c r="I105" s="34">
        <v>0</v>
      </c>
      <c r="J105" s="34">
        <v>0</v>
      </c>
      <c r="K105" s="34">
        <v>0</v>
      </c>
      <c r="L105" s="34">
        <v>0</v>
      </c>
      <c r="M105" s="34">
        <f>G105</f>
        <v>140</v>
      </c>
      <c r="N105" s="95">
        <v>0</v>
      </c>
      <c r="O105" s="95">
        <f>G105</f>
        <v>140</v>
      </c>
      <c r="P105" s="95">
        <v>0</v>
      </c>
      <c r="Q105" s="95">
        <v>0</v>
      </c>
      <c r="R105" s="95">
        <v>0</v>
      </c>
      <c r="S105" s="95">
        <v>0</v>
      </c>
      <c r="T105" s="95">
        <v>0</v>
      </c>
      <c r="U105" s="34">
        <f t="shared" si="13"/>
        <v>280</v>
      </c>
    </row>
    <row r="106" spans="1:23" ht="25.5">
      <c r="A106" s="132" t="s">
        <v>241</v>
      </c>
      <c r="B106" s="131" t="s">
        <v>242</v>
      </c>
      <c r="C106" s="130" t="s">
        <v>243</v>
      </c>
      <c r="D106" s="85"/>
      <c r="E106" s="50"/>
      <c r="F106" s="50">
        <v>2</v>
      </c>
      <c r="G106" s="50">
        <v>294.45</v>
      </c>
      <c r="H106" s="127">
        <f>G106*F106/1000</f>
        <v>0.58889999999999998</v>
      </c>
      <c r="I106" s="34">
        <v>0</v>
      </c>
      <c r="J106" s="34">
        <v>0</v>
      </c>
      <c r="K106" s="34">
        <v>0</v>
      </c>
      <c r="L106" s="34">
        <v>0</v>
      </c>
      <c r="M106" s="34">
        <f>G106</f>
        <v>294.45</v>
      </c>
      <c r="N106" s="95">
        <v>0</v>
      </c>
      <c r="O106" s="95">
        <v>0</v>
      </c>
      <c r="P106" s="95">
        <v>0</v>
      </c>
      <c r="Q106" s="95">
        <v>0</v>
      </c>
      <c r="R106" s="95">
        <f>G106</f>
        <v>294.45</v>
      </c>
      <c r="S106" s="95">
        <v>0</v>
      </c>
      <c r="T106" s="95">
        <v>0</v>
      </c>
      <c r="U106" s="34">
        <f t="shared" si="13"/>
        <v>588.9</v>
      </c>
      <c r="V106" s="159"/>
      <c r="W106" s="159"/>
    </row>
    <row r="107" spans="1:23">
      <c r="A107" s="162" t="s">
        <v>260</v>
      </c>
      <c r="B107" s="163" t="s">
        <v>261</v>
      </c>
      <c r="C107" s="162" t="s">
        <v>218</v>
      </c>
      <c r="D107" s="85"/>
      <c r="E107" s="50"/>
      <c r="F107" s="50">
        <f>13/3</f>
        <v>4.333333333333333</v>
      </c>
      <c r="G107" s="50">
        <v>1120.8900000000001</v>
      </c>
      <c r="H107" s="127">
        <f>G107*F107/1000</f>
        <v>4.8571900000000001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f>G107</f>
        <v>1120.8900000000001</v>
      </c>
      <c r="O107" s="95">
        <v>0</v>
      </c>
      <c r="P107" s="95">
        <f>G107*(10/3)</f>
        <v>3736.3000000000006</v>
      </c>
      <c r="Q107" s="95">
        <v>0</v>
      </c>
      <c r="R107" s="95">
        <v>0</v>
      </c>
      <c r="S107" s="95">
        <v>0</v>
      </c>
      <c r="T107" s="95">
        <v>0</v>
      </c>
      <c r="U107" s="34">
        <f t="shared" si="13"/>
        <v>4857.1900000000005</v>
      </c>
    </row>
    <row r="108" spans="1:23" ht="25.5">
      <c r="A108" s="130" t="s">
        <v>209</v>
      </c>
      <c r="B108" s="131" t="s">
        <v>142</v>
      </c>
      <c r="C108" s="132" t="s">
        <v>143</v>
      </c>
      <c r="D108" s="8"/>
      <c r="E108" s="63"/>
      <c r="F108" s="50">
        <v>11</v>
      </c>
      <c r="G108" s="50">
        <v>589.84</v>
      </c>
      <c r="H108" s="127">
        <f>G108*F108/1000</f>
        <v>6.4882400000000011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f>G108</f>
        <v>589.84</v>
      </c>
      <c r="O108" s="95">
        <v>0</v>
      </c>
      <c r="P108" s="95">
        <v>0</v>
      </c>
      <c r="Q108" s="95">
        <f>G108*(3+1)</f>
        <v>2359.36</v>
      </c>
      <c r="R108" s="95">
        <f>G108*(1+2+3)</f>
        <v>3539.04</v>
      </c>
      <c r="S108" s="95">
        <v>0</v>
      </c>
      <c r="T108" s="95">
        <v>0</v>
      </c>
      <c r="U108" s="34">
        <f t="shared" si="13"/>
        <v>6488.24</v>
      </c>
    </row>
    <row r="109" spans="1:23" ht="28.5" customHeight="1">
      <c r="A109" s="132" t="s">
        <v>210</v>
      </c>
      <c r="B109" s="131" t="s">
        <v>148</v>
      </c>
      <c r="C109" s="132" t="s">
        <v>149</v>
      </c>
      <c r="D109" s="85"/>
      <c r="E109" s="50"/>
      <c r="F109" s="50">
        <v>1</v>
      </c>
      <c r="G109" s="50">
        <v>206.54</v>
      </c>
      <c r="H109" s="127">
        <f>G109*F109/1000</f>
        <v>0.20654</v>
      </c>
      <c r="I109" s="95">
        <v>0</v>
      </c>
      <c r="J109" s="95">
        <v>0</v>
      </c>
      <c r="K109" s="95">
        <v>0</v>
      </c>
      <c r="L109" s="95">
        <v>0</v>
      </c>
      <c r="M109" s="95">
        <v>0</v>
      </c>
      <c r="N109" s="95">
        <f>G109</f>
        <v>206.54</v>
      </c>
      <c r="O109" s="95">
        <v>0</v>
      </c>
      <c r="P109" s="95">
        <v>0</v>
      </c>
      <c r="Q109" s="95">
        <v>0</v>
      </c>
      <c r="R109" s="95">
        <v>0</v>
      </c>
      <c r="S109" s="95">
        <v>0</v>
      </c>
      <c r="T109" s="95">
        <v>0</v>
      </c>
      <c r="U109" s="34">
        <f t="shared" si="13"/>
        <v>206.54</v>
      </c>
    </row>
    <row r="110" spans="1:23">
      <c r="A110" s="132" t="s">
        <v>105</v>
      </c>
      <c r="B110" s="131" t="s">
        <v>269</v>
      </c>
      <c r="C110" s="132" t="s">
        <v>38</v>
      </c>
      <c r="D110" s="8"/>
      <c r="E110" s="63"/>
      <c r="F110" s="50">
        <f>(40.38+19.88+35.51+34.62+16.36)-(9.504*6)</f>
        <v>89.725999999999999</v>
      </c>
      <c r="G110" s="50">
        <v>42.61</v>
      </c>
      <c r="H110" s="50">
        <f t="shared" ref="H110" si="18">G110*F110/1000</f>
        <v>3.8232248599999998</v>
      </c>
      <c r="I110" s="95">
        <v>0</v>
      </c>
      <c r="J110" s="95">
        <v>0</v>
      </c>
      <c r="K110" s="95">
        <v>0</v>
      </c>
      <c r="L110" s="95">
        <v>0</v>
      </c>
      <c r="M110" s="95">
        <v>0</v>
      </c>
      <c r="N110" s="34">
        <f>G110*F110</f>
        <v>3823.2248599999998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f t="shared" si="13"/>
        <v>3823.2248599999998</v>
      </c>
    </row>
    <row r="111" spans="1:23" ht="28.5" customHeight="1">
      <c r="A111" s="154" t="s">
        <v>236</v>
      </c>
      <c r="B111" s="153" t="s">
        <v>245</v>
      </c>
      <c r="C111" s="154" t="s">
        <v>143</v>
      </c>
      <c r="D111" s="85"/>
      <c r="E111" s="50"/>
      <c r="F111" s="50">
        <v>1</v>
      </c>
      <c r="G111" s="50">
        <v>1046.06</v>
      </c>
      <c r="H111" s="127">
        <f>G111*F111/1000</f>
        <v>1.04606</v>
      </c>
      <c r="I111" s="95">
        <v>0</v>
      </c>
      <c r="J111" s="95">
        <v>0</v>
      </c>
      <c r="K111" s="95">
        <v>0</v>
      </c>
      <c r="L111" s="95">
        <v>0</v>
      </c>
      <c r="M111" s="95">
        <v>0</v>
      </c>
      <c r="N111" s="95">
        <v>0</v>
      </c>
      <c r="O111" s="95">
        <f>G111</f>
        <v>1046.06</v>
      </c>
      <c r="P111" s="95">
        <v>0</v>
      </c>
      <c r="Q111" s="95">
        <v>0</v>
      </c>
      <c r="R111" s="95">
        <v>0</v>
      </c>
      <c r="S111" s="95">
        <v>0</v>
      </c>
      <c r="T111" s="95">
        <v>0</v>
      </c>
      <c r="U111" s="34">
        <f t="shared" si="13"/>
        <v>1046.06</v>
      </c>
    </row>
    <row r="112" spans="1:23" ht="25.5" customHeight="1">
      <c r="A112" s="154" t="s">
        <v>246</v>
      </c>
      <c r="B112" s="153" t="s">
        <v>247</v>
      </c>
      <c r="C112" s="154" t="s">
        <v>143</v>
      </c>
      <c r="D112" s="85"/>
      <c r="E112" s="50"/>
      <c r="F112" s="50">
        <v>2</v>
      </c>
      <c r="G112" s="50">
        <v>727.73</v>
      </c>
      <c r="H112" s="127">
        <f t="shared" ref="H112:H117" si="19">G112*F112/1000</f>
        <v>1.45546</v>
      </c>
      <c r="I112" s="95">
        <v>0</v>
      </c>
      <c r="J112" s="95">
        <v>0</v>
      </c>
      <c r="K112" s="95">
        <v>0</v>
      </c>
      <c r="L112" s="95">
        <v>0</v>
      </c>
      <c r="M112" s="95">
        <v>0</v>
      </c>
      <c r="N112" s="95">
        <v>0</v>
      </c>
      <c r="O112" s="95">
        <f>G112*2</f>
        <v>1455.46</v>
      </c>
      <c r="P112" s="95">
        <v>0</v>
      </c>
      <c r="Q112" s="95">
        <v>0</v>
      </c>
      <c r="R112" s="95">
        <v>0</v>
      </c>
      <c r="S112" s="95">
        <v>0</v>
      </c>
      <c r="T112" s="95">
        <v>0</v>
      </c>
      <c r="U112" s="34">
        <f t="shared" si="13"/>
        <v>1455.46</v>
      </c>
    </row>
    <row r="113" spans="1:21" ht="12.75" customHeight="1">
      <c r="A113" s="132" t="s">
        <v>238</v>
      </c>
      <c r="B113" s="131" t="s">
        <v>248</v>
      </c>
      <c r="C113" s="132" t="s">
        <v>61</v>
      </c>
      <c r="D113" s="85"/>
      <c r="E113" s="50"/>
      <c r="F113" s="50">
        <v>1</v>
      </c>
      <c r="G113" s="50">
        <v>40</v>
      </c>
      <c r="H113" s="127">
        <f t="shared" si="19"/>
        <v>0.04</v>
      </c>
      <c r="I113" s="34">
        <v>0</v>
      </c>
      <c r="J113" s="34">
        <v>0</v>
      </c>
      <c r="K113" s="34">
        <v>0</v>
      </c>
      <c r="L113" s="34">
        <v>0</v>
      </c>
      <c r="M113" s="95">
        <v>0</v>
      </c>
      <c r="N113" s="34">
        <v>0</v>
      </c>
      <c r="O113" s="34">
        <f>G113</f>
        <v>40</v>
      </c>
      <c r="P113" s="34">
        <v>0</v>
      </c>
      <c r="Q113" s="95">
        <v>0</v>
      </c>
      <c r="R113" s="95">
        <v>0</v>
      </c>
      <c r="S113" s="95">
        <v>0</v>
      </c>
      <c r="T113" s="95">
        <v>0</v>
      </c>
      <c r="U113" s="34">
        <f t="shared" si="13"/>
        <v>40</v>
      </c>
    </row>
    <row r="114" spans="1:21">
      <c r="A114" s="132" t="s">
        <v>238</v>
      </c>
      <c r="B114" s="164" t="s">
        <v>249</v>
      </c>
      <c r="C114" s="132" t="s">
        <v>61</v>
      </c>
      <c r="D114" s="8"/>
      <c r="E114" s="63"/>
      <c r="F114" s="50">
        <v>1</v>
      </c>
      <c r="G114" s="50">
        <v>108</v>
      </c>
      <c r="H114" s="50">
        <f t="shared" si="19"/>
        <v>0.108</v>
      </c>
      <c r="I114" s="95">
        <v>0</v>
      </c>
      <c r="J114" s="95">
        <v>0</v>
      </c>
      <c r="K114" s="95">
        <v>0</v>
      </c>
      <c r="L114" s="95">
        <v>0</v>
      </c>
      <c r="M114" s="95">
        <v>0</v>
      </c>
      <c r="N114" s="95">
        <v>0</v>
      </c>
      <c r="O114" s="34">
        <f>G114</f>
        <v>108</v>
      </c>
      <c r="P114" s="34">
        <v>0</v>
      </c>
      <c r="Q114" s="95">
        <v>0</v>
      </c>
      <c r="R114" s="95">
        <v>0</v>
      </c>
      <c r="S114" s="95">
        <v>0</v>
      </c>
      <c r="T114" s="95">
        <v>0</v>
      </c>
      <c r="U114" s="34">
        <f t="shared" si="13"/>
        <v>108</v>
      </c>
    </row>
    <row r="115" spans="1:21">
      <c r="A115" s="132" t="s">
        <v>251</v>
      </c>
      <c r="B115" s="131" t="s">
        <v>250</v>
      </c>
      <c r="C115" s="130" t="s">
        <v>146</v>
      </c>
      <c r="D115" s="8"/>
      <c r="E115" s="63"/>
      <c r="F115" s="50">
        <v>5</v>
      </c>
      <c r="G115" s="50">
        <v>18.97</v>
      </c>
      <c r="H115" s="50">
        <f t="shared" si="19"/>
        <v>9.484999999999999E-2</v>
      </c>
      <c r="I115" s="95">
        <v>0</v>
      </c>
      <c r="J115" s="95">
        <v>0</v>
      </c>
      <c r="K115" s="95">
        <v>0</v>
      </c>
      <c r="L115" s="95">
        <v>0</v>
      </c>
      <c r="M115" s="95">
        <v>0</v>
      </c>
      <c r="N115" s="95">
        <v>0</v>
      </c>
      <c r="O115" s="95">
        <f>G115*5</f>
        <v>94.85</v>
      </c>
      <c r="P115" s="95">
        <v>0</v>
      </c>
      <c r="Q115" s="95">
        <v>0</v>
      </c>
      <c r="R115" s="95">
        <v>0</v>
      </c>
      <c r="S115" s="95">
        <v>0</v>
      </c>
      <c r="T115" s="95">
        <v>0</v>
      </c>
      <c r="U115" s="34">
        <f t="shared" si="13"/>
        <v>94.85</v>
      </c>
    </row>
    <row r="116" spans="1:21" s="166" customFormat="1" ht="25.5" customHeight="1">
      <c r="A116" s="132" t="s">
        <v>254</v>
      </c>
      <c r="B116" s="131" t="s">
        <v>256</v>
      </c>
      <c r="C116" s="132" t="s">
        <v>255</v>
      </c>
      <c r="D116" s="85"/>
      <c r="E116" s="50"/>
      <c r="F116" s="50">
        <f>16/10</f>
        <v>1.6</v>
      </c>
      <c r="G116" s="50">
        <v>2064.25</v>
      </c>
      <c r="H116" s="165">
        <f t="shared" ref="H116" si="20">G116*F116/1000</f>
        <v>3.3028000000000004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f>G116*1.6</f>
        <v>3302.8</v>
      </c>
      <c r="P116" s="95">
        <v>0</v>
      </c>
      <c r="Q116" s="95">
        <v>0</v>
      </c>
      <c r="R116" s="95">
        <v>0</v>
      </c>
      <c r="S116" s="95">
        <v>0</v>
      </c>
      <c r="T116" s="95">
        <v>0</v>
      </c>
      <c r="U116" s="34">
        <f t="shared" si="13"/>
        <v>3302.8</v>
      </c>
    </row>
    <row r="117" spans="1:21">
      <c r="A117" s="154" t="s">
        <v>252</v>
      </c>
      <c r="B117" s="153" t="s">
        <v>253</v>
      </c>
      <c r="C117" s="154" t="s">
        <v>143</v>
      </c>
      <c r="D117" s="8"/>
      <c r="E117" s="63"/>
      <c r="F117" s="50">
        <v>1</v>
      </c>
      <c r="G117" s="50">
        <f>1334.87+2373</f>
        <v>3707.87</v>
      </c>
      <c r="H117" s="50">
        <f t="shared" si="19"/>
        <v>3.7078699999999998</v>
      </c>
      <c r="I117" s="95">
        <v>0</v>
      </c>
      <c r="J117" s="95">
        <v>0</v>
      </c>
      <c r="K117" s="95">
        <v>0</v>
      </c>
      <c r="L117" s="95">
        <v>0</v>
      </c>
      <c r="M117" s="95">
        <v>0</v>
      </c>
      <c r="N117" s="95">
        <v>0</v>
      </c>
      <c r="O117" s="95">
        <v>0</v>
      </c>
      <c r="P117" s="95">
        <f>G117</f>
        <v>3707.87</v>
      </c>
      <c r="Q117" s="95">
        <v>0</v>
      </c>
      <c r="R117" s="95">
        <v>0</v>
      </c>
      <c r="S117" s="95">
        <v>0</v>
      </c>
      <c r="T117" s="95">
        <v>0</v>
      </c>
      <c r="U117" s="34">
        <f t="shared" si="13"/>
        <v>3707.87</v>
      </c>
    </row>
    <row r="118" spans="1:21" ht="12.75" customHeight="1">
      <c r="A118" s="132" t="s">
        <v>208</v>
      </c>
      <c r="B118" s="131" t="s">
        <v>166</v>
      </c>
      <c r="C118" s="132" t="s">
        <v>151</v>
      </c>
      <c r="D118" s="85"/>
      <c r="E118" s="50"/>
      <c r="F118" s="50">
        <v>2</v>
      </c>
      <c r="G118" s="50">
        <v>195.85</v>
      </c>
      <c r="H118" s="127">
        <f>G118*F118/1000</f>
        <v>0.39169999999999999</v>
      </c>
      <c r="I118" s="34">
        <v>0</v>
      </c>
      <c r="J118" s="95">
        <v>0</v>
      </c>
      <c r="K118" s="95">
        <v>0</v>
      </c>
      <c r="L118" s="95">
        <v>0</v>
      </c>
      <c r="M118" s="95">
        <v>0</v>
      </c>
      <c r="N118" s="95">
        <v>0</v>
      </c>
      <c r="O118" s="95">
        <v>0</v>
      </c>
      <c r="P118" s="95">
        <f>G118</f>
        <v>195.85</v>
      </c>
      <c r="Q118" s="95">
        <v>0</v>
      </c>
      <c r="R118" s="95">
        <v>0</v>
      </c>
      <c r="S118" s="95">
        <v>0</v>
      </c>
      <c r="T118" s="95">
        <f>G118</f>
        <v>195.85</v>
      </c>
      <c r="U118" s="34">
        <f t="shared" si="13"/>
        <v>391.7</v>
      </c>
    </row>
    <row r="119" spans="1:21" ht="25.5">
      <c r="A119" s="132" t="s">
        <v>212</v>
      </c>
      <c r="B119" s="131" t="s">
        <v>162</v>
      </c>
      <c r="C119" s="132" t="s">
        <v>143</v>
      </c>
      <c r="D119" s="8"/>
      <c r="E119" s="63"/>
      <c r="F119" s="50">
        <v>1</v>
      </c>
      <c r="G119" s="50">
        <v>111.66</v>
      </c>
      <c r="H119" s="127">
        <f>G119*F119/1000</f>
        <v>0.11166</v>
      </c>
      <c r="I119" s="95">
        <v>0</v>
      </c>
      <c r="J119" s="95">
        <v>0</v>
      </c>
      <c r="K119" s="95">
        <v>0</v>
      </c>
      <c r="L119" s="95">
        <v>0</v>
      </c>
      <c r="M119" s="95">
        <v>0</v>
      </c>
      <c r="N119" s="95">
        <v>0</v>
      </c>
      <c r="O119" s="95">
        <v>0</v>
      </c>
      <c r="P119" s="95">
        <f>G119</f>
        <v>111.66</v>
      </c>
      <c r="Q119" s="95">
        <v>0</v>
      </c>
      <c r="R119" s="95">
        <v>0</v>
      </c>
      <c r="S119" s="95">
        <v>0</v>
      </c>
      <c r="T119" s="95">
        <v>0</v>
      </c>
      <c r="U119" s="34">
        <f t="shared" si="13"/>
        <v>111.66</v>
      </c>
    </row>
    <row r="120" spans="1:21" ht="25.5">
      <c r="A120" s="130" t="s">
        <v>216</v>
      </c>
      <c r="B120" s="131" t="s">
        <v>257</v>
      </c>
      <c r="C120" s="132" t="s">
        <v>143</v>
      </c>
      <c r="D120" s="8"/>
      <c r="E120" s="63"/>
      <c r="F120" s="50">
        <v>1</v>
      </c>
      <c r="G120" s="50">
        <v>803.54</v>
      </c>
      <c r="H120" s="127">
        <f t="shared" ref="H120:H121" si="21">G120*F120/1000</f>
        <v>0.80353999999999992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f>G120</f>
        <v>803.54</v>
      </c>
      <c r="R120" s="95">
        <v>0</v>
      </c>
      <c r="S120" s="95">
        <v>0</v>
      </c>
      <c r="T120" s="95">
        <v>0</v>
      </c>
      <c r="U120" s="34">
        <f t="shared" si="13"/>
        <v>803.54</v>
      </c>
    </row>
    <row r="121" spans="1:21" ht="25.5">
      <c r="A121" s="133" t="s">
        <v>167</v>
      </c>
      <c r="B121" s="131" t="s">
        <v>217</v>
      </c>
      <c r="C121" s="130" t="s">
        <v>146</v>
      </c>
      <c r="D121" s="85"/>
      <c r="E121" s="50"/>
      <c r="F121" s="50">
        <v>3</v>
      </c>
      <c r="G121" s="50">
        <v>1187</v>
      </c>
      <c r="H121" s="127">
        <f t="shared" si="21"/>
        <v>3.5609999999999999</v>
      </c>
      <c r="I121" s="95">
        <v>0</v>
      </c>
      <c r="J121" s="95">
        <v>0</v>
      </c>
      <c r="K121" s="95">
        <v>0</v>
      </c>
      <c r="L121" s="95"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f>G121*3</f>
        <v>3561</v>
      </c>
      <c r="R121" s="95">
        <v>0</v>
      </c>
      <c r="S121" s="95">
        <v>0</v>
      </c>
      <c r="T121" s="95">
        <v>0</v>
      </c>
      <c r="U121" s="34">
        <f t="shared" si="13"/>
        <v>3561</v>
      </c>
    </row>
    <row r="122" spans="1:21" ht="28.5" customHeight="1">
      <c r="A122" s="132" t="s">
        <v>258</v>
      </c>
      <c r="B122" s="131" t="s">
        <v>259</v>
      </c>
      <c r="C122" s="132" t="s">
        <v>61</v>
      </c>
      <c r="D122" s="85"/>
      <c r="E122" s="50"/>
      <c r="F122" s="50">
        <v>1</v>
      </c>
      <c r="G122" s="50">
        <v>206.54</v>
      </c>
      <c r="H122" s="127">
        <f>G122*F122/1000</f>
        <v>0.20654</v>
      </c>
      <c r="I122" s="95">
        <v>0</v>
      </c>
      <c r="J122" s="95">
        <v>0</v>
      </c>
      <c r="K122" s="95">
        <v>0</v>
      </c>
      <c r="L122" s="95"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  <c r="R122" s="95">
        <f>G122</f>
        <v>206.54</v>
      </c>
      <c r="S122" s="95">
        <v>0</v>
      </c>
      <c r="T122" s="95">
        <v>0</v>
      </c>
      <c r="U122" s="34">
        <f t="shared" ref="U122:U123" si="22">SUM(I122:T122)</f>
        <v>206.54</v>
      </c>
    </row>
    <row r="123" spans="1:21" ht="12.75" customHeight="1">
      <c r="A123" s="132" t="s">
        <v>139</v>
      </c>
      <c r="B123" s="131" t="s">
        <v>268</v>
      </c>
      <c r="C123" s="132" t="s">
        <v>265</v>
      </c>
      <c r="D123" s="167"/>
      <c r="E123" s="168"/>
      <c r="F123" s="169">
        <v>24</v>
      </c>
      <c r="G123" s="169">
        <f>103656/303</f>
        <v>342.0990099009901</v>
      </c>
      <c r="H123" s="127">
        <f>G123*F123/1000</f>
        <v>8.2103762376237626</v>
      </c>
      <c r="I123" s="95">
        <v>0</v>
      </c>
      <c r="J123" s="95">
        <v>0</v>
      </c>
      <c r="K123" s="95">
        <v>0</v>
      </c>
      <c r="L123" s="95"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  <c r="R123" s="95">
        <f>G123*24</f>
        <v>8210.3762376237628</v>
      </c>
      <c r="S123" s="95">
        <v>0</v>
      </c>
      <c r="T123" s="95">
        <v>0</v>
      </c>
      <c r="U123" s="34">
        <f t="shared" si="22"/>
        <v>8210.3762376237628</v>
      </c>
    </row>
    <row r="124" spans="1:21" ht="28.5" customHeight="1">
      <c r="A124" s="154" t="s">
        <v>264</v>
      </c>
      <c r="B124" s="153" t="s">
        <v>262</v>
      </c>
      <c r="C124" s="154" t="s">
        <v>263</v>
      </c>
      <c r="D124" s="85"/>
      <c r="E124" s="50"/>
      <c r="F124" s="50">
        <v>1</v>
      </c>
      <c r="G124" s="50">
        <v>663.38</v>
      </c>
      <c r="H124" s="50">
        <f t="shared" si="12"/>
        <v>0.66337999999999997</v>
      </c>
      <c r="I124" s="95">
        <v>0</v>
      </c>
      <c r="J124" s="95">
        <v>0</v>
      </c>
      <c r="K124" s="95">
        <v>0</v>
      </c>
      <c r="L124" s="95"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  <c r="R124" s="95">
        <v>0</v>
      </c>
      <c r="S124" s="95">
        <v>0</v>
      </c>
      <c r="T124" s="95">
        <f>G124</f>
        <v>663.38</v>
      </c>
      <c r="U124" s="34">
        <f t="shared" si="13"/>
        <v>663.38</v>
      </c>
    </row>
    <row r="125" spans="1:21">
      <c r="A125" s="132" t="s">
        <v>105</v>
      </c>
      <c r="B125" s="131" t="s">
        <v>270</v>
      </c>
      <c r="C125" s="132" t="s">
        <v>38</v>
      </c>
      <c r="D125" s="8"/>
      <c r="E125" s="63"/>
      <c r="F125" s="50">
        <f>(60.32+33.82+14.22+5.54)-(9.504*6)</f>
        <v>56.876000000000005</v>
      </c>
      <c r="G125" s="50">
        <v>44.31</v>
      </c>
      <c r="H125" s="50">
        <f t="shared" si="12"/>
        <v>2.5201755600000002</v>
      </c>
      <c r="I125" s="95">
        <v>0</v>
      </c>
      <c r="J125" s="95">
        <v>0</v>
      </c>
      <c r="K125" s="95">
        <v>0</v>
      </c>
      <c r="L125" s="95">
        <v>0</v>
      </c>
      <c r="M125" s="95">
        <v>0</v>
      </c>
      <c r="N125" s="95">
        <v>0</v>
      </c>
      <c r="O125" s="34">
        <v>0</v>
      </c>
      <c r="P125" s="34">
        <v>0</v>
      </c>
      <c r="Q125" s="34">
        <v>0</v>
      </c>
      <c r="R125" s="34">
        <v>0</v>
      </c>
      <c r="S125" s="34">
        <v>0</v>
      </c>
      <c r="T125" s="34">
        <f>G125*F125</f>
        <v>2520.1755600000001</v>
      </c>
      <c r="U125" s="34">
        <f t="shared" si="13"/>
        <v>2520.1755600000001</v>
      </c>
    </row>
    <row r="126" spans="1:21" s="18" customFormat="1">
      <c r="A126" s="96"/>
      <c r="B126" s="97" t="s">
        <v>95</v>
      </c>
      <c r="C126" s="96"/>
      <c r="D126" s="96"/>
      <c r="E126" s="90"/>
      <c r="F126" s="90"/>
      <c r="G126" s="90"/>
      <c r="H126" s="42">
        <f>SUM(H88:H125)</f>
        <v>51.169337357623753</v>
      </c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41">
        <f>SUM(U88:U125)</f>
        <v>51169.337357623765</v>
      </c>
    </row>
    <row r="127" spans="1:21">
      <c r="A127" s="93"/>
      <c r="B127" s="98"/>
      <c r="C127" s="99"/>
      <c r="D127" s="99"/>
      <c r="E127" s="50"/>
      <c r="F127" s="50"/>
      <c r="G127" s="50"/>
      <c r="H127" s="100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122"/>
    </row>
    <row r="128" spans="1:21" ht="12" customHeight="1">
      <c r="A128" s="143"/>
      <c r="B128" s="17" t="s">
        <v>96</v>
      </c>
      <c r="C128" s="62"/>
      <c r="D128" s="85"/>
      <c r="E128" s="50"/>
      <c r="F128" s="50"/>
      <c r="G128" s="50"/>
      <c r="H128" s="101">
        <f>H126/E129/12*1000</f>
        <v>1.080890100499023</v>
      </c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122"/>
    </row>
    <row r="129" spans="1:21" s="18" customFormat="1">
      <c r="A129" s="80"/>
      <c r="B129" s="102" t="s">
        <v>97</v>
      </c>
      <c r="C129" s="103"/>
      <c r="D129" s="102"/>
      <c r="E129" s="148">
        <v>3945</v>
      </c>
      <c r="F129" s="104">
        <f>SUM(E129*12)</f>
        <v>47340</v>
      </c>
      <c r="G129" s="105">
        <f>H86+H128</f>
        <v>22.510299580951074</v>
      </c>
      <c r="H129" s="106">
        <f>SUM(F129*G129/1000)</f>
        <v>1065.6375821622237</v>
      </c>
      <c r="I129" s="90">
        <f t="shared" ref="I129:R129" si="23">SUM(I11:I128)</f>
        <v>124122.27815428333</v>
      </c>
      <c r="J129" s="90">
        <f t="shared" si="23"/>
        <v>71151.391354283347</v>
      </c>
      <c r="K129" s="90">
        <f t="shared" si="23"/>
        <v>70258.714757283335</v>
      </c>
      <c r="L129" s="90">
        <f t="shared" si="23"/>
        <v>65997.214145283331</v>
      </c>
      <c r="M129" s="90">
        <f t="shared" si="23"/>
        <v>179602.3595543</v>
      </c>
      <c r="N129" s="90">
        <f>SUM(N11:N128)</f>
        <v>64229.999030200001</v>
      </c>
      <c r="O129" s="90">
        <f t="shared" si="23"/>
        <v>62520.255470200005</v>
      </c>
      <c r="P129" s="90">
        <f t="shared" si="23"/>
        <v>63988.984170200012</v>
      </c>
      <c r="Q129" s="90">
        <f t="shared" si="23"/>
        <v>101002.94738180001</v>
      </c>
      <c r="R129" s="90">
        <f t="shared" si="23"/>
        <v>71356.60040782376</v>
      </c>
      <c r="S129" s="90">
        <f>SUM(S11:S128)</f>
        <v>65833.064042283324</v>
      </c>
      <c r="T129" s="90">
        <f>SUM(T11:T128)</f>
        <v>70481.857714283353</v>
      </c>
      <c r="U129" s="41">
        <f>U83+U126</f>
        <v>1062351.9879387524</v>
      </c>
    </row>
    <row r="130" spans="1:21">
      <c r="A130" s="65"/>
      <c r="B130" s="65"/>
      <c r="C130" s="65"/>
      <c r="D130" s="65"/>
      <c r="E130" s="107"/>
      <c r="F130" s="107"/>
      <c r="G130" s="107"/>
      <c r="H130" s="107"/>
      <c r="I130" s="107"/>
      <c r="J130" s="107"/>
      <c r="K130" s="107"/>
      <c r="L130" s="107"/>
      <c r="M130" s="65"/>
      <c r="N130" s="107"/>
      <c r="O130" s="65"/>
      <c r="P130" s="65"/>
      <c r="Q130" s="65"/>
      <c r="R130" s="65"/>
      <c r="S130" s="65"/>
      <c r="T130" s="65"/>
      <c r="U130" s="65"/>
    </row>
    <row r="131" spans="1:21">
      <c r="A131" s="65"/>
      <c r="B131" s="65"/>
      <c r="C131" s="65"/>
      <c r="D131" s="65"/>
      <c r="E131" s="107"/>
      <c r="F131" s="107"/>
      <c r="G131" s="107"/>
      <c r="H131" s="107"/>
      <c r="I131" s="107"/>
      <c r="J131" s="108"/>
      <c r="K131" s="109"/>
      <c r="L131" s="108"/>
      <c r="M131" s="107"/>
      <c r="N131" s="65"/>
      <c r="O131" s="65"/>
      <c r="P131" s="65"/>
      <c r="Q131" s="65"/>
      <c r="R131" s="65"/>
      <c r="S131" s="65"/>
      <c r="T131" s="65"/>
      <c r="U131" s="65"/>
    </row>
    <row r="132" spans="1:21" ht="45">
      <c r="A132" s="65"/>
      <c r="B132" s="110" t="s">
        <v>221</v>
      </c>
      <c r="C132" s="175">
        <v>571701.04</v>
      </c>
      <c r="D132" s="176"/>
      <c r="E132" s="176"/>
      <c r="F132" s="177"/>
      <c r="G132" s="107"/>
      <c r="H132" s="107"/>
      <c r="I132" s="107"/>
      <c r="J132" s="108"/>
      <c r="K132" s="109"/>
      <c r="L132" s="108"/>
      <c r="M132" s="107"/>
      <c r="N132" s="65"/>
      <c r="O132" s="65"/>
      <c r="P132" s="65"/>
      <c r="Q132" s="65"/>
      <c r="R132" s="65"/>
      <c r="S132" s="65"/>
      <c r="T132" s="65"/>
      <c r="U132" s="65"/>
    </row>
    <row r="133" spans="1:21" ht="30">
      <c r="A133" s="65"/>
      <c r="B133" s="21" t="s">
        <v>226</v>
      </c>
      <c r="C133" s="179">
        <f>95000.4*12</f>
        <v>1140004.7999999998</v>
      </c>
      <c r="D133" s="180"/>
      <c r="E133" s="180"/>
      <c r="F133" s="181"/>
      <c r="G133" s="107"/>
      <c r="H133" s="107"/>
      <c r="I133" s="107"/>
      <c r="J133" s="108"/>
      <c r="K133" s="109"/>
      <c r="L133" s="108"/>
      <c r="M133" s="107"/>
      <c r="N133" s="65"/>
      <c r="O133" s="65"/>
      <c r="P133" s="65"/>
      <c r="Q133" s="65"/>
      <c r="R133" s="65"/>
      <c r="S133" s="65"/>
      <c r="T133" s="65"/>
      <c r="U133" s="65"/>
    </row>
    <row r="134" spans="1:21" ht="34.5" customHeight="1">
      <c r="A134" s="65"/>
      <c r="B134" s="21" t="s">
        <v>227</v>
      </c>
      <c r="C134" s="179">
        <f>SUM(U129-U126)</f>
        <v>1011182.6505811287</v>
      </c>
      <c r="D134" s="180"/>
      <c r="E134" s="180"/>
      <c r="F134" s="181"/>
      <c r="G134" s="107"/>
      <c r="H134" s="107"/>
      <c r="I134" s="107"/>
      <c r="J134" s="108"/>
      <c r="K134" s="109"/>
      <c r="L134" s="108"/>
      <c r="M134" s="107"/>
      <c r="N134" s="65"/>
      <c r="O134" s="65"/>
      <c r="P134" s="65"/>
      <c r="Q134" s="65"/>
      <c r="R134" s="65"/>
      <c r="S134" s="65"/>
      <c r="T134" s="65"/>
      <c r="U134" s="65"/>
    </row>
    <row r="135" spans="1:21" ht="37.5" customHeight="1">
      <c r="A135" s="65"/>
      <c r="B135" s="21" t="s">
        <v>228</v>
      </c>
      <c r="C135" s="179">
        <f>SUM(U126)</f>
        <v>51169.337357623765</v>
      </c>
      <c r="D135" s="180"/>
      <c r="E135" s="180"/>
      <c r="F135" s="181"/>
      <c r="G135" s="107"/>
      <c r="H135" s="107"/>
      <c r="I135" s="107"/>
      <c r="J135" s="108"/>
      <c r="K135" s="109"/>
      <c r="L135" s="108"/>
      <c r="M135" s="107"/>
      <c r="N135" s="65"/>
      <c r="O135" s="65"/>
      <c r="P135" s="65"/>
      <c r="Q135" s="65"/>
      <c r="R135" s="65"/>
      <c r="S135" s="65"/>
      <c r="T135" s="65"/>
      <c r="U135" s="65"/>
    </row>
    <row r="136" spans="1:21" ht="18">
      <c r="A136" s="65"/>
      <c r="B136" s="118" t="s">
        <v>229</v>
      </c>
      <c r="C136" s="179">
        <f>133390.43+86368.45+88224.36+94786.58+93640.09+79134.93+106256.57+103514.83+85148.89+107944.9+95333.92+120937.11</f>
        <v>1194681.0600000003</v>
      </c>
      <c r="D136" s="180"/>
      <c r="E136" s="180"/>
      <c r="F136" s="181"/>
      <c r="G136" s="65"/>
      <c r="I136" s="111" t="s">
        <v>102</v>
      </c>
      <c r="J136" s="112"/>
      <c r="K136" s="113"/>
      <c r="L136" s="114"/>
      <c r="M136" s="111"/>
      <c r="N136" s="111"/>
      <c r="O136" s="65"/>
      <c r="P136" s="65"/>
      <c r="Q136" s="65"/>
      <c r="R136" s="65"/>
      <c r="S136" s="65"/>
      <c r="T136" s="65"/>
      <c r="U136" s="65"/>
    </row>
    <row r="137" spans="1:21" ht="78.75">
      <c r="A137" s="65"/>
      <c r="B137" s="22" t="s">
        <v>266</v>
      </c>
      <c r="C137" s="182">
        <v>611273.98</v>
      </c>
      <c r="D137" s="183"/>
      <c r="E137" s="183"/>
      <c r="F137" s="184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</row>
    <row r="138" spans="1:21" ht="45">
      <c r="A138" s="65"/>
      <c r="B138" s="115" t="s">
        <v>267</v>
      </c>
      <c r="C138" s="178">
        <f>SUM(U129-C133)+C132</f>
        <v>494048.22793875262</v>
      </c>
      <c r="D138" s="176"/>
      <c r="E138" s="176"/>
      <c r="F138" s="177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</row>
    <row r="140" spans="1:21">
      <c r="J140" s="3"/>
      <c r="K140" s="4"/>
      <c r="L140" s="4"/>
      <c r="M140" s="2"/>
    </row>
    <row r="141" spans="1:21">
      <c r="G141" s="5"/>
      <c r="H141" s="5"/>
    </row>
    <row r="142" spans="1:21">
      <c r="G142" s="6"/>
    </row>
  </sheetData>
  <mergeCells count="12">
    <mergeCell ref="C132:F132"/>
    <mergeCell ref="C138:F138"/>
    <mergeCell ref="C133:F133"/>
    <mergeCell ref="C134:F134"/>
    <mergeCell ref="C135:F135"/>
    <mergeCell ref="C136:F136"/>
    <mergeCell ref="C137:F137"/>
    <mergeCell ref="X81:AA81"/>
    <mergeCell ref="B3:L3"/>
    <mergeCell ref="B4:L4"/>
    <mergeCell ref="B5:L5"/>
    <mergeCell ref="B6:L6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Косм.,6</vt:lpstr>
      <vt:lpstr>'Косм.,6'!Область_печати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2018-03-19T08:11:29Z</cp:lastPrinted>
  <dcterms:created xsi:type="dcterms:W3CDTF">2014-02-05T12:20:20Z</dcterms:created>
  <dcterms:modified xsi:type="dcterms:W3CDTF">2018-03-27T07:58:56Z</dcterms:modified>
</cp:coreProperties>
</file>