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3905" yWindow="315" windowWidth="5535" windowHeight="7560"/>
  </bookViews>
  <sheets>
    <sheet name="Косм.,10" sheetId="1" r:id="rId1"/>
  </sheets>
  <definedNames>
    <definedName name="_xlnm.Print_Area" localSheetId="0">'Косм.,10'!$A$1:$U$126</definedName>
  </definedNames>
  <calcPr calcId="124519"/>
</workbook>
</file>

<file path=xl/calcChain.xml><?xml version="1.0" encoding="utf-8"?>
<calcChain xmlns="http://schemas.openxmlformats.org/spreadsheetml/2006/main">
  <c r="R108" i="1"/>
  <c r="U108"/>
  <c r="H108"/>
  <c r="Q100"/>
  <c r="R110"/>
  <c r="U110" s="1"/>
  <c r="H110"/>
  <c r="Q98" l="1"/>
  <c r="F98"/>
  <c r="P98"/>
  <c r="T98"/>
  <c r="U67"/>
  <c r="F67"/>
  <c r="H67" s="1"/>
  <c r="C124" l="1"/>
  <c r="C121"/>
  <c r="T113"/>
  <c r="U113" s="1"/>
  <c r="H113"/>
  <c r="T85"/>
  <c r="T68"/>
  <c r="U72"/>
  <c r="U69"/>
  <c r="U55"/>
  <c r="U35"/>
  <c r="U28"/>
  <c r="U29"/>
  <c r="U100"/>
  <c r="Q58" l="1"/>
  <c r="S112"/>
  <c r="U112" s="1"/>
  <c r="S68"/>
  <c r="H112"/>
  <c r="S104"/>
  <c r="S70"/>
  <c r="U70" s="1"/>
  <c r="F103" l="1"/>
  <c r="Q103" s="1"/>
  <c r="U103" s="1"/>
  <c r="Q101"/>
  <c r="U101" s="1"/>
  <c r="H101"/>
  <c r="R111"/>
  <c r="U111" s="1"/>
  <c r="H111"/>
  <c r="R68"/>
  <c r="R109"/>
  <c r="U109" s="1"/>
  <c r="H109"/>
  <c r="R85"/>
  <c r="R92"/>
  <c r="R98"/>
  <c r="U98" s="1"/>
  <c r="H98"/>
  <c r="R107" l="1"/>
  <c r="U107" s="1"/>
  <c r="H107"/>
  <c r="R106"/>
  <c r="U106" s="1"/>
  <c r="H106"/>
  <c r="R102"/>
  <c r="R105"/>
  <c r="U105" s="1"/>
  <c r="H105"/>
  <c r="R58" l="1"/>
  <c r="U58" s="1"/>
  <c r="Q104"/>
  <c r="U104" s="1"/>
  <c r="Q68"/>
  <c r="Q85"/>
  <c r="Q102"/>
  <c r="U102" s="1"/>
  <c r="H102"/>
  <c r="H100"/>
  <c r="P68"/>
  <c r="P99"/>
  <c r="U99" s="1"/>
  <c r="H99"/>
  <c r="H103" l="1"/>
  <c r="O97"/>
  <c r="U97" s="1"/>
  <c r="O93" l="1"/>
  <c r="F93"/>
  <c r="O68"/>
  <c r="O85"/>
  <c r="O92"/>
  <c r="O96"/>
  <c r="U96" s="1"/>
  <c r="H97"/>
  <c r="F96"/>
  <c r="H96" s="1"/>
  <c r="H95"/>
  <c r="O95"/>
  <c r="U95" s="1"/>
  <c r="M68" l="1"/>
  <c r="N68"/>
  <c r="N94"/>
  <c r="U94" s="1"/>
  <c r="N93"/>
  <c r="U93" s="1"/>
  <c r="H94"/>
  <c r="H93"/>
  <c r="K49"/>
  <c r="M85"/>
  <c r="I50"/>
  <c r="L91" l="1"/>
  <c r="U91" s="1"/>
  <c r="H91"/>
  <c r="L90"/>
  <c r="U90" s="1"/>
  <c r="H90"/>
  <c r="L68"/>
  <c r="L92"/>
  <c r="U92" s="1"/>
  <c r="L89"/>
  <c r="U89" s="1"/>
  <c r="H89"/>
  <c r="J88"/>
  <c r="U88" s="1"/>
  <c r="H104"/>
  <c r="K68"/>
  <c r="K85"/>
  <c r="J68" l="1"/>
  <c r="J59"/>
  <c r="U59" s="1"/>
  <c r="I68"/>
  <c r="U68" s="1"/>
  <c r="I87"/>
  <c r="U87" s="1"/>
  <c r="I85"/>
  <c r="U85" s="1"/>
  <c r="I86"/>
  <c r="U86" s="1"/>
  <c r="I84"/>
  <c r="U84" s="1"/>
  <c r="H84"/>
  <c r="T74"/>
  <c r="U74" s="1"/>
  <c r="U114" l="1"/>
  <c r="T39"/>
  <c r="S39"/>
  <c r="T33"/>
  <c r="S33"/>
  <c r="Q65"/>
  <c r="U65" s="1"/>
  <c r="P50"/>
  <c r="Q49"/>
  <c r="U49" s="1"/>
  <c r="R25"/>
  <c r="Q25"/>
  <c r="P25"/>
  <c r="O25"/>
  <c r="N25"/>
  <c r="H85"/>
  <c r="L50"/>
  <c r="U50" s="1"/>
  <c r="F26"/>
  <c r="M25"/>
  <c r="H86"/>
  <c r="U25" l="1"/>
  <c r="R26"/>
  <c r="M26"/>
  <c r="O26"/>
  <c r="Q26"/>
  <c r="N26"/>
  <c r="P26"/>
  <c r="L39"/>
  <c r="L33"/>
  <c r="H92"/>
  <c r="H88"/>
  <c r="H74"/>
  <c r="U26" l="1"/>
  <c r="K46"/>
  <c r="K39"/>
  <c r="K33"/>
  <c r="F50"/>
  <c r="J39"/>
  <c r="J33"/>
  <c r="H87"/>
  <c r="H114" s="1"/>
  <c r="F34" l="1"/>
  <c r="I33"/>
  <c r="U33" s="1"/>
  <c r="I39"/>
  <c r="U39" s="1"/>
  <c r="S34" l="1"/>
  <c r="T34"/>
  <c r="I34"/>
  <c r="L34"/>
  <c r="K34"/>
  <c r="J34"/>
  <c r="F37"/>
  <c r="F16"/>
  <c r="F15"/>
  <c r="F56"/>
  <c r="H55"/>
  <c r="M16" l="1"/>
  <c r="Q16"/>
  <c r="M15"/>
  <c r="Q15"/>
  <c r="U34"/>
  <c r="T56"/>
  <c r="R56"/>
  <c r="P56"/>
  <c r="N56"/>
  <c r="S56"/>
  <c r="Q56"/>
  <c r="O56"/>
  <c r="M56"/>
  <c r="S37"/>
  <c r="T37"/>
  <c r="L56"/>
  <c r="J56"/>
  <c r="K56"/>
  <c r="I37"/>
  <c r="L37"/>
  <c r="K37"/>
  <c r="J37"/>
  <c r="H56"/>
  <c r="I56"/>
  <c r="H34"/>
  <c r="F43"/>
  <c r="M43" s="1"/>
  <c r="H25"/>
  <c r="U15" l="1"/>
  <c r="U16"/>
  <c r="U37"/>
  <c r="U56"/>
  <c r="Q43"/>
  <c r="U43" s="1"/>
  <c r="H35"/>
  <c r="H70" l="1"/>
  <c r="H69" l="1"/>
  <c r="F14" l="1"/>
  <c r="M14" s="1"/>
  <c r="U14" s="1"/>
  <c r="F17"/>
  <c r="M17" s="1"/>
  <c r="U17" s="1"/>
  <c r="F18"/>
  <c r="M18" s="1"/>
  <c r="U18" s="1"/>
  <c r="F117" l="1"/>
  <c r="H116"/>
  <c r="E77"/>
  <c r="H80" s="1"/>
  <c r="F75"/>
  <c r="H72"/>
  <c r="H68"/>
  <c r="H65"/>
  <c r="F64"/>
  <c r="F63"/>
  <c r="F62"/>
  <c r="F61"/>
  <c r="F60"/>
  <c r="H59"/>
  <c r="H58"/>
  <c r="F53"/>
  <c r="H50"/>
  <c r="H49"/>
  <c r="F48"/>
  <c r="F47"/>
  <c r="F46"/>
  <c r="F45"/>
  <c r="F44"/>
  <c r="H43"/>
  <c r="F42"/>
  <c r="H39"/>
  <c r="F38"/>
  <c r="H37"/>
  <c r="F36"/>
  <c r="H33"/>
  <c r="F30"/>
  <c r="H29"/>
  <c r="H28"/>
  <c r="F27"/>
  <c r="H26"/>
  <c r="F24"/>
  <c r="F23"/>
  <c r="F22"/>
  <c r="F19"/>
  <c r="M19" s="1"/>
  <c r="U19" s="1"/>
  <c r="H18"/>
  <c r="H17"/>
  <c r="H14"/>
  <c r="E13"/>
  <c r="F13" s="1"/>
  <c r="F12"/>
  <c r="F11"/>
  <c r="Q45" l="1"/>
  <c r="M45"/>
  <c r="U45" s="1"/>
  <c r="Q47"/>
  <c r="L47"/>
  <c r="U47" s="1"/>
  <c r="Q42"/>
  <c r="M42"/>
  <c r="U42" s="1"/>
  <c r="Q44"/>
  <c r="M44"/>
  <c r="U44" s="1"/>
  <c r="Q48"/>
  <c r="L48"/>
  <c r="U48" s="1"/>
  <c r="S13"/>
  <c r="Q13"/>
  <c r="O13"/>
  <c r="T13"/>
  <c r="R13"/>
  <c r="P13"/>
  <c r="N13"/>
  <c r="M13"/>
  <c r="S12"/>
  <c r="R12"/>
  <c r="P12"/>
  <c r="N12"/>
  <c r="M12"/>
  <c r="T12"/>
  <c r="Q12"/>
  <c r="O12"/>
  <c r="H22"/>
  <c r="R22"/>
  <c r="P22"/>
  <c r="N22"/>
  <c r="M22"/>
  <c r="Q22"/>
  <c r="O22"/>
  <c r="H24"/>
  <c r="M24"/>
  <c r="U24" s="1"/>
  <c r="S27"/>
  <c r="Q27"/>
  <c r="O27"/>
  <c r="T27"/>
  <c r="R27"/>
  <c r="P27"/>
  <c r="N27"/>
  <c r="M27"/>
  <c r="T53"/>
  <c r="S53"/>
  <c r="H61"/>
  <c r="M61"/>
  <c r="U61" s="1"/>
  <c r="H63"/>
  <c r="M63"/>
  <c r="U63" s="1"/>
  <c r="S11"/>
  <c r="Q11"/>
  <c r="O11"/>
  <c r="T11"/>
  <c r="R11"/>
  <c r="P11"/>
  <c r="N11"/>
  <c r="M11"/>
  <c r="H19"/>
  <c r="H23"/>
  <c r="Q23"/>
  <c r="O23"/>
  <c r="R23"/>
  <c r="P23"/>
  <c r="N23"/>
  <c r="M23"/>
  <c r="S30"/>
  <c r="R30"/>
  <c r="P30"/>
  <c r="N30"/>
  <c r="M30"/>
  <c r="T30"/>
  <c r="Q30"/>
  <c r="O30"/>
  <c r="S36"/>
  <c r="T36"/>
  <c r="S38"/>
  <c r="T38"/>
  <c r="J46"/>
  <c r="T46"/>
  <c r="Q46"/>
  <c r="M46"/>
  <c r="H60"/>
  <c r="M60"/>
  <c r="U60" s="1"/>
  <c r="H62"/>
  <c r="M62"/>
  <c r="U62" s="1"/>
  <c r="H64"/>
  <c r="M64"/>
  <c r="U64" s="1"/>
  <c r="T75"/>
  <c r="R75"/>
  <c r="P75"/>
  <c r="N75"/>
  <c r="S75"/>
  <c r="Q75"/>
  <c r="O75"/>
  <c r="M75"/>
  <c r="L11"/>
  <c r="K11"/>
  <c r="J11"/>
  <c r="L12"/>
  <c r="K12"/>
  <c r="J12"/>
  <c r="I27"/>
  <c r="L27"/>
  <c r="K27"/>
  <c r="J27"/>
  <c r="H45"/>
  <c r="H47"/>
  <c r="L53"/>
  <c r="K53"/>
  <c r="J53"/>
  <c r="L13"/>
  <c r="K13"/>
  <c r="J13"/>
  <c r="I30"/>
  <c r="L30"/>
  <c r="K30"/>
  <c r="J30"/>
  <c r="I36"/>
  <c r="L36"/>
  <c r="K36"/>
  <c r="J36"/>
  <c r="I38"/>
  <c r="L38"/>
  <c r="K38"/>
  <c r="J38"/>
  <c r="H42"/>
  <c r="H44"/>
  <c r="H48"/>
  <c r="I75"/>
  <c r="L75"/>
  <c r="K75"/>
  <c r="J75"/>
  <c r="I46"/>
  <c r="U46" s="1"/>
  <c r="I12"/>
  <c r="U12" s="1"/>
  <c r="I11"/>
  <c r="U11" s="1"/>
  <c r="I13"/>
  <c r="U13" s="1"/>
  <c r="H36"/>
  <c r="H38"/>
  <c r="H53"/>
  <c r="I53"/>
  <c r="U53" s="1"/>
  <c r="H30"/>
  <c r="H75"/>
  <c r="H76" s="1"/>
  <c r="H27"/>
  <c r="H46"/>
  <c r="H11"/>
  <c r="H12"/>
  <c r="H16"/>
  <c r="H13"/>
  <c r="H15"/>
  <c r="F77"/>
  <c r="U75" l="1"/>
  <c r="U23"/>
  <c r="U22"/>
  <c r="U38"/>
  <c r="U36"/>
  <c r="U30"/>
  <c r="U27"/>
  <c r="H51"/>
  <c r="H73"/>
  <c r="U76"/>
  <c r="H31"/>
  <c r="H40"/>
  <c r="U73"/>
  <c r="T77"/>
  <c r="T117" s="1"/>
  <c r="Q77"/>
  <c r="Q117" s="1"/>
  <c r="O77"/>
  <c r="M77"/>
  <c r="M117" s="1"/>
  <c r="S77"/>
  <c r="S117" s="1"/>
  <c r="R77"/>
  <c r="R117" s="1"/>
  <c r="P77"/>
  <c r="P117" s="1"/>
  <c r="N77"/>
  <c r="N117" s="1"/>
  <c r="O117"/>
  <c r="U51"/>
  <c r="I77"/>
  <c r="L77"/>
  <c r="L117" s="1"/>
  <c r="J77"/>
  <c r="J117" s="1"/>
  <c r="K77"/>
  <c r="K117" s="1"/>
  <c r="U20"/>
  <c r="H77"/>
  <c r="H78" s="1"/>
  <c r="C123"/>
  <c r="H20"/>
  <c r="U77" l="1"/>
  <c r="U78" s="1"/>
  <c r="U40"/>
  <c r="U31"/>
  <c r="I117"/>
  <c r="H79"/>
  <c r="H81" s="1"/>
  <c r="G117" s="1"/>
  <c r="H117" s="1"/>
  <c r="U79" l="1"/>
  <c r="U117" s="1"/>
  <c r="C126" s="1"/>
  <c r="C122" l="1"/>
</calcChain>
</file>

<file path=xl/sharedStrings.xml><?xml version="1.0" encoding="utf-8"?>
<sst xmlns="http://schemas.openxmlformats.org/spreadsheetml/2006/main" count="344" uniqueCount="254">
  <si>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</si>
  <si>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</si>
  <si>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</si>
  <si>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</si>
  <si>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</si>
  <si>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</si>
  <si>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</si>
  <si>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</si>
  <si>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</si>
  <si>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</si>
  <si>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</si>
  <si>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</si>
  <si>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</si>
  <si>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</si>
  <si>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</si>
  <si>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</si>
  <si>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</si>
  <si>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</si>
  <si>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</si>
  <si>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</si>
  <si>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</si>
  <si>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</si>
  <si>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</si>
  <si>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</si>
  <si>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</si>
  <si>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</si>
  <si>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</si>
  <si>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</si>
  <si>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</si>
  <si>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1000-м2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</si>
  <si>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</si>
  <si>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</si>
  <si>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</si>
  <si>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</si>
  <si>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</si>
  <si>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</si>
  <si>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</si>
  <si>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</si>
  <si>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</si>
  <si>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</si>
  <si>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</si>
  <si>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</si>
  <si>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</si>
  <si>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</si>
  <si>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</si>
  <si>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</si>
  <si>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</si>
  <si>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</si>
  <si>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</si>
  <si>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</si>
  <si>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</si>
  <si>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</si>
  <si>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</si>
  <si>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</si>
  <si>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</si>
  <si>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</si>
  <si>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</si>
  <si>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</si>
  <si>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</si>
  <si>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</si>
  <si>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</si>
  <si>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</si>
  <si>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</si>
  <si>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</si>
  <si>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</si>
  <si>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</si>
  <si>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</si>
  <si>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</si>
  <si>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</si>
  <si>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м2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</si>
  <si>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</si>
  <si>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</si>
  <si>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</si>
  <si>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</si>
  <si>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</si>
  <si>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</si>
  <si>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</si>
  <si>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</si>
  <si>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</si>
  <si>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</si>
  <si>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</si>
  <si>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</si>
  <si>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</si>
  <si>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</si>
  <si>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</si>
  <si>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</si>
  <si>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</si>
  <si>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</si>
  <si>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</si>
  <si>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</si>
  <si>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</si>
  <si>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</si>
  <si>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</si>
  <si>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</si>
  <si>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</si>
  <si>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</si>
  <si>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</si>
  <si>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</si>
  <si>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</si>
  <si>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</si>
  <si>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</si>
  <si>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</si>
  <si>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</si>
  <si>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</si>
  <si>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</si>
  <si>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</si>
  <si>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</si>
  <si>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калькуляция</t>
  </si>
  <si>
    <t>маш/час</t>
  </si>
  <si>
    <t>1 раз в месяц</t>
  </si>
  <si>
    <t>Очистка урн от мусора</t>
  </si>
  <si>
    <t>Дератизация</t>
  </si>
  <si>
    <t>30 раз за сезон</t>
  </si>
  <si>
    <t>Сдвигание снега в дни снегопада (проезд)</t>
  </si>
  <si>
    <t>24 раза за сезон</t>
  </si>
  <si>
    <t>Осмотр рулонной кровли</t>
  </si>
  <si>
    <t>Очистка  от мусора</t>
  </si>
  <si>
    <t>Ремонт групповых щитков на лестничной клетке без ремонта автоматов</t>
  </si>
  <si>
    <t xml:space="preserve">Выполнение    январь  </t>
  </si>
  <si>
    <t>Выполнение   февраль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</si>
  <si>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</si>
  <si>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</si>
  <si>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</si>
  <si>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</si>
  <si>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</si>
  <si>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</si>
  <si>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</si>
  <si>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</si>
  <si>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</si>
  <si>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Работа автовышки</t>
  </si>
  <si>
    <t>Ремонт силового предохранительного шкафа (без стоимости материалов)</t>
  </si>
  <si>
    <t>Смена патронов</t>
  </si>
  <si>
    <t>Стоимость (руб.)</t>
  </si>
  <si>
    <t>договор</t>
  </si>
  <si>
    <t>ТО внутридомового газ.оборудования</t>
  </si>
  <si>
    <t>место</t>
  </si>
  <si>
    <t>Подключение и отключение сварочного аппарата</t>
  </si>
  <si>
    <t>Смена арматуры - вентилей и клапанов обратных муфтовых диаметром до 20 мм</t>
  </si>
  <si>
    <t>1 шт</t>
  </si>
  <si>
    <t>1 м</t>
  </si>
  <si>
    <t>Мелкий ремонт электропроводки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</si>
  <si>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</si>
  <si>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</si>
  <si>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Выполне ние    март</t>
  </si>
  <si>
    <t>Баланс выполненных работ на 01.01.2016 г. ( -долг за предприятием, +долг за населением)</t>
  </si>
  <si>
    <t xml:space="preserve">Смена сгонов у трубопроводов диаметром до 20 мм </t>
  </si>
  <si>
    <t>1 сгон</t>
  </si>
  <si>
    <t>Смена дверных приборов - пружины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</si>
  <si>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</si>
  <si>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</si>
  <si>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Выполнение       май</t>
  </si>
  <si>
    <t>Начислено за содержание и текущий ремонт за 2016  г.</t>
  </si>
  <si>
    <t>Выполнено работ по текущему ремонту за 2016 г.</t>
  </si>
  <si>
    <t>Фактически оплачено за 2016 г.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</si>
  <si>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Космонавтов,10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</si>
  <si>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Выполнено работ по содержанию за 2016 г.</t>
  </si>
  <si>
    <t>Ремонт и регулировка доводчика (без стоимости доводчика)</t>
  </si>
  <si>
    <t>1шт.</t>
  </si>
  <si>
    <t xml:space="preserve">Смена манжетов Dy-110 </t>
  </si>
  <si>
    <t>Смена полиэтиленовых канализационных труб диаметром до 100 мм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</si>
  <si>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</si>
  <si>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</si>
  <si>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</si>
  <si>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</si>
  <si>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</si>
  <si>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</si>
  <si>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</si>
  <si>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</si>
  <si>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</si>
  <si>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Внеплановый осмотр электросетей, армазуры и электрооборудования на лестничных клетках</t>
  </si>
  <si>
    <t>Смена дверных приборов (замки навесные)</t>
  </si>
  <si>
    <t>Смена дверных приборов - петли</t>
  </si>
  <si>
    <t>Устройство хомута диаметром до 50 мм</t>
  </si>
  <si>
    <t>пр.ТЕР 32-097</t>
  </si>
  <si>
    <t>Устройство хомута диаметром 51-75 мм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</si>
  <si>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</si>
  <si>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</si>
  <si>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</si>
  <si>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</si>
  <si>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</si>
  <si>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</si>
  <si>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</si>
  <si>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</si>
  <si>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</si>
  <si>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</si>
  <si>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</si>
  <si>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</si>
  <si>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</si>
  <si>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</si>
  <si>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</si>
  <si>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</si>
  <si>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</si>
  <si>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</si>
  <si>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</si>
  <si>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</si>
  <si>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</si>
  <si>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</si>
  <si>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</si>
  <si>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</si>
  <si>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</si>
  <si>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</si>
  <si>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</si>
  <si>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</si>
  <si>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</si>
  <si>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</si>
  <si>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</si>
  <si>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</si>
  <si>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</si>
  <si>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</si>
  <si>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</si>
  <si>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</si>
  <si>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</si>
  <si>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</si>
  <si>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15-018</t>
  </si>
  <si>
    <t>ТЕР 33-030</t>
  </si>
  <si>
    <t>ТЕР Q2-2-1-3-3</t>
  </si>
  <si>
    <t>ТЕР 33-032</t>
  </si>
  <si>
    <t>пр.ТЕР 32-098</t>
  </si>
  <si>
    <t>ТЕР 32-083</t>
  </si>
  <si>
    <t>пр.ТЕР 32-044</t>
  </si>
  <si>
    <t>ТЕР 33-060</t>
  </si>
  <si>
    <t>ТЕР 33-028</t>
  </si>
  <si>
    <t>ТЕР 15-013</t>
  </si>
  <si>
    <t>ТЕР 15-051</t>
  </si>
  <si>
    <t>Установка заглушек диаметром трубопроводов до 100 мм</t>
  </si>
  <si>
    <t>заглушка</t>
  </si>
  <si>
    <t>ТЕР 31-012</t>
  </si>
  <si>
    <t>смета</t>
  </si>
  <si>
    <t>ТЕР 32-027</t>
  </si>
  <si>
    <t>ТЕР 17-011</t>
  </si>
  <si>
    <t>Смена трубопроводов на полипропиленовые трубы PN25 диаметром до 20 мм</t>
  </si>
  <si>
    <t>1м</t>
  </si>
  <si>
    <t>ТЕР 31-009</t>
  </si>
  <si>
    <t>ТЕР 2-2-1-2-7</t>
  </si>
  <si>
    <t>ТЕР 32-101</t>
  </si>
  <si>
    <t>Прочистка засоров ГВС, XВC</t>
  </si>
  <si>
    <t>3м</t>
  </si>
  <si>
    <t>Ремонт этажных групповых эл.щитов. и вводного распределительного эл.щита</t>
  </si>
  <si>
    <t>пр.ТЕР 33-030</t>
  </si>
  <si>
    <t>Снятие и навеска полотна (без снятия петель)</t>
  </si>
  <si>
    <t>1 полотно</t>
  </si>
  <si>
    <t>ТЕР 20-1-134-1</t>
  </si>
  <si>
    <t>Ремонт смесителя без душа (набивка сальника) без снятия с места</t>
  </si>
  <si>
    <t>ТЕР 32-070</t>
  </si>
  <si>
    <t>Заготовка вручную и установка планки в притвор гладкий</t>
  </si>
  <si>
    <t>ТЕР 20-1-134-3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</si>
  <si>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</si>
  <si>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</si>
  <si>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33-025</t>
  </si>
  <si>
    <t>Смена выключателей</t>
  </si>
  <si>
    <t>5 этажей, 2 подъезда</t>
  </si>
  <si>
    <t>Ремонт входной площадки под.№2</t>
  </si>
  <si>
    <t>пр.ТЕР 31-012</t>
  </si>
  <si>
    <t>Установка заглушек диаметром трубопроводов до 100 мм (без учёта материала)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</si>
</sst>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5" borderId="19" xfId="0" applyFont="1" applyFill="1" applyBorder="1"/>
    <xf numFmtId="0" fontId="1" fillId="4" borderId="20" xfId="0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Y130"/>
  <sheetViews>
    <sheetView tabSelected="1" view="pageBreakPreview" topLeftCell="D1" zoomScaleNormal="75" zoomScaleSheetLayoutView="100" workbookViewId="0">
      <pane ySplit="7" topLeftCell="A107" activePane="bottomLeft" state="frozen"/>
      <selection activeCell="B1" sqref="B1"/>
      <selection pane="bottomLeft" activeCell="R109" sqref="R109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  <col min="22" max="25" width="9.140625" style="131"/>
  </cols>
  <sheetData>
    <row r="1" spans="1:21" ht="14.25" customHeight="1">
      <c r="A1" s="138"/>
    </row>
    <row r="3" spans="1:21" ht="18">
      <c r="A3" s="127"/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71"/>
      <c r="N3" s="71"/>
      <c r="O3" s="71"/>
      <c r="P3" s="71"/>
      <c r="Q3" s="71"/>
      <c r="R3" s="71"/>
      <c r="S3" s="71"/>
      <c r="T3" s="71"/>
      <c r="U3" s="71"/>
    </row>
    <row r="4" spans="1:21" ht="33.75" customHeight="1">
      <c r="A4" s="71"/>
      <c r="B4" s="168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71"/>
      <c r="N4" s="71"/>
      <c r="O4" s="71"/>
      <c r="P4" s="71"/>
      <c r="Q4" s="71"/>
      <c r="R4" s="71"/>
      <c r="S4" s="71"/>
      <c r="T4" s="71"/>
      <c r="U4" s="71"/>
    </row>
    <row r="5" spans="1:21" ht="18">
      <c r="A5" s="71"/>
      <c r="B5" s="168" t="s">
        <v>154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71"/>
      <c r="N5" s="71"/>
      <c r="O5" s="71"/>
      <c r="P5" s="71"/>
      <c r="Q5" s="71"/>
      <c r="R5" s="71"/>
      <c r="S5" s="71"/>
      <c r="T5" s="71"/>
      <c r="U5" s="71"/>
    </row>
    <row r="6" spans="1:21" ht="14.25">
      <c r="A6" s="71"/>
      <c r="B6" s="169" t="s">
        <v>250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71"/>
      <c r="N6" s="71"/>
      <c r="O6" s="71"/>
      <c r="P6" s="71"/>
      <c r="Q6" s="71"/>
      <c r="R6" s="71"/>
      <c r="S6" s="71"/>
      <c r="T6" s="71"/>
      <c r="U6" s="71"/>
    </row>
    <row r="7" spans="1:21" ht="47.25" customHeight="1">
      <c r="A7" s="139" t="s">
        <v>2</v>
      </c>
      <c r="B7" s="140" t="s">
        <v>3</v>
      </c>
      <c r="C7" s="140" t="s">
        <v>4</v>
      </c>
      <c r="D7" s="140" t="s">
        <v>5</v>
      </c>
      <c r="E7" s="140" t="s">
        <v>6</v>
      </c>
      <c r="F7" s="140" t="s">
        <v>7</v>
      </c>
      <c r="G7" s="140" t="s">
        <v>8</v>
      </c>
      <c r="H7" s="141" t="s">
        <v>9</v>
      </c>
      <c r="I7" s="28" t="s">
        <v>118</v>
      </c>
      <c r="J7" s="28" t="s">
        <v>119</v>
      </c>
      <c r="K7" s="28" t="s">
        <v>143</v>
      </c>
      <c r="L7" s="28" t="s">
        <v>120</v>
      </c>
      <c r="M7" s="28" t="s">
        <v>150</v>
      </c>
      <c r="N7" s="28" t="s">
        <v>121</v>
      </c>
      <c r="O7" s="28" t="s">
        <v>122</v>
      </c>
      <c r="P7" s="28" t="s">
        <v>123</v>
      </c>
      <c r="Q7" s="28" t="s">
        <v>124</v>
      </c>
      <c r="R7" s="28" t="s">
        <v>125</v>
      </c>
      <c r="S7" s="28" t="s">
        <v>126</v>
      </c>
      <c r="T7" s="28" t="s">
        <v>127</v>
      </c>
      <c r="U7" s="28" t="s">
        <v>132</v>
      </c>
    </row>
    <row r="8" spans="1:21">
      <c r="A8" s="142">
        <v>1</v>
      </c>
      <c r="B8" s="7">
        <v>2</v>
      </c>
      <c r="C8" s="29">
        <v>3</v>
      </c>
      <c r="D8" s="7">
        <v>4</v>
      </c>
      <c r="E8" s="7">
        <v>5</v>
      </c>
      <c r="F8" s="29">
        <v>6</v>
      </c>
      <c r="G8" s="29">
        <v>7</v>
      </c>
      <c r="H8" s="30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</row>
    <row r="9" spans="1:21" ht="38.25">
      <c r="A9" s="142"/>
      <c r="B9" s="9" t="s">
        <v>10</v>
      </c>
      <c r="C9" s="29"/>
      <c r="D9" s="10"/>
      <c r="E9" s="10"/>
      <c r="F9" s="29"/>
      <c r="G9" s="29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142"/>
      <c r="B10" s="9" t="s">
        <v>11</v>
      </c>
      <c r="C10" s="29"/>
      <c r="D10" s="10"/>
      <c r="E10" s="10"/>
      <c r="F10" s="29"/>
      <c r="G10" s="29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142" t="s">
        <v>175</v>
      </c>
      <c r="B11" s="10" t="s">
        <v>12</v>
      </c>
      <c r="C11" s="29" t="s">
        <v>13</v>
      </c>
      <c r="D11" s="10" t="s">
        <v>14</v>
      </c>
      <c r="E11" s="36">
        <v>90.18</v>
      </c>
      <c r="F11" s="37">
        <f>SUM(E11*156/100)</f>
        <v>140.6808</v>
      </c>
      <c r="G11" s="37">
        <v>199.46</v>
      </c>
      <c r="H11" s="38">
        <f t="shared" ref="H11:H19" si="0">SUM(F11*G11/1000)</f>
        <v>28.060192368000003</v>
      </c>
      <c r="I11" s="39">
        <f>F11/12*G11</f>
        <v>2338.3493640000002</v>
      </c>
      <c r="J11" s="39">
        <f>F11/12*G11</f>
        <v>2338.3493640000002</v>
      </c>
      <c r="K11" s="39">
        <f>F11/12*G11</f>
        <v>2338.3493640000002</v>
      </c>
      <c r="L11" s="39">
        <f>F11/12*G11</f>
        <v>2338.3493640000002</v>
      </c>
      <c r="M11" s="39">
        <f>F11/12*G11</f>
        <v>2338.3493640000002</v>
      </c>
      <c r="N11" s="39">
        <f>F11/12*G11</f>
        <v>2338.3493640000002</v>
      </c>
      <c r="O11" s="39">
        <f>F11/12*G11</f>
        <v>2338.3493640000002</v>
      </c>
      <c r="P11" s="39">
        <f>F11/12*G11</f>
        <v>2338.3493640000002</v>
      </c>
      <c r="Q11" s="39">
        <f>F11/12*G11</f>
        <v>2338.3493640000002</v>
      </c>
      <c r="R11" s="39">
        <f>F11/12*G11</f>
        <v>2338.3493640000002</v>
      </c>
      <c r="S11" s="39">
        <f>F11/12*G11</f>
        <v>2338.3493640000002</v>
      </c>
      <c r="T11" s="39">
        <f>F11/12*G11</f>
        <v>2338.3493640000002</v>
      </c>
      <c r="U11" s="39">
        <f>SUM(I11:T11)</f>
        <v>28060.192368000007</v>
      </c>
    </row>
    <row r="12" spans="1:21" ht="25.5">
      <c r="A12" s="142" t="s">
        <v>175</v>
      </c>
      <c r="B12" s="10" t="s">
        <v>15</v>
      </c>
      <c r="C12" s="29" t="s">
        <v>13</v>
      </c>
      <c r="D12" s="10" t="s">
        <v>16</v>
      </c>
      <c r="E12" s="36">
        <v>360.72</v>
      </c>
      <c r="F12" s="37">
        <f>SUM(E12*104/100)</f>
        <v>375.14880000000005</v>
      </c>
      <c r="G12" s="37">
        <v>199.46</v>
      </c>
      <c r="H12" s="38">
        <f t="shared" si="0"/>
        <v>74.827179648000026</v>
      </c>
      <c r="I12" s="39">
        <f>F12/12*G12</f>
        <v>6235.598304000001</v>
      </c>
      <c r="J12" s="39">
        <f>F12/12*G12</f>
        <v>6235.598304000001</v>
      </c>
      <c r="K12" s="39">
        <f>F12/12*G12</f>
        <v>6235.598304000001</v>
      </c>
      <c r="L12" s="39">
        <f>F12/12*G12</f>
        <v>6235.598304000001</v>
      </c>
      <c r="M12" s="39">
        <f>F12/12*G12</f>
        <v>6235.598304000001</v>
      </c>
      <c r="N12" s="39">
        <f>F12/12*G12</f>
        <v>6235.598304000001</v>
      </c>
      <c r="O12" s="39">
        <f>F12/12*G12</f>
        <v>6235.598304000001</v>
      </c>
      <c r="P12" s="39">
        <f>F12/12*G12</f>
        <v>6235.598304000001</v>
      </c>
      <c r="Q12" s="39">
        <f>F12/12*G12</f>
        <v>6235.598304000001</v>
      </c>
      <c r="R12" s="39">
        <f>F12/12*G12</f>
        <v>6235.598304000001</v>
      </c>
      <c r="S12" s="39">
        <f>F12/12*G12</f>
        <v>6235.598304000001</v>
      </c>
      <c r="T12" s="39">
        <f>F12/12*G12</f>
        <v>6235.598304000001</v>
      </c>
      <c r="U12" s="39">
        <f t="shared" ref="U12:U19" si="1">SUM(I12:T12)</f>
        <v>74827.179648000005</v>
      </c>
    </row>
    <row r="13" spans="1:21" ht="25.5">
      <c r="A13" s="142" t="s">
        <v>176</v>
      </c>
      <c r="B13" s="10" t="s">
        <v>17</v>
      </c>
      <c r="C13" s="29" t="s">
        <v>13</v>
      </c>
      <c r="D13" s="10" t="s">
        <v>18</v>
      </c>
      <c r="E13" s="36">
        <f>SUM(E11+E12)</f>
        <v>450.90000000000003</v>
      </c>
      <c r="F13" s="37">
        <f>SUM(E13*24/100)</f>
        <v>108.21600000000001</v>
      </c>
      <c r="G13" s="37">
        <v>573.83000000000004</v>
      </c>
      <c r="H13" s="38">
        <f t="shared" si="0"/>
        <v>62.097587280000006</v>
      </c>
      <c r="I13" s="39">
        <f>F13/12*G13</f>
        <v>5174.7989400000006</v>
      </c>
      <c r="J13" s="39">
        <f>F13/12*G13</f>
        <v>5174.7989400000006</v>
      </c>
      <c r="K13" s="39">
        <f>F13/12*G13</f>
        <v>5174.7989400000006</v>
      </c>
      <c r="L13" s="39">
        <f>F13/12*G13</f>
        <v>5174.7989400000006</v>
      </c>
      <c r="M13" s="39">
        <f>F13/12*G13</f>
        <v>5174.7989400000006</v>
      </c>
      <c r="N13" s="39">
        <f>F13/12*G13</f>
        <v>5174.7989400000006</v>
      </c>
      <c r="O13" s="39">
        <f>F13/12*G13</f>
        <v>5174.7989400000006</v>
      </c>
      <c r="P13" s="39">
        <f>F13/12*G13</f>
        <v>5174.7989400000006</v>
      </c>
      <c r="Q13" s="39">
        <f>F13/12*G13</f>
        <v>5174.7989400000006</v>
      </c>
      <c r="R13" s="39">
        <f>F13/12*G13</f>
        <v>5174.7989400000006</v>
      </c>
      <c r="S13" s="39">
        <f>F13/12*G13</f>
        <v>5174.7989400000006</v>
      </c>
      <c r="T13" s="39">
        <f>F13/12*G13</f>
        <v>5174.7989400000006</v>
      </c>
      <c r="U13" s="39">
        <f t="shared" si="1"/>
        <v>62097.587280000007</v>
      </c>
    </row>
    <row r="14" spans="1:21">
      <c r="A14" s="142" t="s">
        <v>177</v>
      </c>
      <c r="B14" s="10" t="s">
        <v>19</v>
      </c>
      <c r="C14" s="29" t="s">
        <v>20</v>
      </c>
      <c r="D14" s="10" t="s">
        <v>100</v>
      </c>
      <c r="E14" s="36">
        <v>14.4</v>
      </c>
      <c r="F14" s="37">
        <f>SUM(E14/10)</f>
        <v>1.44</v>
      </c>
      <c r="G14" s="37">
        <v>193.55</v>
      </c>
      <c r="H14" s="38">
        <f t="shared" si="0"/>
        <v>0.27871200000000002</v>
      </c>
      <c r="I14" s="39">
        <v>0</v>
      </c>
      <c r="J14" s="39">
        <v>0</v>
      </c>
      <c r="K14" s="39">
        <v>0</v>
      </c>
      <c r="L14" s="39">
        <v>0</v>
      </c>
      <c r="M14" s="39">
        <f>F14/2*G14</f>
        <v>139.35599999999999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"/>
        <v>139.35599999999999</v>
      </c>
    </row>
    <row r="15" spans="1:21">
      <c r="A15" s="142" t="s">
        <v>178</v>
      </c>
      <c r="B15" s="10" t="s">
        <v>21</v>
      </c>
      <c r="C15" s="29" t="s">
        <v>13</v>
      </c>
      <c r="D15" s="10" t="s">
        <v>52</v>
      </c>
      <c r="E15" s="36">
        <v>14.64</v>
      </c>
      <c r="F15" s="37">
        <f>SUM(E15*2/100)</f>
        <v>0.2928</v>
      </c>
      <c r="G15" s="37">
        <v>247.82</v>
      </c>
      <c r="H15" s="38">
        <f t="shared" si="0"/>
        <v>7.2561695999999995E-2</v>
      </c>
      <c r="I15" s="39">
        <v>0</v>
      </c>
      <c r="J15" s="39">
        <v>0</v>
      </c>
      <c r="K15" s="39">
        <v>0</v>
      </c>
      <c r="L15" s="39">
        <v>0</v>
      </c>
      <c r="M15" s="39">
        <f>G15/2*F15</f>
        <v>36.280847999999999</v>
      </c>
      <c r="N15" s="39">
        <v>0</v>
      </c>
      <c r="O15" s="39">
        <v>0</v>
      </c>
      <c r="P15" s="39">
        <v>0</v>
      </c>
      <c r="Q15" s="39">
        <f>F15/2*G15</f>
        <v>36.280847999999999</v>
      </c>
      <c r="R15" s="39">
        <v>0</v>
      </c>
      <c r="S15" s="39">
        <v>0</v>
      </c>
      <c r="T15" s="39">
        <v>0</v>
      </c>
      <c r="U15" s="39">
        <f t="shared" si="1"/>
        <v>72.561695999999998</v>
      </c>
    </row>
    <row r="16" spans="1:21">
      <c r="A16" s="142" t="s">
        <v>179</v>
      </c>
      <c r="B16" s="10" t="s">
        <v>22</v>
      </c>
      <c r="C16" s="29" t="s">
        <v>13</v>
      </c>
      <c r="D16" s="10" t="s">
        <v>52</v>
      </c>
      <c r="E16" s="36">
        <v>10.08</v>
      </c>
      <c r="F16" s="37">
        <f>SUM(E16*2/100)</f>
        <v>0.2016</v>
      </c>
      <c r="G16" s="37">
        <v>245.81</v>
      </c>
      <c r="H16" s="38">
        <f t="shared" si="0"/>
        <v>4.9555295999999999E-2</v>
      </c>
      <c r="I16" s="39">
        <v>0</v>
      </c>
      <c r="J16" s="39">
        <v>0</v>
      </c>
      <c r="K16" s="39">
        <v>0</v>
      </c>
      <c r="L16" s="39">
        <v>0</v>
      </c>
      <c r="M16" s="39">
        <f>G16/2*F16</f>
        <v>24.777647999999999</v>
      </c>
      <c r="N16" s="39">
        <v>0</v>
      </c>
      <c r="O16" s="39">
        <v>0</v>
      </c>
      <c r="P16" s="39">
        <v>0</v>
      </c>
      <c r="Q16" s="39">
        <f>F16/2*G16</f>
        <v>24.777647999999999</v>
      </c>
      <c r="R16" s="39">
        <v>0</v>
      </c>
      <c r="S16" s="39">
        <v>0</v>
      </c>
      <c r="T16" s="39">
        <v>0</v>
      </c>
      <c r="U16" s="39">
        <f t="shared" si="1"/>
        <v>49.555295999999998</v>
      </c>
    </row>
    <row r="17" spans="1:25">
      <c r="A17" s="142" t="s">
        <v>180</v>
      </c>
      <c r="B17" s="10" t="s">
        <v>23</v>
      </c>
      <c r="C17" s="29" t="s">
        <v>24</v>
      </c>
      <c r="D17" s="10" t="s">
        <v>100</v>
      </c>
      <c r="E17" s="36">
        <v>212.25</v>
      </c>
      <c r="F17" s="37">
        <f>SUM(E17/100)</f>
        <v>2.1225000000000001</v>
      </c>
      <c r="G17" s="37">
        <v>306.26</v>
      </c>
      <c r="H17" s="38">
        <f t="shared" si="0"/>
        <v>0.65003685</v>
      </c>
      <c r="I17" s="39">
        <v>0</v>
      </c>
      <c r="J17" s="39">
        <v>0</v>
      </c>
      <c r="K17" s="39">
        <v>0</v>
      </c>
      <c r="L17" s="39">
        <v>0</v>
      </c>
      <c r="M17" s="39">
        <f>G17*F17</f>
        <v>650.03684999999996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f t="shared" si="1"/>
        <v>650.03684999999996</v>
      </c>
    </row>
    <row r="18" spans="1:25">
      <c r="A18" s="142" t="s">
        <v>181</v>
      </c>
      <c r="B18" s="10" t="s">
        <v>25</v>
      </c>
      <c r="C18" s="29" t="s">
        <v>24</v>
      </c>
      <c r="D18" s="10" t="s">
        <v>100</v>
      </c>
      <c r="E18" s="41">
        <v>46.6</v>
      </c>
      <c r="F18" s="37">
        <f>SUM(E18/100)</f>
        <v>0.46600000000000003</v>
      </c>
      <c r="G18" s="37">
        <v>50.37</v>
      </c>
      <c r="H18" s="38">
        <f t="shared" si="0"/>
        <v>2.3472420000000001E-2</v>
      </c>
      <c r="I18" s="39">
        <v>0</v>
      </c>
      <c r="J18" s="39">
        <v>0</v>
      </c>
      <c r="K18" s="39">
        <v>0</v>
      </c>
      <c r="L18" s="39">
        <v>0</v>
      </c>
      <c r="M18" s="39">
        <f t="shared" ref="M18:M19" si="2">G18*F18</f>
        <v>23.47242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"/>
        <v>23.47242</v>
      </c>
    </row>
    <row r="19" spans="1:25">
      <c r="A19" s="142" t="s">
        <v>182</v>
      </c>
      <c r="B19" s="10" t="s">
        <v>26</v>
      </c>
      <c r="C19" s="29" t="s">
        <v>24</v>
      </c>
      <c r="D19" s="10" t="s">
        <v>100</v>
      </c>
      <c r="E19" s="36">
        <v>2</v>
      </c>
      <c r="F19" s="37">
        <f>SUM(E19/100)</f>
        <v>0.02</v>
      </c>
      <c r="G19" s="37">
        <v>592.37</v>
      </c>
      <c r="H19" s="38">
        <f t="shared" si="0"/>
        <v>1.1847400000000001E-2</v>
      </c>
      <c r="I19" s="39">
        <v>0</v>
      </c>
      <c r="J19" s="39">
        <v>0</v>
      </c>
      <c r="K19" s="39">
        <v>0</v>
      </c>
      <c r="L19" s="39">
        <v>0</v>
      </c>
      <c r="M19" s="39">
        <f t="shared" si="2"/>
        <v>11.8474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"/>
        <v>11.8474</v>
      </c>
    </row>
    <row r="20" spans="1:25" s="18" customFormat="1">
      <c r="A20" s="143"/>
      <c r="B20" s="19" t="s">
        <v>27</v>
      </c>
      <c r="C20" s="42"/>
      <c r="D20" s="19"/>
      <c r="E20" s="43"/>
      <c r="F20" s="44"/>
      <c r="G20" s="44"/>
      <c r="H20" s="45">
        <f>SUM(H11:H19)</f>
        <v>166.07114495800002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>
        <f>SUM(U11:U19)</f>
        <v>165931.78895800002</v>
      </c>
      <c r="V20" s="131"/>
      <c r="W20" s="131"/>
      <c r="X20" s="131"/>
      <c r="Y20" s="131"/>
    </row>
    <row r="21" spans="1:25">
      <c r="A21" s="142"/>
      <c r="B21" s="11" t="s">
        <v>28</v>
      </c>
      <c r="C21" s="29"/>
      <c r="D21" s="10"/>
      <c r="E21" s="36"/>
      <c r="F21" s="37"/>
      <c r="G21" s="37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5" ht="25.5" customHeight="1">
      <c r="A22" s="142" t="s">
        <v>183</v>
      </c>
      <c r="B22" s="10" t="s">
        <v>160</v>
      </c>
      <c r="C22" s="29" t="s">
        <v>29</v>
      </c>
      <c r="D22" s="10" t="s">
        <v>30</v>
      </c>
      <c r="E22" s="37">
        <v>2497.6999999999998</v>
      </c>
      <c r="F22" s="37">
        <f>SUM(E22*52/1000)</f>
        <v>129.88039999999998</v>
      </c>
      <c r="G22" s="37">
        <v>177.3</v>
      </c>
      <c r="H22" s="38">
        <f t="shared" ref="H22:H30" si="3">SUM(F22*G22/1000)</f>
        <v>23.027794919999998</v>
      </c>
      <c r="I22" s="39">
        <v>0</v>
      </c>
      <c r="J22" s="39">
        <v>0</v>
      </c>
      <c r="K22" s="39">
        <v>0</v>
      </c>
      <c r="L22" s="39">
        <v>0</v>
      </c>
      <c r="M22" s="39">
        <f>F22/6*G22</f>
        <v>3837.9658199999994</v>
      </c>
      <c r="N22" s="39">
        <f>F22/6*G22</f>
        <v>3837.9658199999994</v>
      </c>
      <c r="O22" s="39">
        <f>F22/6*G22</f>
        <v>3837.9658199999994</v>
      </c>
      <c r="P22" s="39">
        <f>F22/6*G22</f>
        <v>3837.9658199999994</v>
      </c>
      <c r="Q22" s="39">
        <f>F22/6*G22</f>
        <v>3837.9658199999994</v>
      </c>
      <c r="R22" s="39">
        <f>F22/6*G22</f>
        <v>3837.9658199999994</v>
      </c>
      <c r="S22" s="39">
        <v>0</v>
      </c>
      <c r="T22" s="39">
        <v>0</v>
      </c>
      <c r="U22" s="39">
        <f>SUM(I22:T22)</f>
        <v>23027.794919999993</v>
      </c>
    </row>
    <row r="23" spans="1:25" ht="38.25" customHeight="1">
      <c r="A23" s="142" t="s">
        <v>184</v>
      </c>
      <c r="B23" s="10" t="s">
        <v>161</v>
      </c>
      <c r="C23" s="29" t="s">
        <v>31</v>
      </c>
      <c r="D23" s="10" t="s">
        <v>32</v>
      </c>
      <c r="E23" s="37">
        <v>266.37</v>
      </c>
      <c r="F23" s="37">
        <f>SUM(E23*78/1000)</f>
        <v>20.776859999999999</v>
      </c>
      <c r="G23" s="37">
        <v>297.17</v>
      </c>
      <c r="H23" s="38">
        <f t="shared" si="3"/>
        <v>6.1742594862000004</v>
      </c>
      <c r="I23" s="39">
        <v>0</v>
      </c>
      <c r="J23" s="39">
        <v>0</v>
      </c>
      <c r="K23" s="39">
        <v>0</v>
      </c>
      <c r="L23" s="39">
        <v>0</v>
      </c>
      <c r="M23" s="39">
        <f>F23/6*G23</f>
        <v>1029.0432476999999</v>
      </c>
      <c r="N23" s="39">
        <f>F23/6*G23</f>
        <v>1029.0432476999999</v>
      </c>
      <c r="O23" s="39">
        <f>F23/6*G23</f>
        <v>1029.0432476999999</v>
      </c>
      <c r="P23" s="39">
        <f>F23/6*G23</f>
        <v>1029.0432476999999</v>
      </c>
      <c r="Q23" s="39">
        <f>F23/6*G23</f>
        <v>1029.0432476999999</v>
      </c>
      <c r="R23" s="39">
        <f>F23/6*G23</f>
        <v>1029.0432476999999</v>
      </c>
      <c r="S23" s="39">
        <v>0</v>
      </c>
      <c r="T23" s="39">
        <v>0</v>
      </c>
      <c r="U23" s="39">
        <f t="shared" ref="U23:U30" si="4">SUM(I23:T23)</f>
        <v>6174.2594861999987</v>
      </c>
    </row>
    <row r="24" spans="1:25">
      <c r="A24" s="142" t="s">
        <v>185</v>
      </c>
      <c r="B24" s="10" t="s">
        <v>33</v>
      </c>
      <c r="C24" s="29" t="s">
        <v>31</v>
      </c>
      <c r="D24" s="10" t="s">
        <v>34</v>
      </c>
      <c r="E24" s="37">
        <v>2497.6999999999998</v>
      </c>
      <c r="F24" s="37">
        <f>SUM(E24/1000)</f>
        <v>2.4977</v>
      </c>
      <c r="G24" s="37">
        <v>3435.36</v>
      </c>
      <c r="H24" s="38">
        <f t="shared" si="3"/>
        <v>8.5804986719999992</v>
      </c>
      <c r="I24" s="39">
        <v>0</v>
      </c>
      <c r="J24" s="39">
        <v>0</v>
      </c>
      <c r="K24" s="39">
        <v>0</v>
      </c>
      <c r="L24" s="39">
        <v>0</v>
      </c>
      <c r="M24" s="39">
        <f>F24*G24</f>
        <v>8580.4986719999997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f t="shared" si="4"/>
        <v>8580.4986719999997</v>
      </c>
    </row>
    <row r="25" spans="1:25">
      <c r="A25" s="142" t="s">
        <v>186</v>
      </c>
      <c r="B25" s="10" t="s">
        <v>110</v>
      </c>
      <c r="C25" s="29" t="s">
        <v>62</v>
      </c>
      <c r="D25" s="10" t="s">
        <v>37</v>
      </c>
      <c r="E25" s="37">
        <v>2</v>
      </c>
      <c r="F25" s="37">
        <v>3.1</v>
      </c>
      <c r="G25" s="37">
        <v>1480.94</v>
      </c>
      <c r="H25" s="38">
        <f>G25*F25/1000</f>
        <v>4.5909140000000006</v>
      </c>
      <c r="I25" s="39">
        <v>0</v>
      </c>
      <c r="J25" s="39">
        <v>0</v>
      </c>
      <c r="K25" s="39">
        <v>0</v>
      </c>
      <c r="L25" s="39">
        <v>0</v>
      </c>
      <c r="M25" s="39">
        <f>F25/6*G25</f>
        <v>765.15233333333344</v>
      </c>
      <c r="N25" s="39">
        <f>F25/6*G25</f>
        <v>765.15233333333344</v>
      </c>
      <c r="O25" s="39">
        <f>F25/6*G25</f>
        <v>765.15233333333344</v>
      </c>
      <c r="P25" s="39">
        <f>F25/6*G25</f>
        <v>765.15233333333344</v>
      </c>
      <c r="Q25" s="39">
        <f>F25/6*G25</f>
        <v>765.15233333333344</v>
      </c>
      <c r="R25" s="39">
        <f>F25/6*G25</f>
        <v>765.15233333333344</v>
      </c>
      <c r="S25" s="39">
        <v>0</v>
      </c>
      <c r="T25" s="39">
        <v>0</v>
      </c>
      <c r="U25" s="39">
        <f t="shared" si="4"/>
        <v>4590.9140000000007</v>
      </c>
    </row>
    <row r="26" spans="1:25">
      <c r="A26" s="142" t="s">
        <v>187</v>
      </c>
      <c r="B26" s="10" t="s">
        <v>35</v>
      </c>
      <c r="C26" s="29" t="s">
        <v>36</v>
      </c>
      <c r="D26" s="10" t="s">
        <v>37</v>
      </c>
      <c r="E26" s="48">
        <v>0.33333333333333331</v>
      </c>
      <c r="F26" s="37">
        <f>155/3</f>
        <v>51.666666666666664</v>
      </c>
      <c r="G26" s="37">
        <v>64.48</v>
      </c>
      <c r="H26" s="38">
        <f>SUM(G26*155/3/1000)</f>
        <v>3.331466666666667</v>
      </c>
      <c r="I26" s="39">
        <v>0</v>
      </c>
      <c r="J26" s="39">
        <v>0</v>
      </c>
      <c r="K26" s="39">
        <v>0</v>
      </c>
      <c r="L26" s="39">
        <v>0</v>
      </c>
      <c r="M26" s="39">
        <f>F26/6*G26</f>
        <v>555.24444444444441</v>
      </c>
      <c r="N26" s="39">
        <f>F26/6*G26</f>
        <v>555.24444444444441</v>
      </c>
      <c r="O26" s="39">
        <f>F26/6*G26</f>
        <v>555.24444444444441</v>
      </c>
      <c r="P26" s="39">
        <f>F26/6*G26</f>
        <v>555.24444444444441</v>
      </c>
      <c r="Q26" s="39">
        <f>F26/6*G26</f>
        <v>555.24444444444441</v>
      </c>
      <c r="R26" s="39">
        <f>F26/6*G26</f>
        <v>555.24444444444441</v>
      </c>
      <c r="S26" s="39">
        <v>0</v>
      </c>
      <c r="T26" s="39">
        <v>0</v>
      </c>
      <c r="U26" s="39">
        <f t="shared" si="4"/>
        <v>3331.4666666666667</v>
      </c>
    </row>
    <row r="27" spans="1:25" ht="12.75" customHeight="1">
      <c r="A27" s="142" t="s">
        <v>188</v>
      </c>
      <c r="B27" s="10" t="s">
        <v>38</v>
      </c>
      <c r="C27" s="29" t="s">
        <v>39</v>
      </c>
      <c r="D27" s="10" t="s">
        <v>40</v>
      </c>
      <c r="E27" s="49">
        <v>0.1</v>
      </c>
      <c r="F27" s="37">
        <f>SUM(E27*365)</f>
        <v>36.5</v>
      </c>
      <c r="G27" s="37">
        <v>66.790000000000006</v>
      </c>
      <c r="H27" s="38">
        <f t="shared" si="3"/>
        <v>2.4378350000000002</v>
      </c>
      <c r="I27" s="39">
        <f>F27/12*G27</f>
        <v>203.15291666666667</v>
      </c>
      <c r="J27" s="39">
        <f>F27/12*G27</f>
        <v>203.15291666666667</v>
      </c>
      <c r="K27" s="39">
        <f>F27/12*G27</f>
        <v>203.15291666666667</v>
      </c>
      <c r="L27" s="39">
        <f>F27/12*G27</f>
        <v>203.15291666666667</v>
      </c>
      <c r="M27" s="39">
        <f>F27/12*G27</f>
        <v>203.15291666666667</v>
      </c>
      <c r="N27" s="39">
        <f>F27/12*G27</f>
        <v>203.15291666666667</v>
      </c>
      <c r="O27" s="39">
        <f>F27/12*G27</f>
        <v>203.15291666666667</v>
      </c>
      <c r="P27" s="39">
        <f>F27/12*G27</f>
        <v>203.15291666666667</v>
      </c>
      <c r="Q27" s="39">
        <f>F27/12*G27</f>
        <v>203.15291666666667</v>
      </c>
      <c r="R27" s="39">
        <f>F27/12*G27</f>
        <v>203.15291666666667</v>
      </c>
      <c r="S27" s="39">
        <f>F27/12*G27</f>
        <v>203.15291666666667</v>
      </c>
      <c r="T27" s="39">
        <f>F27/12*G27</f>
        <v>203.15291666666667</v>
      </c>
      <c r="U27" s="39">
        <f t="shared" si="4"/>
        <v>2437.835</v>
      </c>
    </row>
    <row r="28" spans="1:25" ht="12.75" customHeight="1">
      <c r="A28" s="142" t="s">
        <v>189</v>
      </c>
      <c r="B28" s="10" t="s">
        <v>162</v>
      </c>
      <c r="C28" s="29" t="s">
        <v>39</v>
      </c>
      <c r="D28" s="10" t="s">
        <v>41</v>
      </c>
      <c r="E28" s="36"/>
      <c r="F28" s="37">
        <v>2</v>
      </c>
      <c r="G28" s="37">
        <v>217.61</v>
      </c>
      <c r="H28" s="38">
        <f t="shared" si="3"/>
        <v>0.43522000000000005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f t="shared" si="4"/>
        <v>0</v>
      </c>
    </row>
    <row r="29" spans="1:25" ht="12.75" customHeight="1">
      <c r="A29" s="142" t="s">
        <v>107</v>
      </c>
      <c r="B29" s="10" t="s">
        <v>163</v>
      </c>
      <c r="C29" s="29" t="s">
        <v>42</v>
      </c>
      <c r="D29" s="10" t="s">
        <v>41</v>
      </c>
      <c r="E29" s="36"/>
      <c r="F29" s="37">
        <v>1</v>
      </c>
      <c r="G29" s="37">
        <v>1292.47</v>
      </c>
      <c r="H29" s="38">
        <f t="shared" si="3"/>
        <v>1.29247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f t="shared" si="4"/>
        <v>0</v>
      </c>
    </row>
    <row r="30" spans="1:25">
      <c r="A30" s="142"/>
      <c r="B30" s="50" t="s">
        <v>43</v>
      </c>
      <c r="C30" s="29" t="s">
        <v>44</v>
      </c>
      <c r="D30" s="50" t="s">
        <v>45</v>
      </c>
      <c r="E30" s="36">
        <v>2177.1</v>
      </c>
      <c r="F30" s="37">
        <f>SUM(E30*12)</f>
        <v>26125.199999999997</v>
      </c>
      <c r="G30" s="37">
        <v>5.15</v>
      </c>
      <c r="H30" s="38">
        <f t="shared" si="3"/>
        <v>134.54478</v>
      </c>
      <c r="I30" s="39">
        <f>F30/12*G30</f>
        <v>11212.065000000001</v>
      </c>
      <c r="J30" s="39">
        <f>F30/12*G30</f>
        <v>11212.065000000001</v>
      </c>
      <c r="K30" s="39">
        <f>F30/12*G30</f>
        <v>11212.065000000001</v>
      </c>
      <c r="L30" s="39">
        <f>F30/12*G30</f>
        <v>11212.065000000001</v>
      </c>
      <c r="M30" s="39">
        <f>F30/12*G30</f>
        <v>11212.065000000001</v>
      </c>
      <c r="N30" s="39">
        <f>F30/12*G30</f>
        <v>11212.065000000001</v>
      </c>
      <c r="O30" s="39">
        <f>F30/12*G30</f>
        <v>11212.065000000001</v>
      </c>
      <c r="P30" s="39">
        <f>F30/12*G30</f>
        <v>11212.065000000001</v>
      </c>
      <c r="Q30" s="39">
        <f>F30/12*G30</f>
        <v>11212.065000000001</v>
      </c>
      <c r="R30" s="39">
        <f>F30/12*G30</f>
        <v>11212.065000000001</v>
      </c>
      <c r="S30" s="39">
        <f>F30/12*G30</f>
        <v>11212.065000000001</v>
      </c>
      <c r="T30" s="39">
        <f>F30/12*G30</f>
        <v>11212.065000000001</v>
      </c>
      <c r="U30" s="39">
        <f t="shared" si="4"/>
        <v>134544.78</v>
      </c>
    </row>
    <row r="31" spans="1:25" s="18" customFormat="1">
      <c r="A31" s="143"/>
      <c r="B31" s="19" t="s">
        <v>27</v>
      </c>
      <c r="C31" s="42"/>
      <c r="D31" s="19"/>
      <c r="E31" s="43"/>
      <c r="F31" s="44"/>
      <c r="G31" s="44"/>
      <c r="H31" s="51">
        <f>SUM(H22:H30)</f>
        <v>184.41523874486666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>
        <f>SUM(U22:U30)</f>
        <v>182687.54874486665</v>
      </c>
      <c r="V31" s="131"/>
      <c r="W31" s="131"/>
      <c r="X31" s="131"/>
      <c r="Y31" s="131"/>
    </row>
    <row r="32" spans="1:25">
      <c r="A32" s="142"/>
      <c r="B32" s="11" t="s">
        <v>46</v>
      </c>
      <c r="C32" s="29"/>
      <c r="D32" s="10"/>
      <c r="E32" s="36"/>
      <c r="F32" s="37"/>
      <c r="G32" s="37"/>
      <c r="H32" s="38" t="s">
        <v>45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5" ht="12.75" customHeight="1">
      <c r="A33" s="142" t="s">
        <v>107</v>
      </c>
      <c r="B33" s="12" t="s">
        <v>47</v>
      </c>
      <c r="C33" s="29" t="s">
        <v>42</v>
      </c>
      <c r="D33" s="10"/>
      <c r="E33" s="36"/>
      <c r="F33" s="37">
        <v>6</v>
      </c>
      <c r="G33" s="37">
        <v>1737.08</v>
      </c>
      <c r="H33" s="38">
        <f t="shared" ref="H33:H39" si="5">SUM(F33*G33/1000)</f>
        <v>10.42248</v>
      </c>
      <c r="I33" s="39">
        <f>F33/6*G33</f>
        <v>1737.08</v>
      </c>
      <c r="J33" s="39">
        <f>F33/6*G33</f>
        <v>1737.08</v>
      </c>
      <c r="K33" s="39">
        <f>F33/6*G33</f>
        <v>1737.08</v>
      </c>
      <c r="L33" s="39">
        <f>F33/6*G33</f>
        <v>1737.08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f>F33/6*G33</f>
        <v>1737.08</v>
      </c>
      <c r="T33" s="39">
        <f>F33/6*G33</f>
        <v>1737.08</v>
      </c>
      <c r="U33" s="39">
        <f>SUM(I33:T33)</f>
        <v>10422.48</v>
      </c>
    </row>
    <row r="34" spans="1:25">
      <c r="A34" s="144" t="s">
        <v>190</v>
      </c>
      <c r="B34" s="12" t="s">
        <v>113</v>
      </c>
      <c r="C34" s="53" t="s">
        <v>48</v>
      </c>
      <c r="D34" s="10" t="s">
        <v>112</v>
      </c>
      <c r="E34" s="36">
        <v>48.36</v>
      </c>
      <c r="F34" s="52">
        <f>E34*30/1000</f>
        <v>1.4507999999999999</v>
      </c>
      <c r="G34" s="37">
        <v>2391.67</v>
      </c>
      <c r="H34" s="38">
        <f>G34*F34/1000</f>
        <v>3.469834836</v>
      </c>
      <c r="I34" s="39">
        <f>F34/6*G34</f>
        <v>578.30580599999996</v>
      </c>
      <c r="J34" s="39">
        <f>F34/6*G34</f>
        <v>578.30580599999996</v>
      </c>
      <c r="K34" s="39">
        <f>F34/6*G34</f>
        <v>578.30580599999996</v>
      </c>
      <c r="L34" s="39">
        <f>F34/6*G34</f>
        <v>578.30580599999996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f>F34/6*G34</f>
        <v>578.30580599999996</v>
      </c>
      <c r="T34" s="39">
        <f>F34/6*G34</f>
        <v>578.30580599999996</v>
      </c>
      <c r="U34" s="39">
        <f t="shared" ref="U34:U39" si="6">SUM(I34:T34)</f>
        <v>3469.8348359999995</v>
      </c>
    </row>
    <row r="35" spans="1:25">
      <c r="A35" s="142" t="s">
        <v>107</v>
      </c>
      <c r="B35" s="10" t="s">
        <v>106</v>
      </c>
      <c r="C35" s="29" t="s">
        <v>70</v>
      </c>
      <c r="D35" s="10" t="s">
        <v>41</v>
      </c>
      <c r="E35" s="36"/>
      <c r="F35" s="52">
        <v>65</v>
      </c>
      <c r="G35" s="37">
        <v>226.85</v>
      </c>
      <c r="H35" s="38">
        <f>G35*F35/1000</f>
        <v>14.74525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f t="shared" si="6"/>
        <v>0</v>
      </c>
    </row>
    <row r="36" spans="1:25" ht="24.75" customHeight="1">
      <c r="A36" s="142" t="s">
        <v>191</v>
      </c>
      <c r="B36" s="10" t="s">
        <v>164</v>
      </c>
      <c r="C36" s="29" t="s">
        <v>48</v>
      </c>
      <c r="D36" s="10" t="s">
        <v>49</v>
      </c>
      <c r="E36" s="37">
        <v>53.69</v>
      </c>
      <c r="F36" s="52">
        <f>SUM(E36*155/1000)</f>
        <v>8.3219499999999993</v>
      </c>
      <c r="G36" s="37">
        <v>398.95</v>
      </c>
      <c r="H36" s="38">
        <f t="shared" si="5"/>
        <v>3.3200419524999996</v>
      </c>
      <c r="I36" s="39">
        <f>F36/6*G36</f>
        <v>553.34032541666659</v>
      </c>
      <c r="J36" s="39">
        <f>F36/6*G36</f>
        <v>553.34032541666659</v>
      </c>
      <c r="K36" s="39">
        <f>F36/6*G36</f>
        <v>553.34032541666659</v>
      </c>
      <c r="L36" s="39">
        <f>F36/6*G36</f>
        <v>553.34032541666659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>F36/6*G36</f>
        <v>553.34032541666659</v>
      </c>
      <c r="T36" s="39">
        <f>F36/6*G36</f>
        <v>553.34032541666659</v>
      </c>
      <c r="U36" s="39">
        <f t="shared" si="6"/>
        <v>3320.0419524999993</v>
      </c>
    </row>
    <row r="37" spans="1:25" ht="51" customHeight="1">
      <c r="A37" s="142" t="s">
        <v>192</v>
      </c>
      <c r="B37" s="10" t="s">
        <v>165</v>
      </c>
      <c r="C37" s="29" t="s">
        <v>31</v>
      </c>
      <c r="D37" s="10" t="s">
        <v>114</v>
      </c>
      <c r="E37" s="37">
        <v>23.93</v>
      </c>
      <c r="F37" s="52">
        <f>SUM(E37*24/1000)</f>
        <v>0.57431999999999994</v>
      </c>
      <c r="G37" s="37">
        <v>6600.74</v>
      </c>
      <c r="H37" s="38">
        <f t="shared" si="5"/>
        <v>3.7909369967999997</v>
      </c>
      <c r="I37" s="39">
        <f>F37/6*G37</f>
        <v>631.8228327999999</v>
      </c>
      <c r="J37" s="39">
        <f>F37/6*G37</f>
        <v>631.8228327999999</v>
      </c>
      <c r="K37" s="39">
        <f>F37/6*G37</f>
        <v>631.8228327999999</v>
      </c>
      <c r="L37" s="39">
        <f>F37/6*G37</f>
        <v>631.8228327999999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f>F37/6*G37</f>
        <v>631.8228327999999</v>
      </c>
      <c r="T37" s="39">
        <f>F37/6*G37</f>
        <v>631.8228327999999</v>
      </c>
      <c r="U37" s="39">
        <f t="shared" si="6"/>
        <v>3790.9369967999996</v>
      </c>
    </row>
    <row r="38" spans="1:25" ht="12.75" customHeight="1">
      <c r="A38" s="142" t="s">
        <v>193</v>
      </c>
      <c r="B38" s="10" t="s">
        <v>166</v>
      </c>
      <c r="C38" s="29" t="s">
        <v>31</v>
      </c>
      <c r="D38" s="10" t="s">
        <v>50</v>
      </c>
      <c r="E38" s="37">
        <v>48.36</v>
      </c>
      <c r="F38" s="52">
        <f>SUM(E38*45/1000)</f>
        <v>2.1761999999999997</v>
      </c>
      <c r="G38" s="37">
        <v>487.61</v>
      </c>
      <c r="H38" s="38">
        <f t="shared" si="5"/>
        <v>1.0611368819999998</v>
      </c>
      <c r="I38" s="39">
        <f>F38/6*G38</f>
        <v>176.85614699999999</v>
      </c>
      <c r="J38" s="39">
        <f>F38/6*G38</f>
        <v>176.85614699999999</v>
      </c>
      <c r="K38" s="39">
        <f>F38/6*G38</f>
        <v>176.85614699999999</v>
      </c>
      <c r="L38" s="39">
        <f>F38/6*G38</f>
        <v>176.85614699999999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>F38/6*G38</f>
        <v>176.85614699999999</v>
      </c>
      <c r="T38" s="39">
        <f>F38/6*G38</f>
        <v>176.85614699999999</v>
      </c>
      <c r="U38" s="39">
        <f t="shared" si="6"/>
        <v>1061.136882</v>
      </c>
    </row>
    <row r="39" spans="1:25" s="1" customFormat="1">
      <c r="A39" s="144"/>
      <c r="B39" s="12" t="s">
        <v>167</v>
      </c>
      <c r="C39" s="53" t="s">
        <v>39</v>
      </c>
      <c r="D39" s="12"/>
      <c r="E39" s="49"/>
      <c r="F39" s="52">
        <v>0.9</v>
      </c>
      <c r="G39" s="52">
        <v>907.66</v>
      </c>
      <c r="H39" s="38">
        <f t="shared" si="5"/>
        <v>0.81689400000000001</v>
      </c>
      <c r="I39" s="54">
        <f>F39/6*G39</f>
        <v>136.149</v>
      </c>
      <c r="J39" s="54">
        <f>F39/6*G39</f>
        <v>136.149</v>
      </c>
      <c r="K39" s="54">
        <f>F39/6*G39</f>
        <v>136.149</v>
      </c>
      <c r="L39" s="54">
        <f>F39/6*G39</f>
        <v>136.149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f>F39/6*G39</f>
        <v>136.149</v>
      </c>
      <c r="T39" s="54">
        <f>F39/6*G39</f>
        <v>136.149</v>
      </c>
      <c r="U39" s="39">
        <f t="shared" si="6"/>
        <v>816.89400000000001</v>
      </c>
      <c r="V39" s="131"/>
      <c r="W39" s="131"/>
      <c r="X39" s="131"/>
      <c r="Y39" s="131"/>
    </row>
    <row r="40" spans="1:25" s="18" customFormat="1">
      <c r="A40" s="143"/>
      <c r="B40" s="19" t="s">
        <v>27</v>
      </c>
      <c r="C40" s="42"/>
      <c r="D40" s="19"/>
      <c r="E40" s="43"/>
      <c r="F40" s="44" t="s">
        <v>45</v>
      </c>
      <c r="G40" s="44"/>
      <c r="H40" s="51">
        <f>SUM(H33:H39)</f>
        <v>37.626574667299998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>
        <f>SUM(U33:U39)</f>
        <v>22881.324667299996</v>
      </c>
      <c r="V40" s="131"/>
      <c r="W40" s="131"/>
      <c r="X40" s="131"/>
      <c r="Y40" s="131"/>
    </row>
    <row r="41" spans="1:25">
      <c r="A41" s="142"/>
      <c r="B41" s="13" t="s">
        <v>51</v>
      </c>
      <c r="C41" s="29"/>
      <c r="D41" s="10"/>
      <c r="E41" s="36"/>
      <c r="F41" s="37"/>
      <c r="G41" s="37"/>
      <c r="H41" s="38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5">
      <c r="A42" s="142" t="s">
        <v>194</v>
      </c>
      <c r="B42" s="10" t="s">
        <v>115</v>
      </c>
      <c r="C42" s="29" t="s">
        <v>31</v>
      </c>
      <c r="D42" s="10" t="s">
        <v>52</v>
      </c>
      <c r="E42" s="36">
        <v>614.29999999999995</v>
      </c>
      <c r="F42" s="37">
        <f>SUM(E42*2/1000)</f>
        <v>1.2285999999999999</v>
      </c>
      <c r="G42" s="55">
        <v>1094.96</v>
      </c>
      <c r="H42" s="38">
        <f t="shared" ref="H42:H50" si="7">SUM(F42*G42/1000)</f>
        <v>1.345267856</v>
      </c>
      <c r="I42" s="39">
        <v>0</v>
      </c>
      <c r="J42" s="39">
        <v>0</v>
      </c>
      <c r="K42" s="39">
        <v>0</v>
      </c>
      <c r="L42" s="39">
        <v>0</v>
      </c>
      <c r="M42" s="39">
        <f t="shared" ref="M42:M45" si="8">F42/2*G42</f>
        <v>672.63392799999997</v>
      </c>
      <c r="N42" s="39">
        <v>0</v>
      </c>
      <c r="O42" s="39">
        <v>0</v>
      </c>
      <c r="P42" s="39">
        <v>0</v>
      </c>
      <c r="Q42" s="39">
        <f>F42/2*G42</f>
        <v>672.63392799999997</v>
      </c>
      <c r="R42" s="39">
        <v>0</v>
      </c>
      <c r="S42" s="39">
        <v>0</v>
      </c>
      <c r="T42" s="39">
        <v>0</v>
      </c>
      <c r="U42" s="39">
        <f>SUM(I42:T42)</f>
        <v>1345.2678559999999</v>
      </c>
    </row>
    <row r="43" spans="1:25">
      <c r="A43" s="142" t="s">
        <v>195</v>
      </c>
      <c r="B43" s="10" t="s">
        <v>53</v>
      </c>
      <c r="C43" s="29" t="s">
        <v>31</v>
      </c>
      <c r="D43" s="10" t="s">
        <v>52</v>
      </c>
      <c r="E43" s="36">
        <v>61</v>
      </c>
      <c r="F43" s="37">
        <f>E43*2/1000</f>
        <v>0.122</v>
      </c>
      <c r="G43" s="55">
        <v>3832.4</v>
      </c>
      <c r="H43" s="38">
        <f t="shared" si="7"/>
        <v>0.46755279999999999</v>
      </c>
      <c r="I43" s="39">
        <v>0</v>
      </c>
      <c r="J43" s="39">
        <v>0</v>
      </c>
      <c r="K43" s="39">
        <v>0</v>
      </c>
      <c r="L43" s="39">
        <v>0</v>
      </c>
      <c r="M43" s="39">
        <f t="shared" si="8"/>
        <v>233.7764</v>
      </c>
      <c r="N43" s="39">
        <v>0</v>
      </c>
      <c r="O43" s="39">
        <v>0</v>
      </c>
      <c r="P43" s="39">
        <v>0</v>
      </c>
      <c r="Q43" s="39">
        <f>F43/2*G43</f>
        <v>233.7764</v>
      </c>
      <c r="R43" s="39">
        <v>0</v>
      </c>
      <c r="S43" s="39">
        <v>0</v>
      </c>
      <c r="T43" s="39">
        <v>0</v>
      </c>
      <c r="U43" s="39">
        <f t="shared" ref="U43:U50" si="9">SUM(I43:T43)</f>
        <v>467.55279999999999</v>
      </c>
    </row>
    <row r="44" spans="1:25" ht="12.75" customHeight="1">
      <c r="A44" s="142" t="s">
        <v>196</v>
      </c>
      <c r="B44" s="10" t="s">
        <v>54</v>
      </c>
      <c r="C44" s="29" t="s">
        <v>31</v>
      </c>
      <c r="D44" s="10" t="s">
        <v>52</v>
      </c>
      <c r="E44" s="36">
        <v>3135.64</v>
      </c>
      <c r="F44" s="37">
        <f>SUM(E44*2/1000)</f>
        <v>6.27128</v>
      </c>
      <c r="G44" s="55">
        <v>1564.24</v>
      </c>
      <c r="H44" s="38">
        <f t="shared" si="7"/>
        <v>9.8097870272000005</v>
      </c>
      <c r="I44" s="39">
        <v>0</v>
      </c>
      <c r="J44" s="39">
        <v>0</v>
      </c>
      <c r="K44" s="39">
        <v>0</v>
      </c>
      <c r="L44" s="39">
        <v>0</v>
      </c>
      <c r="M44" s="39">
        <f t="shared" si="8"/>
        <v>4904.8935136</v>
      </c>
      <c r="N44" s="39">
        <v>0</v>
      </c>
      <c r="O44" s="39">
        <v>0</v>
      </c>
      <c r="P44" s="39">
        <v>0</v>
      </c>
      <c r="Q44" s="39">
        <f>F44/2*G44</f>
        <v>4904.8935136</v>
      </c>
      <c r="R44" s="39">
        <v>0</v>
      </c>
      <c r="S44" s="39">
        <v>0</v>
      </c>
      <c r="T44" s="39">
        <v>0</v>
      </c>
      <c r="U44" s="39">
        <f t="shared" si="9"/>
        <v>9809.7870272</v>
      </c>
    </row>
    <row r="45" spans="1:25">
      <c r="A45" s="142" t="s">
        <v>197</v>
      </c>
      <c r="B45" s="10" t="s">
        <v>55</v>
      </c>
      <c r="C45" s="29" t="s">
        <v>31</v>
      </c>
      <c r="D45" s="10" t="s">
        <v>52</v>
      </c>
      <c r="E45" s="36">
        <v>1678.47</v>
      </c>
      <c r="F45" s="37">
        <f>SUM(E45*2/1000)</f>
        <v>3.3569400000000003</v>
      </c>
      <c r="G45" s="55">
        <v>1078.3599999999999</v>
      </c>
      <c r="H45" s="38">
        <f t="shared" si="7"/>
        <v>3.6199898183999997</v>
      </c>
      <c r="I45" s="39">
        <v>0</v>
      </c>
      <c r="J45" s="39">
        <v>0</v>
      </c>
      <c r="K45" s="39">
        <v>0</v>
      </c>
      <c r="L45" s="39">
        <v>0</v>
      </c>
      <c r="M45" s="39">
        <f t="shared" si="8"/>
        <v>1809.9949091999999</v>
      </c>
      <c r="N45" s="39">
        <v>0</v>
      </c>
      <c r="O45" s="39">
        <v>0</v>
      </c>
      <c r="P45" s="39">
        <v>0</v>
      </c>
      <c r="Q45" s="39">
        <f>F45/2*G45</f>
        <v>1809.9949091999999</v>
      </c>
      <c r="R45" s="39">
        <v>0</v>
      </c>
      <c r="S45" s="39">
        <v>0</v>
      </c>
      <c r="T45" s="39">
        <v>0</v>
      </c>
      <c r="U45" s="39">
        <f t="shared" si="9"/>
        <v>3619.9898183999999</v>
      </c>
    </row>
    <row r="46" spans="1:25" ht="25.5">
      <c r="A46" s="142" t="s">
        <v>198</v>
      </c>
      <c r="B46" s="10" t="s">
        <v>56</v>
      </c>
      <c r="C46" s="29" t="s">
        <v>31</v>
      </c>
      <c r="D46" s="10" t="s">
        <v>57</v>
      </c>
      <c r="E46" s="36">
        <v>614.29999999999995</v>
      </c>
      <c r="F46" s="37">
        <f>SUM(E46*5/1000)</f>
        <v>3.0714999999999999</v>
      </c>
      <c r="G46" s="55">
        <v>1838.49</v>
      </c>
      <c r="H46" s="38">
        <f t="shared" si="7"/>
        <v>5.6469220349999993</v>
      </c>
      <c r="I46" s="39">
        <f>F46/5*G46</f>
        <v>1129.384407</v>
      </c>
      <c r="J46" s="39">
        <f>F46/5*G46</f>
        <v>1129.384407</v>
      </c>
      <c r="K46" s="39">
        <f>0</f>
        <v>0</v>
      </c>
      <c r="L46" s="39">
        <v>0</v>
      </c>
      <c r="M46" s="39">
        <f>F46/5*G46</f>
        <v>1129.384407</v>
      </c>
      <c r="N46" s="39">
        <v>0</v>
      </c>
      <c r="O46" s="39">
        <v>0</v>
      </c>
      <c r="P46" s="39">
        <v>0</v>
      </c>
      <c r="Q46" s="39">
        <f>F46/5*G46</f>
        <v>1129.384407</v>
      </c>
      <c r="R46" s="39">
        <v>0</v>
      </c>
      <c r="S46" s="39">
        <v>0</v>
      </c>
      <c r="T46" s="39">
        <f>F46/5*G46</f>
        <v>1129.384407</v>
      </c>
      <c r="U46" s="39">
        <f t="shared" si="9"/>
        <v>5646.9220349999996</v>
      </c>
    </row>
    <row r="47" spans="1:25" ht="38.25" customHeight="1">
      <c r="A47" s="142" t="s">
        <v>199</v>
      </c>
      <c r="B47" s="10" t="s">
        <v>58</v>
      </c>
      <c r="C47" s="29" t="s">
        <v>31</v>
      </c>
      <c r="D47" s="10" t="s">
        <v>52</v>
      </c>
      <c r="E47" s="36">
        <v>614.29999999999995</v>
      </c>
      <c r="F47" s="37">
        <f>SUM(E47*2/1000)</f>
        <v>1.2285999999999999</v>
      </c>
      <c r="G47" s="55">
        <v>1380.31</v>
      </c>
      <c r="H47" s="38">
        <f t="shared" si="7"/>
        <v>1.6958488659999997</v>
      </c>
      <c r="I47" s="39">
        <v>0</v>
      </c>
      <c r="J47" s="39">
        <v>0</v>
      </c>
      <c r="K47" s="39">
        <v>0</v>
      </c>
      <c r="L47" s="39">
        <f>F47/2*G47</f>
        <v>847.92443299999991</v>
      </c>
      <c r="M47" s="39">
        <v>0</v>
      </c>
      <c r="N47" s="39">
        <v>0</v>
      </c>
      <c r="O47" s="39">
        <v>0</v>
      </c>
      <c r="P47" s="39">
        <v>0</v>
      </c>
      <c r="Q47" s="39">
        <f>F47/2*G47</f>
        <v>847.92443299999991</v>
      </c>
      <c r="R47" s="39">
        <v>0</v>
      </c>
      <c r="S47" s="39">
        <v>0</v>
      </c>
      <c r="T47" s="39">
        <v>0</v>
      </c>
      <c r="U47" s="39">
        <f t="shared" si="9"/>
        <v>1695.8488659999998</v>
      </c>
    </row>
    <row r="48" spans="1:25" ht="25.5" customHeight="1">
      <c r="A48" s="142" t="s">
        <v>200</v>
      </c>
      <c r="B48" s="10" t="s">
        <v>59</v>
      </c>
      <c r="C48" s="29" t="s">
        <v>60</v>
      </c>
      <c r="D48" s="10" t="s">
        <v>52</v>
      </c>
      <c r="E48" s="36">
        <v>20</v>
      </c>
      <c r="F48" s="37">
        <f>SUM(E48*2/100)</f>
        <v>0.4</v>
      </c>
      <c r="G48" s="55">
        <v>3519.56</v>
      </c>
      <c r="H48" s="38">
        <f t="shared" si="7"/>
        <v>1.407824</v>
      </c>
      <c r="I48" s="39">
        <v>0</v>
      </c>
      <c r="J48" s="39">
        <v>0</v>
      </c>
      <c r="K48" s="39">
        <v>0</v>
      </c>
      <c r="L48" s="39">
        <f>F48/2*G48</f>
        <v>703.91200000000003</v>
      </c>
      <c r="M48" s="39">
        <v>0</v>
      </c>
      <c r="N48" s="39">
        <v>0</v>
      </c>
      <c r="O48" s="39">
        <v>0</v>
      </c>
      <c r="P48" s="39">
        <v>0</v>
      </c>
      <c r="Q48" s="39">
        <f>F48/2*G48</f>
        <v>703.91200000000003</v>
      </c>
      <c r="R48" s="39">
        <v>0</v>
      </c>
      <c r="S48" s="39">
        <v>0</v>
      </c>
      <c r="T48" s="39">
        <v>0</v>
      </c>
      <c r="U48" s="39">
        <f t="shared" si="9"/>
        <v>1407.8240000000001</v>
      </c>
    </row>
    <row r="49" spans="1:25">
      <c r="A49" s="142" t="s">
        <v>201</v>
      </c>
      <c r="B49" s="10" t="s">
        <v>61</v>
      </c>
      <c r="C49" s="29" t="s">
        <v>62</v>
      </c>
      <c r="D49" s="10" t="s">
        <v>52</v>
      </c>
      <c r="E49" s="36">
        <v>1</v>
      </c>
      <c r="F49" s="37">
        <v>0.02</v>
      </c>
      <c r="G49" s="55">
        <v>6428.82</v>
      </c>
      <c r="H49" s="38">
        <f t="shared" si="7"/>
        <v>0.12857640000000001</v>
      </c>
      <c r="I49" s="39">
        <v>0</v>
      </c>
      <c r="J49" s="39">
        <v>0</v>
      </c>
      <c r="K49" s="39">
        <f>F49/2*G49</f>
        <v>64.288200000000003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f>F49/2*G49</f>
        <v>64.288200000000003</v>
      </c>
      <c r="R49" s="39">
        <v>0</v>
      </c>
      <c r="S49" s="39">
        <v>0</v>
      </c>
      <c r="T49" s="39">
        <v>0</v>
      </c>
      <c r="U49" s="39">
        <f t="shared" si="9"/>
        <v>128.57640000000001</v>
      </c>
    </row>
    <row r="50" spans="1:25" ht="13.5" customHeight="1">
      <c r="A50" s="142" t="s">
        <v>64</v>
      </c>
      <c r="B50" s="10" t="s">
        <v>65</v>
      </c>
      <c r="C50" s="29" t="s">
        <v>63</v>
      </c>
      <c r="D50" s="10" t="s">
        <v>128</v>
      </c>
      <c r="E50" s="36">
        <v>170</v>
      </c>
      <c r="F50" s="37">
        <f>SUM(E50)*3</f>
        <v>510</v>
      </c>
      <c r="G50" s="56">
        <v>74.709999999999994</v>
      </c>
      <c r="H50" s="38">
        <f t="shared" si="7"/>
        <v>38.1021</v>
      </c>
      <c r="I50" s="39">
        <f>G50*E50</f>
        <v>12700.699999999999</v>
      </c>
      <c r="J50" s="39">
        <v>0</v>
      </c>
      <c r="K50" s="39">
        <v>0</v>
      </c>
      <c r="L50" s="39">
        <f>E50*G50</f>
        <v>12700.699999999999</v>
      </c>
      <c r="M50" s="39">
        <v>0</v>
      </c>
      <c r="N50" s="39">
        <v>0</v>
      </c>
      <c r="O50" s="39">
        <v>0</v>
      </c>
      <c r="P50" s="39">
        <f>E50*G50</f>
        <v>12700.699999999999</v>
      </c>
      <c r="Q50" s="39">
        <v>0</v>
      </c>
      <c r="R50" s="39">
        <v>0</v>
      </c>
      <c r="S50" s="39">
        <v>0</v>
      </c>
      <c r="T50" s="39">
        <v>0</v>
      </c>
      <c r="U50" s="39">
        <f t="shared" si="9"/>
        <v>38102.1</v>
      </c>
    </row>
    <row r="51" spans="1:25" s="20" customFormat="1">
      <c r="A51" s="143"/>
      <c r="B51" s="19" t="s">
        <v>27</v>
      </c>
      <c r="C51" s="57"/>
      <c r="D51" s="19"/>
      <c r="E51" s="58"/>
      <c r="F51" s="59"/>
      <c r="G51" s="59"/>
      <c r="H51" s="51">
        <f>SUM(H42:H50)</f>
        <v>62.223868802599995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>
        <f>SUM(U42:U50)</f>
        <v>62223.868802600002</v>
      </c>
      <c r="V51" s="131"/>
      <c r="W51" s="131"/>
      <c r="X51" s="131"/>
      <c r="Y51" s="131"/>
    </row>
    <row r="52" spans="1:25">
      <c r="A52" s="142"/>
      <c r="B52" s="11" t="s">
        <v>66</v>
      </c>
      <c r="C52" s="29"/>
      <c r="D52" s="10"/>
      <c r="E52" s="36"/>
      <c r="F52" s="37"/>
      <c r="G52" s="37"/>
      <c r="H52" s="3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5" ht="38.25" customHeight="1">
      <c r="A53" s="142" t="s">
        <v>202</v>
      </c>
      <c r="B53" s="10" t="s">
        <v>168</v>
      </c>
      <c r="C53" s="29" t="s">
        <v>13</v>
      </c>
      <c r="D53" s="10" t="s">
        <v>67</v>
      </c>
      <c r="E53" s="36">
        <v>63.07</v>
      </c>
      <c r="F53" s="37">
        <f>SUM(E53*6/100)</f>
        <v>3.7842000000000002</v>
      </c>
      <c r="G53" s="55">
        <v>1759.9</v>
      </c>
      <c r="H53" s="38">
        <f>SUM(F53*G53/1000)</f>
        <v>6.6598135800000007</v>
      </c>
      <c r="I53" s="39">
        <f>F53/6*G53</f>
        <v>1109.9689300000002</v>
      </c>
      <c r="J53" s="39">
        <f>F53/6*G53</f>
        <v>1109.9689300000002</v>
      </c>
      <c r="K53" s="39">
        <f>F53/6*G53</f>
        <v>1109.9689300000002</v>
      </c>
      <c r="L53" s="39">
        <f>F53/6*G53</f>
        <v>1109.9689300000002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f>F53/6*G53</f>
        <v>1109.9689300000002</v>
      </c>
      <c r="T53" s="39">
        <f>F53/6*G53</f>
        <v>1109.9689300000002</v>
      </c>
      <c r="U53" s="39">
        <f>SUM(I53:T53)</f>
        <v>6659.8135800000009</v>
      </c>
    </row>
    <row r="54" spans="1:25" ht="12.75" customHeight="1">
      <c r="A54" s="145"/>
      <c r="B54" s="24" t="s">
        <v>68</v>
      </c>
      <c r="C54" s="61"/>
      <c r="D54" s="23"/>
      <c r="E54" s="62"/>
      <c r="F54" s="63"/>
      <c r="G54" s="55"/>
      <c r="H54" s="64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5" ht="12.75" customHeight="1">
      <c r="A55" s="145" t="s">
        <v>203</v>
      </c>
      <c r="B55" s="23" t="s">
        <v>116</v>
      </c>
      <c r="C55" s="61" t="s">
        <v>24</v>
      </c>
      <c r="D55" s="23" t="s">
        <v>34</v>
      </c>
      <c r="E55" s="62">
        <v>614.29999999999995</v>
      </c>
      <c r="F55" s="63">
        <v>6.1429999999999998</v>
      </c>
      <c r="G55" s="55">
        <v>902.66</v>
      </c>
      <c r="H55" s="64">
        <f>F55*G55/1000</f>
        <v>5.5450403799999997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f>SUM(I55:T55)</f>
        <v>0</v>
      </c>
    </row>
    <row r="56" spans="1:25" ht="12.75" customHeight="1">
      <c r="A56" s="145"/>
      <c r="B56" s="23" t="s">
        <v>111</v>
      </c>
      <c r="C56" s="61" t="s">
        <v>69</v>
      </c>
      <c r="D56" s="23" t="s">
        <v>109</v>
      </c>
      <c r="E56" s="62">
        <v>100</v>
      </c>
      <c r="F56" s="65">
        <f>E56*12</f>
        <v>1200</v>
      </c>
      <c r="G56" s="66">
        <v>2.83</v>
      </c>
      <c r="H56" s="63">
        <f>F56*G56/1000</f>
        <v>3.3959999999999999</v>
      </c>
      <c r="I56" s="39">
        <f>F56/12*G56</f>
        <v>283</v>
      </c>
      <c r="J56" s="39">
        <f>F56/12*G56</f>
        <v>283</v>
      </c>
      <c r="K56" s="39">
        <f>F56/12*G56</f>
        <v>283</v>
      </c>
      <c r="L56" s="39">
        <f>F56/12*G56</f>
        <v>283</v>
      </c>
      <c r="M56" s="39">
        <f>F56/12*G56</f>
        <v>283</v>
      </c>
      <c r="N56" s="39">
        <f>F56/12*G56</f>
        <v>283</v>
      </c>
      <c r="O56" s="39">
        <f>F56/12*G56</f>
        <v>283</v>
      </c>
      <c r="P56" s="39">
        <f>F56/12*G56</f>
        <v>283</v>
      </c>
      <c r="Q56" s="39">
        <f>F56/12*G56</f>
        <v>283</v>
      </c>
      <c r="R56" s="39">
        <f>F56/12*G56</f>
        <v>283</v>
      </c>
      <c r="S56" s="39">
        <f>F56/12*G56</f>
        <v>283</v>
      </c>
      <c r="T56" s="39">
        <f>F56/12*G56</f>
        <v>283</v>
      </c>
      <c r="U56" s="39">
        <f>SUM(I56:T56)</f>
        <v>3396</v>
      </c>
    </row>
    <row r="57" spans="1:25">
      <c r="A57" s="145"/>
      <c r="B57" s="14" t="s">
        <v>71</v>
      </c>
      <c r="C57" s="61"/>
      <c r="D57" s="23"/>
      <c r="E57" s="62"/>
      <c r="F57" s="65"/>
      <c r="G57" s="65"/>
      <c r="H57" s="63" t="s">
        <v>45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5" ht="12.75" customHeight="1">
      <c r="A58" s="67" t="s">
        <v>204</v>
      </c>
      <c r="B58" s="15" t="s">
        <v>72</v>
      </c>
      <c r="C58" s="67" t="s">
        <v>63</v>
      </c>
      <c r="D58" s="8" t="s">
        <v>41</v>
      </c>
      <c r="E58" s="68">
        <v>25</v>
      </c>
      <c r="F58" s="37">
        <v>25</v>
      </c>
      <c r="G58" s="55">
        <v>252.96</v>
      </c>
      <c r="H58" s="69">
        <f t="shared" ref="H58:H72" si="10">SUM(F58*G58/1000)</f>
        <v>6.3239999999999998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f>G58*2</f>
        <v>505.92</v>
      </c>
      <c r="R58" s="39">
        <f>G58</f>
        <v>252.96</v>
      </c>
      <c r="S58" s="39">
        <v>0</v>
      </c>
      <c r="T58" s="39">
        <v>0</v>
      </c>
      <c r="U58" s="39">
        <f>SUM(I58:T58)</f>
        <v>758.88</v>
      </c>
    </row>
    <row r="59" spans="1:25" ht="12.75" customHeight="1">
      <c r="A59" s="67" t="s">
        <v>205</v>
      </c>
      <c r="B59" s="15" t="s">
        <v>73</v>
      </c>
      <c r="C59" s="67" t="s">
        <v>63</v>
      </c>
      <c r="D59" s="8" t="s">
        <v>41</v>
      </c>
      <c r="E59" s="68">
        <v>2</v>
      </c>
      <c r="F59" s="37">
        <v>2</v>
      </c>
      <c r="G59" s="55">
        <v>86.74</v>
      </c>
      <c r="H59" s="69">
        <f t="shared" si="10"/>
        <v>0.17348</v>
      </c>
      <c r="I59" s="39">
        <v>0</v>
      </c>
      <c r="J59" s="39">
        <f>G59</f>
        <v>86.74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f t="shared" ref="U59:U65" si="11">SUM(I59:T59)</f>
        <v>86.74</v>
      </c>
    </row>
    <row r="60" spans="1:25" s="1" customFormat="1">
      <c r="A60" s="70" t="s">
        <v>206</v>
      </c>
      <c r="B60" s="15" t="s">
        <v>74</v>
      </c>
      <c r="C60" s="70" t="s">
        <v>75</v>
      </c>
      <c r="D60" s="8" t="s">
        <v>34</v>
      </c>
      <c r="E60" s="36">
        <v>8692</v>
      </c>
      <c r="F60" s="56">
        <f>SUM(E60/100)</f>
        <v>86.92</v>
      </c>
      <c r="G60" s="55">
        <v>241.31</v>
      </c>
      <c r="H60" s="69">
        <f t="shared" si="10"/>
        <v>20.9746652</v>
      </c>
      <c r="I60" s="54">
        <v>0</v>
      </c>
      <c r="J60" s="54">
        <v>0</v>
      </c>
      <c r="K60" s="54">
        <v>0</v>
      </c>
      <c r="L60" s="54">
        <v>0</v>
      </c>
      <c r="M60" s="54">
        <f>F60*G60</f>
        <v>20974.665199999999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39">
        <f t="shared" si="11"/>
        <v>20974.665199999999</v>
      </c>
      <c r="V60" s="131"/>
      <c r="W60" s="131"/>
      <c r="X60" s="131"/>
      <c r="Y60" s="131"/>
    </row>
    <row r="61" spans="1:25" ht="12.75" customHeight="1">
      <c r="A61" s="67" t="s">
        <v>207</v>
      </c>
      <c r="B61" s="15" t="s">
        <v>76</v>
      </c>
      <c r="C61" s="67" t="s">
        <v>77</v>
      </c>
      <c r="D61" s="8"/>
      <c r="E61" s="36">
        <v>8692</v>
      </c>
      <c r="F61" s="55">
        <f>SUM(E61/1000)</f>
        <v>8.6920000000000002</v>
      </c>
      <c r="G61" s="55">
        <v>187.91</v>
      </c>
      <c r="H61" s="69">
        <f t="shared" si="10"/>
        <v>1.6333137200000001</v>
      </c>
      <c r="I61" s="39">
        <v>0</v>
      </c>
      <c r="J61" s="39">
        <v>0</v>
      </c>
      <c r="K61" s="39">
        <v>0</v>
      </c>
      <c r="L61" s="39">
        <v>0</v>
      </c>
      <c r="M61" s="39">
        <f>F61*G61</f>
        <v>1633.3137200000001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f t="shared" si="11"/>
        <v>1633.3137200000001</v>
      </c>
    </row>
    <row r="62" spans="1:25">
      <c r="A62" s="67" t="s">
        <v>208</v>
      </c>
      <c r="B62" s="15" t="s">
        <v>78</v>
      </c>
      <c r="C62" s="67" t="s">
        <v>79</v>
      </c>
      <c r="D62" s="8" t="s">
        <v>34</v>
      </c>
      <c r="E62" s="36">
        <v>855</v>
      </c>
      <c r="F62" s="55">
        <f>SUM(E62/100)</f>
        <v>8.5500000000000007</v>
      </c>
      <c r="G62" s="55">
        <v>2359.7199999999998</v>
      </c>
      <c r="H62" s="69">
        <f t="shared" si="10"/>
        <v>20.175605999999998</v>
      </c>
      <c r="I62" s="39">
        <v>0</v>
      </c>
      <c r="J62" s="39">
        <v>0</v>
      </c>
      <c r="K62" s="39">
        <v>0</v>
      </c>
      <c r="L62" s="39">
        <v>0</v>
      </c>
      <c r="M62" s="39">
        <f>F62*G62</f>
        <v>20175.606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f t="shared" si="11"/>
        <v>20175.606</v>
      </c>
    </row>
    <row r="63" spans="1:25">
      <c r="A63" s="67"/>
      <c r="B63" s="16" t="s">
        <v>101</v>
      </c>
      <c r="C63" s="67" t="s">
        <v>39</v>
      </c>
      <c r="D63" s="8"/>
      <c r="E63" s="36">
        <v>8.6</v>
      </c>
      <c r="F63" s="55">
        <f>SUM(E63)</f>
        <v>8.6</v>
      </c>
      <c r="G63" s="55">
        <v>42.67</v>
      </c>
      <c r="H63" s="69">
        <f t="shared" si="10"/>
        <v>0.36696200000000001</v>
      </c>
      <c r="I63" s="39">
        <v>0</v>
      </c>
      <c r="J63" s="39">
        <v>0</v>
      </c>
      <c r="K63" s="39">
        <v>0</v>
      </c>
      <c r="L63" s="39">
        <v>0</v>
      </c>
      <c r="M63" s="39">
        <f>F63*G63</f>
        <v>366.96199999999999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f t="shared" si="11"/>
        <v>366.96199999999999</v>
      </c>
    </row>
    <row r="64" spans="1:25" ht="12.75" customHeight="1">
      <c r="A64" s="146"/>
      <c r="B64" s="16" t="s">
        <v>102</v>
      </c>
      <c r="C64" s="67" t="s">
        <v>39</v>
      </c>
      <c r="D64" s="8"/>
      <c r="E64" s="36">
        <v>8.6</v>
      </c>
      <c r="F64" s="55">
        <f>SUM(E64)</f>
        <v>8.6</v>
      </c>
      <c r="G64" s="55">
        <v>39.81</v>
      </c>
      <c r="H64" s="69">
        <f t="shared" si="10"/>
        <v>0.342366</v>
      </c>
      <c r="I64" s="39">
        <v>0</v>
      </c>
      <c r="J64" s="39">
        <v>0</v>
      </c>
      <c r="K64" s="39">
        <v>0</v>
      </c>
      <c r="L64" s="39">
        <v>0</v>
      </c>
      <c r="M64" s="39">
        <f>F64*G64</f>
        <v>342.36599999999999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f t="shared" si="11"/>
        <v>342.36599999999999</v>
      </c>
    </row>
    <row r="65" spans="1:25">
      <c r="A65" s="67" t="s">
        <v>209</v>
      </c>
      <c r="B65" s="8" t="s">
        <v>80</v>
      </c>
      <c r="C65" s="67" t="s">
        <v>81</v>
      </c>
      <c r="D65" s="8" t="s">
        <v>34</v>
      </c>
      <c r="E65" s="68">
        <v>5</v>
      </c>
      <c r="F65" s="37">
        <v>5</v>
      </c>
      <c r="G65" s="55">
        <v>56.74</v>
      </c>
      <c r="H65" s="69">
        <f t="shared" si="10"/>
        <v>0.28370000000000001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f>F65*G65</f>
        <v>283.7</v>
      </c>
      <c r="R65" s="39">
        <v>0</v>
      </c>
      <c r="S65" s="39">
        <v>0</v>
      </c>
      <c r="T65" s="39">
        <v>0</v>
      </c>
      <c r="U65" s="39">
        <f t="shared" si="11"/>
        <v>283.7</v>
      </c>
    </row>
    <row r="66" spans="1:25">
      <c r="A66" s="146"/>
      <c r="B66" s="155" t="s">
        <v>82</v>
      </c>
      <c r="C66" s="67"/>
      <c r="D66" s="8"/>
      <c r="E66" s="68"/>
      <c r="F66" s="55"/>
      <c r="G66" s="55"/>
      <c r="H66" s="69" t="s">
        <v>45</v>
      </c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5">
      <c r="A67" s="156" t="s">
        <v>248</v>
      </c>
      <c r="B67" s="8" t="s">
        <v>249</v>
      </c>
      <c r="C67" s="67" t="s">
        <v>138</v>
      </c>
      <c r="D67" s="8"/>
      <c r="E67" s="68">
        <v>4</v>
      </c>
      <c r="F67" s="55">
        <f>E67</f>
        <v>4</v>
      </c>
      <c r="G67" s="55">
        <v>113.57</v>
      </c>
      <c r="H67" s="69">
        <f t="shared" si="10"/>
        <v>0.45427999999999996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f>SUM(I67:T67)</f>
        <v>0</v>
      </c>
    </row>
    <row r="68" spans="1:25">
      <c r="A68" s="67" t="s">
        <v>210</v>
      </c>
      <c r="B68" s="8" t="s">
        <v>83</v>
      </c>
      <c r="C68" s="67" t="s">
        <v>84</v>
      </c>
      <c r="D68" s="8"/>
      <c r="E68" s="68">
        <v>20</v>
      </c>
      <c r="F68" s="55">
        <v>2</v>
      </c>
      <c r="G68" s="55">
        <v>570.54</v>
      </c>
      <c r="H68" s="69">
        <f t="shared" si="10"/>
        <v>1.1410799999999999</v>
      </c>
      <c r="I68" s="39">
        <f>G68*1.9</f>
        <v>1084.0259999999998</v>
      </c>
      <c r="J68" s="39">
        <f>G68*2.2</f>
        <v>1255.1880000000001</v>
      </c>
      <c r="K68" s="39">
        <f>G68*3.1</f>
        <v>1768.674</v>
      </c>
      <c r="L68" s="39">
        <f>G68*1</f>
        <v>570.54</v>
      </c>
      <c r="M68" s="39">
        <f>G68*2.3</f>
        <v>1312.2419999999997</v>
      </c>
      <c r="N68" s="39">
        <f>G68*5.4</f>
        <v>3080.9160000000002</v>
      </c>
      <c r="O68" s="39">
        <f>G68*2.2</f>
        <v>1255.1880000000001</v>
      </c>
      <c r="P68" s="39">
        <f>G68*0.7</f>
        <v>399.37799999999993</v>
      </c>
      <c r="Q68" s="39">
        <f>G68*2.8</f>
        <v>1597.5119999999997</v>
      </c>
      <c r="R68" s="39">
        <f>G68*1.8</f>
        <v>1026.972</v>
      </c>
      <c r="S68" s="39">
        <f>G68*1.2</f>
        <v>684.64799999999991</v>
      </c>
      <c r="T68" s="39">
        <f>G68*2.6</f>
        <v>1483.404</v>
      </c>
      <c r="U68" s="39">
        <f>SUM(I68:T68)</f>
        <v>15518.688</v>
      </c>
    </row>
    <row r="69" spans="1:25">
      <c r="A69" s="67" t="s">
        <v>211</v>
      </c>
      <c r="B69" s="8" t="s">
        <v>103</v>
      </c>
      <c r="C69" s="67" t="s">
        <v>36</v>
      </c>
      <c r="D69" s="8"/>
      <c r="E69" s="68">
        <v>2</v>
      </c>
      <c r="F69" s="66">
        <v>2</v>
      </c>
      <c r="G69" s="55">
        <v>970.21</v>
      </c>
      <c r="H69" s="69">
        <f>F69*G69/1000</f>
        <v>1.94042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f t="shared" ref="U69:U70" si="12">SUM(I69:T69)</f>
        <v>0</v>
      </c>
    </row>
    <row r="70" spans="1:25">
      <c r="A70" s="67" t="s">
        <v>212</v>
      </c>
      <c r="B70" s="8" t="s">
        <v>105</v>
      </c>
      <c r="C70" s="67" t="s">
        <v>36</v>
      </c>
      <c r="D70" s="8"/>
      <c r="E70" s="68">
        <v>2</v>
      </c>
      <c r="F70" s="55">
        <v>2</v>
      </c>
      <c r="G70" s="55">
        <v>407.79</v>
      </c>
      <c r="H70" s="69">
        <f>G70*F70/1000</f>
        <v>0.81558000000000008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f>G70</f>
        <v>407.79</v>
      </c>
      <c r="T70" s="39">
        <v>0</v>
      </c>
      <c r="U70" s="39">
        <f t="shared" si="12"/>
        <v>407.79</v>
      </c>
    </row>
    <row r="71" spans="1:25">
      <c r="A71" s="146"/>
      <c r="B71" s="72" t="s">
        <v>85</v>
      </c>
      <c r="C71" s="67"/>
      <c r="D71" s="8"/>
      <c r="E71" s="68"/>
      <c r="F71" s="55"/>
      <c r="G71" s="55" t="s">
        <v>45</v>
      </c>
      <c r="H71" s="69" t="s">
        <v>45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5" s="1" customFormat="1">
      <c r="A72" s="70" t="s">
        <v>86</v>
      </c>
      <c r="B72" s="73" t="s">
        <v>87</v>
      </c>
      <c r="C72" s="70" t="s">
        <v>79</v>
      </c>
      <c r="D72" s="15"/>
      <c r="E72" s="74"/>
      <c r="F72" s="56">
        <v>1</v>
      </c>
      <c r="G72" s="56">
        <v>3138.63</v>
      </c>
      <c r="H72" s="69">
        <f t="shared" si="10"/>
        <v>3.13863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39">
        <f>SUM(I72:T72)</f>
        <v>0</v>
      </c>
      <c r="V72" s="131"/>
      <c r="W72" s="131"/>
      <c r="X72" s="131"/>
      <c r="Y72" s="131"/>
    </row>
    <row r="73" spans="1:25" s="20" customFormat="1">
      <c r="A73" s="147"/>
      <c r="B73" s="19" t="s">
        <v>27</v>
      </c>
      <c r="C73" s="75"/>
      <c r="D73" s="76"/>
      <c r="E73" s="77"/>
      <c r="F73" s="60"/>
      <c r="G73" s="60"/>
      <c r="H73" s="78">
        <f>SUM(H53:H72)</f>
        <v>73.364936880000002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>
        <f>SUM(U53:U72)</f>
        <v>70604.524499999985</v>
      </c>
      <c r="V73" s="131"/>
      <c r="W73" s="131"/>
      <c r="X73" s="131"/>
      <c r="Y73" s="131"/>
    </row>
    <row r="74" spans="1:25">
      <c r="A74" s="148" t="s">
        <v>133</v>
      </c>
      <c r="B74" s="10" t="s">
        <v>134</v>
      </c>
      <c r="C74" s="80"/>
      <c r="D74" s="81"/>
      <c r="E74" s="128"/>
      <c r="F74" s="82">
        <v>1</v>
      </c>
      <c r="G74" s="83">
        <v>19285</v>
      </c>
      <c r="H74" s="69">
        <f>G74*F74/1000</f>
        <v>19.285</v>
      </c>
      <c r="I74" s="39">
        <v>0</v>
      </c>
      <c r="J74" s="39">
        <v>0</v>
      </c>
      <c r="K74" s="39">
        <v>0</v>
      </c>
      <c r="L74" s="39">
        <v>0</v>
      </c>
      <c r="M74" s="40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f>G74</f>
        <v>19285</v>
      </c>
      <c r="U74" s="39">
        <f>SUM(I74:T74)</f>
        <v>19285</v>
      </c>
    </row>
    <row r="75" spans="1:25" ht="12.75" customHeight="1">
      <c r="A75" s="67"/>
      <c r="B75" s="79" t="s">
        <v>88</v>
      </c>
      <c r="C75" s="67" t="s">
        <v>89</v>
      </c>
      <c r="D75" s="84"/>
      <c r="E75" s="55">
        <v>2177.1</v>
      </c>
      <c r="F75" s="55">
        <f>SUM(E75*12)</f>
        <v>26125.199999999997</v>
      </c>
      <c r="G75" s="85">
        <v>2.7</v>
      </c>
      <c r="H75" s="69">
        <f>SUM(F75*G75/1000)</f>
        <v>70.538039999999995</v>
      </c>
      <c r="I75" s="39">
        <f>F75/12*G75</f>
        <v>5878.17</v>
      </c>
      <c r="J75" s="39">
        <f>F75/12*G75</f>
        <v>5878.17</v>
      </c>
      <c r="K75" s="39">
        <f>F75/12*G75</f>
        <v>5878.17</v>
      </c>
      <c r="L75" s="39">
        <f>F75/12*G75</f>
        <v>5878.17</v>
      </c>
      <c r="M75" s="39">
        <f>F75/12*G75</f>
        <v>5878.17</v>
      </c>
      <c r="N75" s="39">
        <f>F75/12*G75</f>
        <v>5878.17</v>
      </c>
      <c r="O75" s="39">
        <f>F75/12*G75</f>
        <v>5878.17</v>
      </c>
      <c r="P75" s="39">
        <f>F75/12*G75</f>
        <v>5878.17</v>
      </c>
      <c r="Q75" s="39">
        <f>F75/12*G75</f>
        <v>5878.17</v>
      </c>
      <c r="R75" s="39">
        <f>F75/12*G75</f>
        <v>5878.17</v>
      </c>
      <c r="S75" s="39">
        <f>F75/12*G75</f>
        <v>5878.17</v>
      </c>
      <c r="T75" s="39">
        <f>F75/12*G75</f>
        <v>5878.17</v>
      </c>
      <c r="U75" s="39">
        <f>SUM(I75:T75)</f>
        <v>70538.039999999994</v>
      </c>
    </row>
    <row r="76" spans="1:25" s="18" customFormat="1">
      <c r="A76" s="86"/>
      <c r="B76" s="19" t="s">
        <v>27</v>
      </c>
      <c r="C76" s="87"/>
      <c r="D76" s="88"/>
      <c r="E76" s="89"/>
      <c r="F76" s="46"/>
      <c r="G76" s="90"/>
      <c r="H76" s="47">
        <f>SUM(H74:H75)</f>
        <v>89.823039999999992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>
        <f>SUM(U74:U75)</f>
        <v>89823.039999999994</v>
      </c>
      <c r="V76" s="131"/>
      <c r="W76" s="131"/>
      <c r="X76" s="131"/>
      <c r="Y76" s="131"/>
    </row>
    <row r="77" spans="1:25" ht="25.5" customHeight="1">
      <c r="A77" s="146"/>
      <c r="B77" s="8" t="s">
        <v>90</v>
      </c>
      <c r="C77" s="67"/>
      <c r="D77" s="91"/>
      <c r="E77" s="36">
        <f>E75</f>
        <v>2177.1</v>
      </c>
      <c r="F77" s="55">
        <f>E77*12</f>
        <v>26125.199999999997</v>
      </c>
      <c r="G77" s="55">
        <v>2.1800000000000002</v>
      </c>
      <c r="H77" s="69">
        <f>F77*G77/1000</f>
        <v>56.952935999999994</v>
      </c>
      <c r="I77" s="39">
        <f>F77/12*G77</f>
        <v>4746.0780000000004</v>
      </c>
      <c r="J77" s="39">
        <f>F77/12*G77</f>
        <v>4746.0780000000004</v>
      </c>
      <c r="K77" s="39">
        <f>F77/12*G77</f>
        <v>4746.0780000000004</v>
      </c>
      <c r="L77" s="39">
        <f>F77/12*G77</f>
        <v>4746.0780000000004</v>
      </c>
      <c r="M77" s="39">
        <f>F77/12*G77</f>
        <v>4746.0780000000004</v>
      </c>
      <c r="N77" s="39">
        <f>F77/12*G77</f>
        <v>4746.0780000000004</v>
      </c>
      <c r="O77" s="39">
        <f>F77/12*G77</f>
        <v>4746.0780000000004</v>
      </c>
      <c r="P77" s="39">
        <f>F77/12*G77</f>
        <v>4746.0780000000004</v>
      </c>
      <c r="Q77" s="39">
        <f>F77/12*G77</f>
        <v>4746.0780000000004</v>
      </c>
      <c r="R77" s="39">
        <f>F77/12*G77</f>
        <v>4746.0780000000004</v>
      </c>
      <c r="S77" s="39">
        <f>F77/12*G77</f>
        <v>4746.0780000000004</v>
      </c>
      <c r="T77" s="39">
        <f>F77/12*G77</f>
        <v>4746.0780000000004</v>
      </c>
      <c r="U77" s="39">
        <f>SUM(I77:T77)</f>
        <v>56952.936000000009</v>
      </c>
    </row>
    <row r="78" spans="1:25" s="18" customFormat="1">
      <c r="A78" s="86"/>
      <c r="B78" s="92" t="s">
        <v>91</v>
      </c>
      <c r="C78" s="93"/>
      <c r="D78" s="92"/>
      <c r="E78" s="46"/>
      <c r="F78" s="46"/>
      <c r="G78" s="46"/>
      <c r="H78" s="78">
        <f>H77</f>
        <v>56.952935999999994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123">
        <f>U77</f>
        <v>56952.936000000009</v>
      </c>
      <c r="V78" s="131"/>
      <c r="W78" s="131"/>
      <c r="X78" s="131"/>
      <c r="Y78" s="131"/>
    </row>
    <row r="79" spans="1:25" s="18" customFormat="1">
      <c r="A79" s="86"/>
      <c r="B79" s="92" t="s">
        <v>92</v>
      </c>
      <c r="C79" s="94"/>
      <c r="D79" s="95"/>
      <c r="E79" s="96"/>
      <c r="F79" s="96"/>
      <c r="G79" s="96"/>
      <c r="H79" s="78">
        <f>SUM(H78+H76+H73+H51+H40+H31+H20)</f>
        <v>670.47774005276665</v>
      </c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123">
        <f>SUM(U78+U76+U73+U51+U40+U31+U20)</f>
        <v>651105.03167276666</v>
      </c>
      <c r="V79" s="131"/>
      <c r="W79" s="131"/>
      <c r="X79" s="131"/>
      <c r="Y79" s="131"/>
    </row>
    <row r="80" spans="1:25">
      <c r="A80" s="146"/>
      <c r="B80" s="91" t="s">
        <v>93</v>
      </c>
      <c r="C80" s="67"/>
      <c r="D80" s="91"/>
      <c r="E80" s="55"/>
      <c r="F80" s="55"/>
      <c r="G80" s="55" t="s">
        <v>94</v>
      </c>
      <c r="H80" s="97">
        <f>E77</f>
        <v>2177.1</v>
      </c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5" s="18" customFormat="1">
      <c r="A81" s="86"/>
      <c r="B81" s="95" t="s">
        <v>95</v>
      </c>
      <c r="C81" s="94"/>
      <c r="D81" s="95"/>
      <c r="E81" s="96"/>
      <c r="F81" s="96"/>
      <c r="G81" s="96"/>
      <c r="H81" s="98">
        <f>SUM(H79/H80/12*1000)</f>
        <v>25.664023243947096</v>
      </c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124"/>
      <c r="V81" s="131"/>
      <c r="W81" s="131"/>
      <c r="X81" s="131"/>
      <c r="Y81" s="131"/>
    </row>
    <row r="82" spans="1:25">
      <c r="A82" s="99"/>
      <c r="B82" s="91"/>
      <c r="C82" s="67"/>
      <c r="D82" s="91"/>
      <c r="E82" s="55"/>
      <c r="F82" s="55"/>
      <c r="G82" s="55"/>
      <c r="H82" s="100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125"/>
    </row>
    <row r="83" spans="1:25">
      <c r="A83" s="146"/>
      <c r="B83" s="72" t="s">
        <v>96</v>
      </c>
      <c r="C83" s="67"/>
      <c r="D83" s="91"/>
      <c r="E83" s="55"/>
      <c r="F83" s="55"/>
      <c r="G83" s="55"/>
      <c r="H83" s="55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5">
      <c r="A84" s="129" t="s">
        <v>213</v>
      </c>
      <c r="B84" s="130" t="s">
        <v>147</v>
      </c>
      <c r="C84" s="26" t="s">
        <v>63</v>
      </c>
      <c r="D84" s="91"/>
      <c r="E84" s="55"/>
      <c r="F84" s="55">
        <v>2</v>
      </c>
      <c r="G84" s="55">
        <v>295.58999999999997</v>
      </c>
      <c r="H84" s="55">
        <f>SUM(F84*G84/1000)</f>
        <v>0.59117999999999993</v>
      </c>
      <c r="I84" s="101">
        <f>G84*2</f>
        <v>591.17999999999995</v>
      </c>
      <c r="J84" s="101">
        <v>0</v>
      </c>
      <c r="K84" s="101">
        <v>0</v>
      </c>
      <c r="L84" s="101">
        <v>0</v>
      </c>
      <c r="M84" s="101">
        <v>0</v>
      </c>
      <c r="N84" s="101">
        <v>0</v>
      </c>
      <c r="O84" s="101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39">
        <f>SUM(I84:T84)</f>
        <v>591.17999999999995</v>
      </c>
    </row>
    <row r="85" spans="1:25" ht="25.5">
      <c r="A85" s="132" t="s">
        <v>214</v>
      </c>
      <c r="B85" s="133" t="s">
        <v>117</v>
      </c>
      <c r="C85" s="25" t="s">
        <v>63</v>
      </c>
      <c r="D85" s="8"/>
      <c r="E85" s="68"/>
      <c r="F85" s="55">
        <v>15</v>
      </c>
      <c r="G85" s="55">
        <v>79.09</v>
      </c>
      <c r="H85" s="55">
        <f>SUM(F85*G85/1000)</f>
        <v>1.1863500000000002</v>
      </c>
      <c r="I85" s="101">
        <f>G85*3</f>
        <v>237.27</v>
      </c>
      <c r="J85" s="101">
        <v>0</v>
      </c>
      <c r="K85" s="101">
        <f>G85</f>
        <v>79.09</v>
      </c>
      <c r="L85" s="101">
        <v>0</v>
      </c>
      <c r="M85" s="101">
        <f>G85*3</f>
        <v>237.27</v>
      </c>
      <c r="N85" s="101">
        <v>0</v>
      </c>
      <c r="O85" s="101">
        <f>G85*3</f>
        <v>237.27</v>
      </c>
      <c r="P85" s="101">
        <v>0</v>
      </c>
      <c r="Q85" s="101">
        <f>G85</f>
        <v>79.09</v>
      </c>
      <c r="R85" s="101">
        <f>G85*3</f>
        <v>237.27</v>
      </c>
      <c r="S85" s="101">
        <v>0</v>
      </c>
      <c r="T85" s="101">
        <f>G85</f>
        <v>79.09</v>
      </c>
      <c r="U85" s="39">
        <f t="shared" ref="U85:U113" si="13">SUM(I85:T85)</f>
        <v>1186.3499999999999</v>
      </c>
    </row>
    <row r="86" spans="1:25">
      <c r="A86" s="134" t="s">
        <v>215</v>
      </c>
      <c r="B86" s="133" t="s">
        <v>140</v>
      </c>
      <c r="C86" s="26" t="s">
        <v>139</v>
      </c>
      <c r="D86" s="91"/>
      <c r="E86" s="55"/>
      <c r="F86" s="55">
        <v>1</v>
      </c>
      <c r="G86" s="55">
        <v>18</v>
      </c>
      <c r="H86" s="69">
        <f t="shared" ref="H86:H95" si="14">G86*F86/1000</f>
        <v>1.7999999999999999E-2</v>
      </c>
      <c r="I86" s="101">
        <f>G86</f>
        <v>18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39">
        <f t="shared" si="13"/>
        <v>18</v>
      </c>
    </row>
    <row r="87" spans="1:25" ht="25.5">
      <c r="A87" s="132" t="s">
        <v>216</v>
      </c>
      <c r="B87" s="133" t="s">
        <v>130</v>
      </c>
      <c r="C87" s="25" t="s">
        <v>63</v>
      </c>
      <c r="D87" s="8"/>
      <c r="E87" s="68"/>
      <c r="F87" s="55">
        <v>1</v>
      </c>
      <c r="G87" s="55">
        <v>2179.33</v>
      </c>
      <c r="H87" s="55">
        <f t="shared" si="14"/>
        <v>2.1793299999999998</v>
      </c>
      <c r="I87" s="101">
        <f>G87</f>
        <v>2179.33</v>
      </c>
      <c r="J87" s="101">
        <v>0</v>
      </c>
      <c r="K87" s="101">
        <v>0</v>
      </c>
      <c r="L87" s="101">
        <v>0</v>
      </c>
      <c r="M87" s="101">
        <v>0</v>
      </c>
      <c r="N87" s="101">
        <v>0</v>
      </c>
      <c r="O87" s="101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39">
        <f t="shared" si="13"/>
        <v>2179.33</v>
      </c>
    </row>
    <row r="88" spans="1:25">
      <c r="A88" s="134" t="s">
        <v>217</v>
      </c>
      <c r="B88" s="133" t="s">
        <v>172</v>
      </c>
      <c r="C88" s="25" t="s">
        <v>135</v>
      </c>
      <c r="D88" s="91"/>
      <c r="E88" s="55"/>
      <c r="F88" s="55">
        <v>1</v>
      </c>
      <c r="G88" s="55">
        <v>185.81</v>
      </c>
      <c r="H88" s="69">
        <f t="shared" si="14"/>
        <v>0.18581</v>
      </c>
      <c r="I88" s="101">
        <v>0</v>
      </c>
      <c r="J88" s="101">
        <f>G88</f>
        <v>185.81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39">
        <f t="shared" si="13"/>
        <v>185.81</v>
      </c>
    </row>
    <row r="89" spans="1:25" ht="25.5">
      <c r="A89" s="129" t="s">
        <v>107</v>
      </c>
      <c r="B89" s="135" t="s">
        <v>156</v>
      </c>
      <c r="C89" s="136" t="s">
        <v>157</v>
      </c>
      <c r="D89" s="91"/>
      <c r="E89" s="55"/>
      <c r="F89" s="55">
        <v>1</v>
      </c>
      <c r="G89" s="55">
        <v>383.01</v>
      </c>
      <c r="H89" s="69">
        <f t="shared" si="14"/>
        <v>0.38301000000000002</v>
      </c>
      <c r="I89" s="101">
        <v>0</v>
      </c>
      <c r="J89" s="101">
        <v>0</v>
      </c>
      <c r="K89" s="101">
        <v>0</v>
      </c>
      <c r="L89" s="101">
        <f>G89</f>
        <v>383.01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39">
        <f t="shared" si="13"/>
        <v>383.01</v>
      </c>
    </row>
    <row r="90" spans="1:25" ht="25.5" customHeight="1">
      <c r="A90" s="27" t="s">
        <v>218</v>
      </c>
      <c r="B90" s="137" t="s">
        <v>159</v>
      </c>
      <c r="C90" s="27" t="s">
        <v>139</v>
      </c>
      <c r="D90" s="91"/>
      <c r="E90" s="55"/>
      <c r="F90" s="55">
        <v>3</v>
      </c>
      <c r="G90" s="55">
        <v>778.86</v>
      </c>
      <c r="H90" s="69">
        <f t="shared" si="14"/>
        <v>2.3365800000000001</v>
      </c>
      <c r="I90" s="101">
        <v>0</v>
      </c>
      <c r="J90" s="101">
        <v>0</v>
      </c>
      <c r="K90" s="101">
        <v>0</v>
      </c>
      <c r="L90" s="101">
        <f>G90*3</f>
        <v>2336.58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39">
        <f t="shared" si="13"/>
        <v>2336.58</v>
      </c>
    </row>
    <row r="91" spans="1:25">
      <c r="A91" s="26" t="s">
        <v>219</v>
      </c>
      <c r="B91" s="133" t="s">
        <v>158</v>
      </c>
      <c r="C91" s="27" t="s">
        <v>138</v>
      </c>
      <c r="D91" s="91"/>
      <c r="E91" s="55"/>
      <c r="F91" s="55">
        <v>1</v>
      </c>
      <c r="G91" s="55">
        <v>398.96</v>
      </c>
      <c r="H91" s="69">
        <f t="shared" si="14"/>
        <v>0.39895999999999998</v>
      </c>
      <c r="I91" s="101">
        <v>0</v>
      </c>
      <c r="J91" s="101">
        <v>0</v>
      </c>
      <c r="K91" s="101">
        <v>0</v>
      </c>
      <c r="L91" s="101">
        <f>G91</f>
        <v>398.96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39">
        <f t="shared" si="13"/>
        <v>398.96</v>
      </c>
    </row>
    <row r="92" spans="1:25" ht="25.5">
      <c r="A92" s="134" t="s">
        <v>220</v>
      </c>
      <c r="B92" s="133" t="s">
        <v>136</v>
      </c>
      <c r="C92" s="25" t="s">
        <v>63</v>
      </c>
      <c r="D92" s="91"/>
      <c r="E92" s="55"/>
      <c r="F92" s="55">
        <v>3</v>
      </c>
      <c r="G92" s="55">
        <v>180.15</v>
      </c>
      <c r="H92" s="69">
        <f t="shared" si="14"/>
        <v>0.5404500000000001</v>
      </c>
      <c r="I92" s="101">
        <v>0</v>
      </c>
      <c r="J92" s="101">
        <v>0</v>
      </c>
      <c r="K92" s="101">
        <v>0</v>
      </c>
      <c r="L92" s="101">
        <f>G92</f>
        <v>180.15</v>
      </c>
      <c r="M92" s="101">
        <v>0</v>
      </c>
      <c r="N92" s="101">
        <v>0</v>
      </c>
      <c r="O92" s="101">
        <f>G92</f>
        <v>180.15</v>
      </c>
      <c r="P92" s="101">
        <v>0</v>
      </c>
      <c r="Q92" s="101">
        <v>0</v>
      </c>
      <c r="R92" s="101">
        <f>G92</f>
        <v>180.15</v>
      </c>
      <c r="S92" s="101">
        <v>0</v>
      </c>
      <c r="T92" s="101">
        <v>0</v>
      </c>
      <c r="U92" s="39">
        <f t="shared" si="13"/>
        <v>540.45000000000005</v>
      </c>
    </row>
    <row r="93" spans="1:25" ht="25.5">
      <c r="A93" s="134" t="s">
        <v>200</v>
      </c>
      <c r="B93" s="133" t="s">
        <v>169</v>
      </c>
      <c r="C93" s="134" t="s">
        <v>60</v>
      </c>
      <c r="D93" s="91"/>
      <c r="E93" s="55"/>
      <c r="F93" s="55">
        <f>5/100</f>
        <v>0.05</v>
      </c>
      <c r="G93" s="55">
        <v>3397.65</v>
      </c>
      <c r="H93" s="69">
        <f t="shared" si="14"/>
        <v>0.16988250000000002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f>G93*0.01</f>
        <v>33.976500000000001</v>
      </c>
      <c r="O93" s="101">
        <f>G93*0.04</f>
        <v>135.90600000000001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39">
        <f t="shared" si="13"/>
        <v>169.88249999999999</v>
      </c>
    </row>
    <row r="94" spans="1:25">
      <c r="A94" s="26" t="s">
        <v>221</v>
      </c>
      <c r="B94" s="137" t="s">
        <v>131</v>
      </c>
      <c r="C94" s="27" t="s">
        <v>63</v>
      </c>
      <c r="D94" s="91"/>
      <c r="E94" s="55"/>
      <c r="F94" s="55">
        <v>3</v>
      </c>
      <c r="G94" s="150">
        <v>149.63999999999999</v>
      </c>
      <c r="H94" s="69">
        <f t="shared" si="14"/>
        <v>0.44891999999999999</v>
      </c>
      <c r="I94" s="101">
        <v>0</v>
      </c>
      <c r="J94" s="101">
        <v>0</v>
      </c>
      <c r="K94" s="101">
        <v>0</v>
      </c>
      <c r="L94" s="101">
        <v>0</v>
      </c>
      <c r="M94" s="101">
        <v>0</v>
      </c>
      <c r="N94" s="101">
        <f>G94*3</f>
        <v>448.91999999999996</v>
      </c>
      <c r="O94" s="101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39">
        <f t="shared" si="13"/>
        <v>448.91999999999996</v>
      </c>
    </row>
    <row r="95" spans="1:25" ht="25.5">
      <c r="A95" s="132" t="s">
        <v>238</v>
      </c>
      <c r="B95" s="133" t="s">
        <v>237</v>
      </c>
      <c r="C95" s="25" t="s">
        <v>63</v>
      </c>
      <c r="D95" s="8"/>
      <c r="E95" s="68"/>
      <c r="F95" s="55">
        <v>1</v>
      </c>
      <c r="G95" s="55">
        <v>178.79</v>
      </c>
      <c r="H95" s="69">
        <f t="shared" si="14"/>
        <v>0.17879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f>G95</f>
        <v>178.79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39">
        <f t="shared" si="13"/>
        <v>178.79</v>
      </c>
    </row>
    <row r="96" spans="1:25">
      <c r="A96" s="129" t="s">
        <v>222</v>
      </c>
      <c r="B96" s="130" t="s">
        <v>171</v>
      </c>
      <c r="C96" s="26" t="s">
        <v>84</v>
      </c>
      <c r="D96" s="8"/>
      <c r="E96" s="68"/>
      <c r="F96" s="55">
        <f>2/10</f>
        <v>0.2</v>
      </c>
      <c r="G96" s="55">
        <v>3800</v>
      </c>
      <c r="H96" s="69">
        <f t="shared" ref="H96:H102" si="15">G96*F96/1000</f>
        <v>0.76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f>G96*0.2</f>
        <v>760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39">
        <f t="shared" si="13"/>
        <v>760</v>
      </c>
    </row>
    <row r="97" spans="1:25">
      <c r="A97" s="151" t="s">
        <v>223</v>
      </c>
      <c r="B97" s="152" t="s">
        <v>170</v>
      </c>
      <c r="C97" s="134" t="s">
        <v>63</v>
      </c>
      <c r="D97" s="8"/>
      <c r="E97" s="68"/>
      <c r="F97" s="55">
        <v>3</v>
      </c>
      <c r="G97" s="55">
        <v>179.96</v>
      </c>
      <c r="H97" s="69">
        <f t="shared" si="15"/>
        <v>0.53988000000000003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f>G97*3</f>
        <v>539.88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39">
        <f t="shared" si="13"/>
        <v>539.88</v>
      </c>
    </row>
    <row r="98" spans="1:25">
      <c r="A98" s="153" t="s">
        <v>234</v>
      </c>
      <c r="B98" s="154" t="s">
        <v>235</v>
      </c>
      <c r="C98" s="153" t="s">
        <v>236</v>
      </c>
      <c r="D98" s="91"/>
      <c r="E98" s="55"/>
      <c r="F98" s="55">
        <f>18/3</f>
        <v>6</v>
      </c>
      <c r="G98" s="55">
        <v>1063.47</v>
      </c>
      <c r="H98" s="69">
        <f>G98*F98/1000</f>
        <v>6.3808199999999999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v>0</v>
      </c>
      <c r="P98" s="101">
        <f>G98*((3+3+3)/3)</f>
        <v>3190.41</v>
      </c>
      <c r="Q98" s="101">
        <f>G98</f>
        <v>1063.47</v>
      </c>
      <c r="R98" s="101">
        <f>G98</f>
        <v>1063.47</v>
      </c>
      <c r="S98" s="101">
        <v>0</v>
      </c>
      <c r="T98" s="101">
        <f>G98</f>
        <v>1063.47</v>
      </c>
      <c r="U98" s="39">
        <f>SUM(I98:T98)</f>
        <v>6380.8200000000006</v>
      </c>
    </row>
    <row r="99" spans="1:25">
      <c r="A99" s="27" t="s">
        <v>173</v>
      </c>
      <c r="B99" s="137" t="s">
        <v>174</v>
      </c>
      <c r="C99" s="27" t="s">
        <v>135</v>
      </c>
      <c r="D99" s="8"/>
      <c r="E99" s="68"/>
      <c r="F99" s="55">
        <v>1</v>
      </c>
      <c r="G99" s="55">
        <v>225.27</v>
      </c>
      <c r="H99" s="69">
        <f t="shared" si="15"/>
        <v>0.22527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f>G99</f>
        <v>225.27</v>
      </c>
      <c r="Q99" s="101">
        <v>0</v>
      </c>
      <c r="R99" s="101">
        <v>0</v>
      </c>
      <c r="S99" s="101">
        <v>0</v>
      </c>
      <c r="T99" s="101">
        <v>0</v>
      </c>
      <c r="U99" s="39">
        <f t="shared" si="13"/>
        <v>225.27</v>
      </c>
    </row>
    <row r="100" spans="1:25" ht="25.5">
      <c r="A100" s="27" t="s">
        <v>226</v>
      </c>
      <c r="B100" s="133" t="s">
        <v>224</v>
      </c>
      <c r="C100" s="27" t="s">
        <v>225</v>
      </c>
      <c r="D100" s="8"/>
      <c r="E100" s="68"/>
      <c r="F100" s="55">
        <v>1</v>
      </c>
      <c r="G100" s="55">
        <v>629.39</v>
      </c>
      <c r="H100" s="69">
        <f>G100*F100/1000</f>
        <v>0.62939000000000001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f>G100</f>
        <v>629.39</v>
      </c>
      <c r="R100" s="101">
        <v>0</v>
      </c>
      <c r="S100" s="101">
        <v>0</v>
      </c>
      <c r="T100" s="101">
        <v>0</v>
      </c>
      <c r="U100" s="39">
        <f>SUM(I100:T100)</f>
        <v>629.39</v>
      </c>
    </row>
    <row r="101" spans="1:25" ht="25.5">
      <c r="A101" s="27" t="s">
        <v>243</v>
      </c>
      <c r="B101" s="137" t="s">
        <v>242</v>
      </c>
      <c r="C101" s="27" t="s">
        <v>138</v>
      </c>
      <c r="D101" s="91"/>
      <c r="E101" s="55"/>
      <c r="F101" s="55">
        <v>1</v>
      </c>
      <c r="G101" s="55">
        <v>171.48</v>
      </c>
      <c r="H101" s="69">
        <f t="shared" si="15"/>
        <v>0.17147999999999999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f>G101</f>
        <v>171.48</v>
      </c>
      <c r="R101" s="101">
        <v>0</v>
      </c>
      <c r="S101" s="101">
        <v>0</v>
      </c>
      <c r="T101" s="101">
        <v>0</v>
      </c>
      <c r="U101" s="39">
        <f t="shared" si="13"/>
        <v>171.48</v>
      </c>
    </row>
    <row r="102" spans="1:25" ht="25.5">
      <c r="A102" s="132" t="s">
        <v>228</v>
      </c>
      <c r="B102" s="133" t="s">
        <v>137</v>
      </c>
      <c r="C102" s="25" t="s">
        <v>138</v>
      </c>
      <c r="D102" s="91"/>
      <c r="E102" s="55"/>
      <c r="F102" s="55">
        <v>4</v>
      </c>
      <c r="G102" s="55">
        <v>559.62</v>
      </c>
      <c r="H102" s="69">
        <f t="shared" si="15"/>
        <v>2.23848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f>G102</f>
        <v>559.62</v>
      </c>
      <c r="R102" s="101">
        <f>G102*3</f>
        <v>1678.8600000000001</v>
      </c>
      <c r="S102" s="101">
        <v>0</v>
      </c>
      <c r="T102" s="101">
        <v>0</v>
      </c>
      <c r="U102" s="39">
        <f t="shared" si="13"/>
        <v>2238.48</v>
      </c>
    </row>
    <row r="103" spans="1:25" ht="51">
      <c r="A103" s="27" t="s">
        <v>229</v>
      </c>
      <c r="B103" s="137" t="s">
        <v>148</v>
      </c>
      <c r="C103" s="27" t="s">
        <v>149</v>
      </c>
      <c r="D103" s="91"/>
      <c r="E103" s="55"/>
      <c r="F103" s="55">
        <f>40/10</f>
        <v>4</v>
      </c>
      <c r="G103" s="55">
        <v>2055.5300000000002</v>
      </c>
      <c r="H103" s="69">
        <f>G103*F103/1000</f>
        <v>8.2221200000000003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f>G103*F103</f>
        <v>8222.1200000000008</v>
      </c>
      <c r="R103" s="101">
        <v>0</v>
      </c>
      <c r="S103" s="101">
        <v>0</v>
      </c>
      <c r="T103" s="101">
        <v>0</v>
      </c>
      <c r="U103" s="39">
        <f t="shared" si="13"/>
        <v>8222.1200000000008</v>
      </c>
    </row>
    <row r="104" spans="1:25">
      <c r="A104" s="132" t="s">
        <v>107</v>
      </c>
      <c r="B104" s="133" t="s">
        <v>129</v>
      </c>
      <c r="C104" s="27" t="s">
        <v>108</v>
      </c>
      <c r="D104" s="91"/>
      <c r="E104" s="55"/>
      <c r="F104" s="55">
        <v>3.5</v>
      </c>
      <c r="G104" s="55">
        <v>1501</v>
      </c>
      <c r="H104" s="55">
        <f t="shared" ref="H104:H113" si="16">G104*F104/1000</f>
        <v>5.2534999999999998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f>G104*3</f>
        <v>4503</v>
      </c>
      <c r="R104" s="101">
        <v>0</v>
      </c>
      <c r="S104" s="101">
        <f>G104*0.5</f>
        <v>750.5</v>
      </c>
      <c r="T104" s="101">
        <v>0</v>
      </c>
      <c r="U104" s="39">
        <f t="shared" si="13"/>
        <v>5253.5</v>
      </c>
    </row>
    <row r="105" spans="1:25" ht="25.5">
      <c r="A105" s="134" t="s">
        <v>227</v>
      </c>
      <c r="B105" s="133" t="s">
        <v>230</v>
      </c>
      <c r="C105" s="25" t="s">
        <v>231</v>
      </c>
      <c r="D105" s="91"/>
      <c r="E105" s="55"/>
      <c r="F105" s="55">
        <v>8</v>
      </c>
      <c r="G105" s="55">
        <v>1187</v>
      </c>
      <c r="H105" s="55">
        <f t="shared" si="16"/>
        <v>9.4960000000000004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f>G105*8</f>
        <v>9496</v>
      </c>
      <c r="S105" s="101">
        <v>0</v>
      </c>
      <c r="T105" s="101">
        <v>0</v>
      </c>
      <c r="U105" s="39">
        <f t="shared" si="13"/>
        <v>9496</v>
      </c>
    </row>
    <row r="106" spans="1:25" ht="25.5">
      <c r="A106" s="134" t="s">
        <v>232</v>
      </c>
      <c r="B106" s="133" t="s">
        <v>145</v>
      </c>
      <c r="C106" s="25" t="s">
        <v>146</v>
      </c>
      <c r="D106" s="91"/>
      <c r="E106" s="55"/>
      <c r="F106" s="55">
        <v>2</v>
      </c>
      <c r="G106" s="55">
        <v>195.95</v>
      </c>
      <c r="H106" s="55">
        <f t="shared" si="16"/>
        <v>0.39189999999999997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f>G106*2</f>
        <v>391.9</v>
      </c>
      <c r="S106" s="101">
        <v>0</v>
      </c>
      <c r="T106" s="101">
        <v>0</v>
      </c>
      <c r="U106" s="39">
        <f t="shared" si="13"/>
        <v>391.9</v>
      </c>
    </row>
    <row r="107" spans="1:25" ht="38.25">
      <c r="A107" s="134" t="s">
        <v>233</v>
      </c>
      <c r="B107" s="133" t="s">
        <v>141</v>
      </c>
      <c r="C107" s="134" t="s">
        <v>142</v>
      </c>
      <c r="D107" s="91"/>
      <c r="E107" s="55"/>
      <c r="F107" s="55">
        <v>1</v>
      </c>
      <c r="G107" s="55">
        <v>51.39</v>
      </c>
      <c r="H107" s="69">
        <f t="shared" si="16"/>
        <v>5.1389999999999998E-2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f>G107</f>
        <v>51.39</v>
      </c>
      <c r="S107" s="101">
        <v>0</v>
      </c>
      <c r="T107" s="101">
        <v>0</v>
      </c>
      <c r="U107" s="39">
        <f t="shared" si="13"/>
        <v>51.39</v>
      </c>
    </row>
    <row r="108" spans="1:25" ht="25.5">
      <c r="A108" s="27" t="s">
        <v>252</v>
      </c>
      <c r="B108" s="133" t="s">
        <v>253</v>
      </c>
      <c r="C108" s="27" t="s">
        <v>225</v>
      </c>
      <c r="D108" s="8"/>
      <c r="E108" s="68"/>
      <c r="F108" s="55">
        <v>1</v>
      </c>
      <c r="G108" s="55">
        <v>574.22</v>
      </c>
      <c r="H108" s="69">
        <f>G108*F108/1000</f>
        <v>0.57422000000000006</v>
      </c>
      <c r="I108" s="101">
        <v>0</v>
      </c>
      <c r="J108" s="101">
        <v>0</v>
      </c>
      <c r="K108" s="101">
        <v>0</v>
      </c>
      <c r="L108" s="101">
        <v>0</v>
      </c>
      <c r="M108" s="101">
        <v>0</v>
      </c>
      <c r="N108" s="101">
        <v>0</v>
      </c>
      <c r="O108" s="101">
        <v>0</v>
      </c>
      <c r="P108" s="101">
        <v>0</v>
      </c>
      <c r="Q108" s="101">
        <v>0</v>
      </c>
      <c r="R108" s="101">
        <f>G108</f>
        <v>574.22</v>
      </c>
      <c r="S108" s="101">
        <v>0</v>
      </c>
      <c r="T108" s="101">
        <v>0</v>
      </c>
      <c r="U108" s="39">
        <f>SUM(I108:T108)</f>
        <v>574.22</v>
      </c>
    </row>
    <row r="109" spans="1:25" ht="25.5">
      <c r="A109" s="26" t="s">
        <v>216</v>
      </c>
      <c r="B109" s="137" t="s">
        <v>130</v>
      </c>
      <c r="C109" s="27" t="s">
        <v>63</v>
      </c>
      <c r="D109" s="91"/>
      <c r="E109" s="55"/>
      <c r="F109" s="55">
        <v>1</v>
      </c>
      <c r="G109" s="55">
        <v>2179.33</v>
      </c>
      <c r="H109" s="69">
        <f t="shared" si="16"/>
        <v>2.1793299999999998</v>
      </c>
      <c r="I109" s="101">
        <v>0</v>
      </c>
      <c r="J109" s="101">
        <v>0</v>
      </c>
      <c r="K109" s="101">
        <v>0</v>
      </c>
      <c r="L109" s="101">
        <v>0</v>
      </c>
      <c r="M109" s="101">
        <v>0</v>
      </c>
      <c r="N109" s="101">
        <v>0</v>
      </c>
      <c r="O109" s="101">
        <v>0</v>
      </c>
      <c r="P109" s="101">
        <v>0</v>
      </c>
      <c r="Q109" s="101">
        <v>0</v>
      </c>
      <c r="R109" s="101">
        <f>G109</f>
        <v>2179.33</v>
      </c>
      <c r="S109" s="101">
        <v>0</v>
      </c>
      <c r="T109" s="101">
        <v>0</v>
      </c>
      <c r="U109" s="39">
        <f t="shared" si="13"/>
        <v>2179.33</v>
      </c>
    </row>
    <row r="110" spans="1:25">
      <c r="A110" s="132" t="s">
        <v>107</v>
      </c>
      <c r="B110" s="133" t="s">
        <v>251</v>
      </c>
      <c r="C110" s="25" t="s">
        <v>69</v>
      </c>
      <c r="D110" s="91"/>
      <c r="E110" s="55"/>
      <c r="F110" s="55">
        <v>12</v>
      </c>
      <c r="G110" s="55">
        <v>2474</v>
      </c>
      <c r="H110" s="69">
        <f>G110*F110/1000</f>
        <v>29.687999999999999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f>G110*12</f>
        <v>29688</v>
      </c>
      <c r="S110" s="101">
        <v>0</v>
      </c>
      <c r="T110" s="101">
        <v>0</v>
      </c>
      <c r="U110" s="39">
        <f>SUM(I110:T110)</f>
        <v>29688</v>
      </c>
    </row>
    <row r="111" spans="1:25" ht="12.75" customHeight="1">
      <c r="A111" s="27" t="s">
        <v>241</v>
      </c>
      <c r="B111" s="137" t="s">
        <v>239</v>
      </c>
      <c r="C111" s="27" t="s">
        <v>240</v>
      </c>
      <c r="D111" s="91"/>
      <c r="E111" s="55"/>
      <c r="F111" s="55">
        <v>1</v>
      </c>
      <c r="G111" s="55">
        <v>92.24</v>
      </c>
      <c r="H111" s="69">
        <f t="shared" si="16"/>
        <v>9.2239999999999989E-2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f>G111</f>
        <v>92.24</v>
      </c>
      <c r="S111" s="101">
        <v>0</v>
      </c>
      <c r="T111" s="101">
        <v>0</v>
      </c>
      <c r="U111" s="39">
        <f t="shared" si="13"/>
        <v>92.24</v>
      </c>
      <c r="V111"/>
      <c r="W111"/>
      <c r="X111"/>
      <c r="Y111"/>
    </row>
    <row r="112" spans="1:25" ht="12.75" customHeight="1">
      <c r="A112" s="26" t="s">
        <v>221</v>
      </c>
      <c r="B112" s="137" t="s">
        <v>131</v>
      </c>
      <c r="C112" s="27" t="s">
        <v>63</v>
      </c>
      <c r="D112" s="91"/>
      <c r="E112" s="55"/>
      <c r="F112" s="55">
        <v>2</v>
      </c>
      <c r="G112" s="55">
        <v>149.63999999999999</v>
      </c>
      <c r="H112" s="69">
        <f t="shared" si="16"/>
        <v>0.29927999999999999</v>
      </c>
      <c r="I112" s="101">
        <v>0</v>
      </c>
      <c r="J112" s="101">
        <v>0</v>
      </c>
      <c r="K112" s="101">
        <v>0</v>
      </c>
      <c r="L112" s="101">
        <v>0</v>
      </c>
      <c r="M112" s="101">
        <v>0</v>
      </c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f>G112*2</f>
        <v>299.27999999999997</v>
      </c>
      <c r="T112" s="101">
        <v>0</v>
      </c>
      <c r="U112" s="39">
        <f t="shared" si="13"/>
        <v>299.27999999999997</v>
      </c>
      <c r="V112"/>
      <c r="W112"/>
      <c r="X112"/>
      <c r="Y112"/>
    </row>
    <row r="113" spans="1:25" ht="25.5" customHeight="1">
      <c r="A113" s="27" t="s">
        <v>245</v>
      </c>
      <c r="B113" s="137" t="s">
        <v>244</v>
      </c>
      <c r="C113" s="27" t="s">
        <v>240</v>
      </c>
      <c r="D113" s="91"/>
      <c r="E113" s="55"/>
      <c r="F113" s="55">
        <v>1</v>
      </c>
      <c r="G113" s="55">
        <v>113.52</v>
      </c>
      <c r="H113" s="69">
        <f t="shared" si="16"/>
        <v>0.11352</v>
      </c>
      <c r="I113" s="101">
        <v>0</v>
      </c>
      <c r="J113" s="101">
        <v>0</v>
      </c>
      <c r="K113" s="101">
        <v>0</v>
      </c>
      <c r="L113" s="101">
        <v>0</v>
      </c>
      <c r="M113" s="101">
        <v>0</v>
      </c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f>G113</f>
        <v>113.52</v>
      </c>
      <c r="U113" s="39">
        <f t="shared" si="13"/>
        <v>113.52</v>
      </c>
      <c r="V113"/>
      <c r="W113"/>
      <c r="X113"/>
      <c r="Y113"/>
    </row>
    <row r="114" spans="1:25" s="18" customFormat="1">
      <c r="A114" s="102"/>
      <c r="B114" s="103" t="s">
        <v>97</v>
      </c>
      <c r="C114" s="102"/>
      <c r="D114" s="102"/>
      <c r="E114" s="96"/>
      <c r="F114" s="96"/>
      <c r="G114" s="96"/>
      <c r="H114" s="47">
        <f>SUM(H84:H113)</f>
        <v>75.924082499999983</v>
      </c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46">
        <f>SUM(U84:U113)</f>
        <v>75924.082500000019</v>
      </c>
      <c r="V114" s="131"/>
      <c r="W114" s="131"/>
      <c r="X114" s="131"/>
      <c r="Y114" s="131"/>
    </row>
    <row r="115" spans="1:25">
      <c r="A115" s="99"/>
      <c r="B115" s="104"/>
      <c r="C115" s="105"/>
      <c r="D115" s="105"/>
      <c r="E115" s="55"/>
      <c r="F115" s="55"/>
      <c r="G115" s="55"/>
      <c r="H115" s="106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126"/>
    </row>
    <row r="116" spans="1:25" ht="12" customHeight="1">
      <c r="A116" s="146"/>
      <c r="B116" s="17" t="s">
        <v>98</v>
      </c>
      <c r="C116" s="67"/>
      <c r="D116" s="91"/>
      <c r="E116" s="55"/>
      <c r="F116" s="55"/>
      <c r="G116" s="55"/>
      <c r="H116" s="107">
        <f>H114/E117/12*1000</f>
        <v>1.6095158674637493</v>
      </c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126"/>
    </row>
    <row r="117" spans="1:25" s="18" customFormat="1">
      <c r="A117" s="86"/>
      <c r="B117" s="108" t="s">
        <v>99</v>
      </c>
      <c r="C117" s="109"/>
      <c r="D117" s="108"/>
      <c r="E117" s="149">
        <v>3931</v>
      </c>
      <c r="F117" s="110">
        <f>SUM(E117*12)</f>
        <v>47172</v>
      </c>
      <c r="G117" s="111">
        <f>H81+H116</f>
        <v>27.273539111410845</v>
      </c>
      <c r="H117" s="112">
        <f>SUM(F117*G117/1000)</f>
        <v>1286.5473869634725</v>
      </c>
      <c r="I117" s="96">
        <f t="shared" ref="I117:T117" si="17">SUM(I11:I116)</f>
        <v>58934.625972883339</v>
      </c>
      <c r="J117" s="96">
        <f t="shared" si="17"/>
        <v>43651.857972883336</v>
      </c>
      <c r="K117" s="96">
        <f t="shared" si="17"/>
        <v>42906.787765883331</v>
      </c>
      <c r="L117" s="96">
        <f t="shared" si="17"/>
        <v>59116.511998883347</v>
      </c>
      <c r="M117" s="96">
        <f t="shared" si="17"/>
        <v>105517.99628594443</v>
      </c>
      <c r="N117" s="96">
        <f t="shared" si="17"/>
        <v>45822.430870144432</v>
      </c>
      <c r="O117" s="96">
        <f t="shared" si="17"/>
        <v>45545.80237014444</v>
      </c>
      <c r="P117" s="96">
        <f t="shared" si="17"/>
        <v>58774.376370144433</v>
      </c>
      <c r="Q117" s="96">
        <f t="shared" si="17"/>
        <v>70301.786656944445</v>
      </c>
      <c r="R117" s="96">
        <f t="shared" si="17"/>
        <v>89171.380370144456</v>
      </c>
      <c r="S117" s="96">
        <f t="shared" si="17"/>
        <v>43136.953565883341</v>
      </c>
      <c r="T117" s="96">
        <f t="shared" si="17"/>
        <v>64148.603972883335</v>
      </c>
      <c r="U117" s="46">
        <f>U79+U114</f>
        <v>727029.11417276668</v>
      </c>
      <c r="V117" s="131"/>
      <c r="W117" s="131"/>
      <c r="X117" s="131"/>
      <c r="Y117" s="131"/>
    </row>
    <row r="118" spans="1:25">
      <c r="A118" s="71"/>
      <c r="B118" s="71"/>
      <c r="C118" s="71"/>
      <c r="D118" s="71"/>
      <c r="E118" s="113"/>
      <c r="F118" s="113"/>
      <c r="G118" s="113"/>
      <c r="H118" s="113"/>
      <c r="I118" s="113"/>
      <c r="J118" s="113"/>
      <c r="K118" s="113"/>
      <c r="L118" s="113"/>
      <c r="M118" s="71"/>
      <c r="N118" s="113"/>
      <c r="O118" s="71"/>
      <c r="P118" s="71"/>
      <c r="Q118" s="71"/>
      <c r="R118" s="71"/>
      <c r="S118" s="71"/>
      <c r="T118" s="71"/>
      <c r="U118" s="71"/>
    </row>
    <row r="119" spans="1:25">
      <c r="A119" s="71"/>
      <c r="B119" s="71"/>
      <c r="C119" s="71"/>
      <c r="D119" s="71"/>
      <c r="E119" s="113"/>
      <c r="F119" s="113"/>
      <c r="G119" s="113"/>
      <c r="H119" s="113"/>
      <c r="I119" s="113"/>
      <c r="J119" s="114"/>
      <c r="K119" s="115"/>
      <c r="L119" s="114"/>
      <c r="M119" s="113"/>
      <c r="N119" s="71"/>
      <c r="O119" s="71"/>
      <c r="P119" s="71"/>
      <c r="Q119" s="71"/>
      <c r="R119" s="71"/>
      <c r="S119" s="71"/>
      <c r="T119" s="71"/>
      <c r="U119" s="71"/>
    </row>
    <row r="120" spans="1:25" ht="45">
      <c r="A120" s="71"/>
      <c r="B120" s="116" t="s">
        <v>144</v>
      </c>
      <c r="C120" s="160">
        <v>-98873.64</v>
      </c>
      <c r="D120" s="161"/>
      <c r="E120" s="161"/>
      <c r="F120" s="162"/>
      <c r="G120" s="113"/>
      <c r="H120" s="113"/>
      <c r="I120" s="113"/>
      <c r="J120" s="114"/>
      <c r="K120" s="115"/>
      <c r="L120" s="114"/>
      <c r="M120" s="113"/>
      <c r="N120" s="71"/>
      <c r="O120" s="71"/>
      <c r="P120" s="71"/>
      <c r="Q120" s="71"/>
      <c r="R120" s="71"/>
      <c r="S120" s="71"/>
      <c r="T120" s="71"/>
      <c r="U120" s="71"/>
    </row>
    <row r="121" spans="1:25" ht="30">
      <c r="A121" s="71"/>
      <c r="B121" s="21" t="s">
        <v>151</v>
      </c>
      <c r="C121" s="160">
        <f>(61187.06*6)+(50944.11*6)</f>
        <v>672787.02</v>
      </c>
      <c r="D121" s="161"/>
      <c r="E121" s="161"/>
      <c r="F121" s="162"/>
      <c r="G121" s="113"/>
      <c r="H121" s="113"/>
      <c r="I121" s="113"/>
      <c r="J121" s="114"/>
      <c r="K121" s="115"/>
      <c r="L121" s="114"/>
      <c r="M121" s="113"/>
      <c r="N121" s="71"/>
      <c r="O121" s="71"/>
      <c r="P121" s="71"/>
      <c r="Q121" s="71"/>
      <c r="R121" s="71"/>
      <c r="S121" s="71"/>
      <c r="T121" s="71"/>
      <c r="U121" s="71"/>
    </row>
    <row r="122" spans="1:25" ht="30">
      <c r="A122" s="71"/>
      <c r="B122" s="21" t="s">
        <v>155</v>
      </c>
      <c r="C122" s="160">
        <f>SUM(U117-U114)</f>
        <v>651105.03167276666</v>
      </c>
      <c r="D122" s="161"/>
      <c r="E122" s="161"/>
      <c r="F122" s="162"/>
      <c r="G122" s="113"/>
      <c r="H122" s="113"/>
      <c r="I122" s="113"/>
      <c r="J122" s="114"/>
      <c r="K122" s="115"/>
      <c r="L122" s="114"/>
      <c r="M122" s="113"/>
      <c r="N122" s="71"/>
      <c r="O122" s="71"/>
      <c r="P122" s="71"/>
      <c r="Q122" s="71"/>
      <c r="R122" s="71"/>
      <c r="S122" s="71"/>
      <c r="T122" s="71"/>
      <c r="U122" s="71"/>
    </row>
    <row r="123" spans="1:25" ht="30">
      <c r="A123" s="71"/>
      <c r="B123" s="21" t="s">
        <v>152</v>
      </c>
      <c r="C123" s="160">
        <f>SUM(U114)</f>
        <v>75924.082500000019</v>
      </c>
      <c r="D123" s="161"/>
      <c r="E123" s="161"/>
      <c r="F123" s="162"/>
      <c r="G123" s="113"/>
      <c r="H123" s="113"/>
      <c r="I123" s="113"/>
      <c r="J123" s="114"/>
      <c r="K123" s="115"/>
      <c r="L123" s="114"/>
      <c r="M123" s="113"/>
      <c r="N123" s="71"/>
      <c r="O123" s="71"/>
      <c r="P123" s="71"/>
      <c r="Q123" s="71"/>
      <c r="R123" s="71"/>
      <c r="S123" s="71"/>
      <c r="T123" s="71"/>
      <c r="U123" s="71"/>
      <c r="V123"/>
      <c r="W123"/>
      <c r="X123"/>
      <c r="Y123"/>
    </row>
    <row r="124" spans="1:25" ht="18">
      <c r="A124" s="71"/>
      <c r="B124" s="122" t="s">
        <v>153</v>
      </c>
      <c r="C124" s="163">
        <f>104067.64+47738.13+50238.2+63151.56+34096.98+45427.44+47523.95+63143.74+60800.65+51728.12+51066.54+43848.5</f>
        <v>662831.45000000007</v>
      </c>
      <c r="D124" s="158"/>
      <c r="E124" s="158"/>
      <c r="F124" s="159"/>
      <c r="G124" s="71"/>
      <c r="I124" s="117" t="s">
        <v>104</v>
      </c>
      <c r="J124" s="118"/>
      <c r="K124" s="119"/>
      <c r="L124" s="120"/>
      <c r="M124" s="117"/>
      <c r="N124" s="117"/>
      <c r="O124" s="71"/>
      <c r="P124" s="71"/>
      <c r="Q124" s="71"/>
      <c r="R124" s="71"/>
      <c r="S124" s="71"/>
      <c r="T124" s="71"/>
      <c r="U124" s="71"/>
      <c r="V124"/>
      <c r="W124"/>
      <c r="X124"/>
      <c r="Y124"/>
    </row>
    <row r="125" spans="1:25" ht="78.75" customHeight="1">
      <c r="A125" s="71"/>
      <c r="B125" s="22" t="s">
        <v>246</v>
      </c>
      <c r="C125" s="164">
        <v>711025.83</v>
      </c>
      <c r="D125" s="165"/>
      <c r="E125" s="165"/>
      <c r="F125" s="166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/>
      <c r="W125"/>
      <c r="X125"/>
      <c r="Y125"/>
    </row>
    <row r="126" spans="1:25" ht="45">
      <c r="A126" s="71"/>
      <c r="B126" s="121" t="s">
        <v>247</v>
      </c>
      <c r="C126" s="157">
        <f>SUM(U117-C121)+C120</f>
        <v>-44631.545827233334</v>
      </c>
      <c r="D126" s="158"/>
      <c r="E126" s="158"/>
      <c r="F126" s="159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/>
      <c r="W126"/>
      <c r="X126"/>
      <c r="Y126"/>
    </row>
    <row r="128" spans="1:25">
      <c r="J128" s="3"/>
      <c r="K128" s="4"/>
      <c r="L128" s="4"/>
      <c r="M128" s="2"/>
      <c r="V128"/>
      <c r="W128"/>
      <c r="X128"/>
      <c r="Y128"/>
    </row>
    <row r="129" spans="7:25">
      <c r="G129" s="5"/>
      <c r="H129" s="5"/>
      <c r="V129"/>
      <c r="W129"/>
      <c r="X129"/>
      <c r="Y129"/>
    </row>
    <row r="130" spans="7:25">
      <c r="G130" s="6"/>
      <c r="V130"/>
      <c r="W130"/>
      <c r="X130"/>
      <c r="Y130"/>
    </row>
  </sheetData>
  <mergeCells count="11">
    <mergeCell ref="B3:L3"/>
    <mergeCell ref="B4:L4"/>
    <mergeCell ref="B5:L5"/>
    <mergeCell ref="B6:L6"/>
    <mergeCell ref="C120:F120"/>
    <mergeCell ref="C126:F126"/>
    <mergeCell ref="C121:F121"/>
    <mergeCell ref="C122:F122"/>
    <mergeCell ref="C123:F123"/>
    <mergeCell ref="C124:F124"/>
    <mergeCell ref="C125:F125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Косм.,10</vt:lpstr>
      <vt:lpstr>'Косм.,10'!Область_печати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2017-04-20T12:44:21Z</dcterms:modified>
</cp:coreProperties>
</file>